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mand" sheetId="1" r:id="rId4"/>
    <sheet state="visible" name="Error analysis" sheetId="2" r:id="rId5"/>
    <sheet state="visible" name="Static" sheetId="3" r:id="rId6"/>
    <sheet state="visible" name="Moving Average" sheetId="4" r:id="rId7"/>
    <sheet state="visible" name="SES" sheetId="5" r:id="rId8"/>
    <sheet state="visible" name="Holts" sheetId="6" r:id="rId9"/>
    <sheet state="visible" name="Winters" sheetId="7" r:id="rId10"/>
    <sheet state="visible" name="smooth varible test page" sheetId="8" r:id="rId11"/>
    <sheet state="visible" name="ScenarioParameters" sheetId="9" r:id="rId12"/>
    <sheet state="visible" name="Base Case Profit" sheetId="10" r:id="rId13"/>
    <sheet state="visible" name="DevelopmentCost_Sensitivity" sheetId="11" r:id="rId14"/>
    <sheet state="visible" name="ProductionCost_Sensitivity" sheetId="12" r:id="rId15"/>
  </sheets>
  <definedNames/>
  <calcPr/>
</workbook>
</file>

<file path=xl/sharedStrings.xml><?xml version="1.0" encoding="utf-8"?>
<sst xmlns="http://schemas.openxmlformats.org/spreadsheetml/2006/main" count="202" uniqueCount="101">
  <si>
    <t>Quarter</t>
  </si>
  <si>
    <t>Demand</t>
  </si>
  <si>
    <t>Static</t>
  </si>
  <si>
    <t>Moving Average</t>
  </si>
  <si>
    <t>SES</t>
  </si>
  <si>
    <t>Holts</t>
  </si>
  <si>
    <t>Winters</t>
  </si>
  <si>
    <t>MAPE</t>
  </si>
  <si>
    <t>ts</t>
  </si>
  <si>
    <t>Year</t>
  </si>
  <si>
    <t>Period</t>
  </si>
  <si>
    <t>Deseasonlized demand</t>
  </si>
  <si>
    <t>Regressed</t>
  </si>
  <si>
    <t>Seasonal Factor</t>
  </si>
  <si>
    <t>Average seasonal Factor</t>
  </si>
  <si>
    <t>Forecast</t>
  </si>
  <si>
    <t>Error</t>
  </si>
  <si>
    <t>Abs Error</t>
  </si>
  <si>
    <t>MSE</t>
  </si>
  <si>
    <t>MAD</t>
  </si>
  <si>
    <t>Error %</t>
  </si>
  <si>
    <t>ABS error %</t>
  </si>
  <si>
    <t>Bias</t>
  </si>
  <si>
    <t>TS</t>
  </si>
  <si>
    <t>Level</t>
  </si>
  <si>
    <t>Y22, Q1</t>
  </si>
  <si>
    <t>Trend</t>
  </si>
  <si>
    <t>Y22, Q2</t>
  </si>
  <si>
    <t>Y22, Q3</t>
  </si>
  <si>
    <t>Y22, Q4</t>
  </si>
  <si>
    <t>Y23, Q1</t>
  </si>
  <si>
    <t>Y23, Q2</t>
  </si>
  <si>
    <t>Y23, Q3</t>
  </si>
  <si>
    <t>Y23, Q4</t>
  </si>
  <si>
    <t>Y24, Q1</t>
  </si>
  <si>
    <t>Y24, Q2</t>
  </si>
  <si>
    <t>Y24, Q3</t>
  </si>
  <si>
    <t>Y24, Q4</t>
  </si>
  <si>
    <t>Y25, Q1</t>
  </si>
  <si>
    <t>Y25, Q2</t>
  </si>
  <si>
    <t>Y25, Q3</t>
  </si>
  <si>
    <t>Y25, Q4</t>
  </si>
  <si>
    <t>%ERROR</t>
  </si>
  <si>
    <t>ABS %ERROR</t>
  </si>
  <si>
    <t>BIAS</t>
  </si>
  <si>
    <t>Mean squared error</t>
  </si>
  <si>
    <t>Abs error</t>
  </si>
  <si>
    <t>Seasonal Factors</t>
  </si>
  <si>
    <t>static</t>
  </si>
  <si>
    <t>mape</t>
  </si>
  <si>
    <t>Time</t>
  </si>
  <si>
    <t>Y21,Q1</t>
  </si>
  <si>
    <t>Y21,Q2</t>
  </si>
  <si>
    <t>Y21,Q3</t>
  </si>
  <si>
    <t>Y21,Q4</t>
  </si>
  <si>
    <t>Y22,Q1</t>
  </si>
  <si>
    <t>Y22,Q2</t>
  </si>
  <si>
    <t>Y22,Q3</t>
  </si>
  <si>
    <t>Y22,Q4</t>
  </si>
  <si>
    <t>a</t>
  </si>
  <si>
    <t>b</t>
  </si>
  <si>
    <t>y</t>
  </si>
  <si>
    <t>Scenario Input Parameters</t>
  </si>
  <si>
    <t>Development Cost (total $)</t>
  </si>
  <si>
    <t>Unit price ($/unit)</t>
  </si>
  <si>
    <t>Unit Production Cost ($/unit)</t>
  </si>
  <si>
    <t>Ramp-up cost (total $)</t>
  </si>
  <si>
    <t>Marketing &amp; support cost ($/year)</t>
  </si>
  <si>
    <t>Annual Discount Factor (%)</t>
  </si>
  <si>
    <t>BaseCase</t>
  </si>
  <si>
    <t>period</t>
  </si>
  <si>
    <t>Q1</t>
  </si>
  <si>
    <t>Q2</t>
  </si>
  <si>
    <t>Q3</t>
  </si>
  <si>
    <t>Q4</t>
  </si>
  <si>
    <t>Development Cost</t>
  </si>
  <si>
    <t>Ramp-up cost</t>
  </si>
  <si>
    <t>Marketing &amp; support cost</t>
  </si>
  <si>
    <t>Production cost</t>
  </si>
  <si>
    <t>Production volume</t>
  </si>
  <si>
    <t>Unit production cost</t>
  </si>
  <si>
    <t>Sales revenue</t>
  </si>
  <si>
    <t>Sales volume(Demand)</t>
  </si>
  <si>
    <t>Unit price</t>
  </si>
  <si>
    <t>Period cash flow</t>
  </si>
  <si>
    <t>PV year1</t>
  </si>
  <si>
    <t>Project NPV, $</t>
  </si>
  <si>
    <t xml:space="preserve">  </t>
  </si>
  <si>
    <t>Dev cost</t>
  </si>
  <si>
    <t>Prod cost</t>
  </si>
  <si>
    <t xml:space="preserve"> </t>
  </si>
  <si>
    <t>Change in Dev Cost %</t>
  </si>
  <si>
    <t xml:space="preserve">Change in Development Costs, </t>
  </si>
  <si>
    <t>NPV $</t>
  </si>
  <si>
    <t>Change in NPV, %</t>
  </si>
  <si>
    <t>Change in NPV</t>
  </si>
  <si>
    <t>Production Cost</t>
  </si>
  <si>
    <t>Change in Produciton</t>
  </si>
  <si>
    <t xml:space="preserve">Change in Production Costs, </t>
  </si>
  <si>
    <t xml:space="preserve">NPV $ </t>
  </si>
  <si>
    <t>Change in NPV $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</si>
</sst>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1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color theme="1"/>
      <name val="Arial"/>
    </font>
    <font>
      <sz val="12.0"/>
      <color theme="1"/>
      <name val="Arial"/>
      <scheme val="minor"/>
    </font>
    <font>
      <sz val="12.0"/>
      <color rgb="FF000000"/>
      <name val="Roboto"/>
    </font>
    <font>
      <sz val="9.0"/>
      <color theme="1"/>
      <name val="&quot;Google Sans Mono&quot;"/>
    </font>
    <font>
      <sz val="10.0"/>
      <color theme="1"/>
      <name val="Arial"/>
      <scheme val="minor"/>
    </font>
    <font>
      <sz val="10.0"/>
      <color rgb="FF7E3794"/>
      <name val="Arial"/>
      <scheme val="minor"/>
    </font>
    <font>
      <sz val="9.0"/>
      <color rgb="FF7E3794"/>
      <name val="&quot;Google Sans Mono&quot;"/>
    </font>
    <font>
      <b/>
      <color rgb="FF000000"/>
      <name val="Arial"/>
    </font>
    <font>
      <color rgb="FF000000"/>
      <name val="Arial"/>
    </font>
    <font>
      <b/>
      <sz val="13.0"/>
      <color rgb="FF000000"/>
      <name val="Arial"/>
      <scheme val="minor"/>
    </font>
    <font>
      <sz val="11.0"/>
      <color rgb="FF000000"/>
      <name val="Arial"/>
      <scheme val="minor"/>
    </font>
    <font>
      <b/>
      <sz val="14.0"/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3" fillId="0" fontId="1" numFmtId="10" xfId="0" applyBorder="1" applyFont="1" applyNumberFormat="1"/>
    <xf borderId="4" fillId="0" fontId="1" numFmtId="2" xfId="0" applyBorder="1" applyFont="1" applyNumberFormat="1"/>
    <xf borderId="3" fillId="0" fontId="1" numFmtId="0" xfId="0" applyBorder="1" applyFont="1"/>
    <xf borderId="4" fillId="0" fontId="1" numFmtId="0" xfId="0" applyBorder="1" applyFont="1"/>
    <xf borderId="3" fillId="0" fontId="1" numFmtId="10" xfId="0" applyAlignment="1" applyBorder="1" applyFont="1" applyNumberFormat="1">
      <alignment readingOrder="0"/>
    </xf>
    <xf borderId="4" fillId="0" fontId="1" numFmtId="164" xfId="0" applyAlignment="1" applyBorder="1" applyFont="1" applyNumberFormat="1">
      <alignment readingOrder="0"/>
    </xf>
    <xf borderId="5" fillId="0" fontId="1" numFmtId="10" xfId="0" applyBorder="1" applyFont="1" applyNumberFormat="1"/>
    <xf borderId="6" fillId="0" fontId="1" numFmtId="2" xfId="0" applyBorder="1" applyFont="1" applyNumberFormat="1"/>
    <xf borderId="6" fillId="0" fontId="1" numFmtId="0" xfId="0" applyBorder="1" applyFont="1"/>
    <xf borderId="5" fillId="0" fontId="1" numFmtId="10" xfId="0" applyAlignment="1" applyBorder="1" applyFont="1" applyNumberFormat="1">
      <alignment readingOrder="0"/>
    </xf>
    <xf borderId="6" fillId="0" fontId="1" numFmtId="164" xfId="0" applyAlignment="1" applyBorder="1" applyFont="1" applyNumberFormat="1">
      <alignment readingOrder="0"/>
    </xf>
    <xf borderId="0" fillId="0" fontId="1" numFmtId="0" xfId="0" applyFont="1"/>
    <xf borderId="0" fillId="0" fontId="1" numFmtId="2" xfId="0" applyAlignment="1" applyFont="1" applyNumberFormat="1">
      <alignment readingOrder="0"/>
    </xf>
    <xf borderId="0" fillId="0" fontId="1" numFmtId="2" xfId="0" applyFont="1" applyNumberFormat="1"/>
    <xf borderId="0" fillId="0" fontId="1" numFmtId="10" xfId="0" applyFont="1" applyNumberFormat="1"/>
    <xf borderId="0" fillId="0" fontId="1" numFmtId="165" xfId="0" applyFont="1" applyNumberFormat="1"/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left" readingOrder="0" shrinkToFit="0" wrapText="1"/>
    </xf>
    <xf borderId="0" fillId="0" fontId="2" numFmtId="2" xfId="0" applyFont="1" applyNumberFormat="1"/>
    <xf borderId="0" fillId="0" fontId="5" numFmtId="2" xfId="0" applyFont="1" applyNumberFormat="1"/>
    <xf borderId="0" fillId="0" fontId="4" numFmtId="1" xfId="0" applyAlignment="1" applyFont="1" applyNumberFormat="1">
      <alignment vertical="bottom"/>
    </xf>
    <xf borderId="0" fillId="0" fontId="4" numFmtId="1" xfId="0" applyAlignment="1" applyFont="1" applyNumberFormat="1">
      <alignment horizontal="right" vertical="bottom"/>
    </xf>
    <xf borderId="0" fillId="0" fontId="4" numFmtId="4" xfId="0" applyAlignment="1" applyFont="1" applyNumberFormat="1">
      <alignment vertical="bottom"/>
    </xf>
    <xf borderId="0" fillId="0" fontId="4" numFmtId="10" xfId="0" applyAlignment="1" applyFont="1" applyNumberFormat="1">
      <alignment vertical="bottom"/>
    </xf>
    <xf borderId="0" fillId="0" fontId="4" numFmtId="4" xfId="0" applyAlignment="1" applyFont="1" applyNumberFormat="1">
      <alignment horizontal="right" vertical="bottom"/>
    </xf>
    <xf borderId="0" fillId="2" fontId="7" numFmtId="1" xfId="0" applyAlignment="1" applyFill="1" applyFont="1" applyNumberFormat="1">
      <alignment horizontal="right" vertical="bottom"/>
    </xf>
    <xf borderId="0" fillId="0" fontId="4" numFmtId="10" xfId="0" applyAlignment="1" applyFont="1" applyNumberFormat="1">
      <alignment horizontal="right" vertical="bottom"/>
    </xf>
    <xf borderId="0" fillId="0" fontId="4" numFmtId="1" xfId="0" applyAlignment="1" applyFont="1" applyNumberFormat="1">
      <alignment horizontal="right" readingOrder="0" vertical="bottom"/>
    </xf>
    <xf borderId="0" fillId="0" fontId="1" numFmtId="10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8" numFmtId="1" xfId="0" applyAlignment="1" applyFont="1" applyNumberFormat="1">
      <alignment horizontal="right" vertical="bottom"/>
    </xf>
    <xf borderId="0" fillId="2" fontId="0" numFmtId="0" xfId="0" applyAlignment="1" applyFont="1">
      <alignment horizontal="right" vertical="bottom"/>
    </xf>
    <xf borderId="0" fillId="2" fontId="9" numFmtId="0" xfId="0" applyAlignment="1" applyFont="1">
      <alignment horizontal="right" vertical="bottom"/>
    </xf>
    <xf borderId="0" fillId="2" fontId="10" numFmtId="0" xfId="0" applyAlignment="1" applyFont="1">
      <alignment horizontal="right" vertical="bottom"/>
    </xf>
    <xf borderId="0" fillId="0" fontId="6" numFmtId="0" xfId="0" applyAlignment="1" applyFont="1">
      <alignment horizontal="center" readingOrder="0" shrinkToFit="0" wrapText="1"/>
    </xf>
    <xf borderId="7" fillId="0" fontId="11" numFmtId="0" xfId="0" applyAlignment="1" applyBorder="1" applyFont="1">
      <alignment horizontal="center" readingOrder="0" vertical="bottom"/>
    </xf>
    <xf borderId="8" fillId="0" fontId="3" numFmtId="0" xfId="0" applyBorder="1" applyFont="1"/>
    <xf borderId="0" fillId="0" fontId="4" numFmtId="0" xfId="0" applyAlignment="1" applyFont="1">
      <alignment readingOrder="0" vertical="bottom"/>
    </xf>
    <xf borderId="9" fillId="0" fontId="12" numFmtId="0" xfId="0" applyAlignment="1" applyBorder="1" applyFont="1">
      <alignment horizontal="right" readingOrder="0" shrinkToFit="0" vertical="bottom" wrapText="0"/>
    </xf>
    <xf borderId="6" fillId="0" fontId="12" numFmtId="3" xfId="0" applyAlignment="1" applyBorder="1" applyFont="1" applyNumberFormat="1">
      <alignment horizontal="right" readingOrder="0" shrinkToFit="0" vertical="bottom" wrapText="0"/>
    </xf>
    <xf borderId="0" fillId="0" fontId="4" numFmtId="1" xfId="0" applyAlignment="1" applyFont="1" applyNumberFormat="1">
      <alignment readingOrder="0" vertical="bottom"/>
    </xf>
    <xf borderId="0" fillId="0" fontId="4" numFmtId="1" xfId="0" applyAlignment="1" applyFont="1" applyNumberFormat="1">
      <alignment horizontal="left" readingOrder="0" vertical="bottom"/>
    </xf>
    <xf borderId="6" fillId="0" fontId="12" numFmtId="10" xfId="0" applyAlignment="1" applyBorder="1" applyFont="1" applyNumberFormat="1">
      <alignment horizontal="right"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4" numFmtId="0" xfId="0" applyFont="1"/>
    <xf borderId="0" fillId="0" fontId="13" numFmtId="0" xfId="0" applyAlignment="1" applyFont="1">
      <alignment horizontal="center" readingOrder="0" shrinkToFit="0" vertical="bottom" wrapText="0"/>
    </xf>
    <xf borderId="0" fillId="0" fontId="15" numFmtId="0" xfId="0" applyAlignment="1" applyFont="1">
      <alignment horizontal="center" readingOrder="0" shrinkToFit="0" vertical="bottom" wrapText="0"/>
    </xf>
    <xf borderId="0" fillId="0" fontId="13" numFmtId="1" xfId="0" applyAlignment="1" applyFont="1" applyNumberFormat="1">
      <alignment horizontal="center" readingOrder="0" shrinkToFit="0" vertical="bottom" wrapText="0"/>
    </xf>
    <xf borderId="0" fillId="0" fontId="14" numFmtId="3" xfId="0" applyFont="1" applyNumberFormat="1"/>
    <xf borderId="0" fillId="0" fontId="13" numFmtId="1" xfId="0" applyAlignment="1" applyFont="1" applyNumberFormat="1">
      <alignment readingOrder="0" shrinkToFit="0" vertical="bottom" wrapText="0"/>
    </xf>
    <xf borderId="0" fillId="0" fontId="14" numFmtId="4" xfId="0" applyFont="1" applyNumberFormat="1"/>
    <xf borderId="0" fillId="0" fontId="14" numFmtId="0" xfId="0" applyAlignment="1" applyFont="1">
      <alignment readingOrder="0"/>
    </xf>
    <xf borderId="0" fillId="0" fontId="14" numFmtId="2" xfId="0" applyFont="1" applyNumberFormat="1"/>
    <xf borderId="0" fillId="0" fontId="1" numFmtId="0" xfId="0" applyAlignment="1" applyFont="1">
      <alignment horizontal="center" readingOrder="0"/>
    </xf>
    <xf borderId="0" fillId="0" fontId="1" numFmtId="9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1" numFmtId="1" xfId="0" applyAlignment="1" applyFont="1" applyNumberFormat="1">
      <alignment horizontal="center" readingOrder="0"/>
    </xf>
    <xf borderId="0" fillId="0" fontId="1" numFmtId="1" xfId="0" applyFont="1" applyNumberFormat="1"/>
    <xf borderId="0" fillId="0" fontId="14" numFmtId="1" xfId="0" applyAlignment="1" applyFont="1" applyNumberFormat="1">
      <alignment horizontal="center" readingOrder="0" shrinkToFit="0" vertical="bottom" wrapText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0" fillId="0" fontId="14" numFmtId="3" xfId="0" applyAlignment="1" applyFont="1" applyNumberFormat="1">
      <alignment horizontal="center" readingOrder="0" shrinkToFit="0" vertical="bottom" wrapText="0"/>
    </xf>
    <xf borderId="0" fillId="0" fontId="1" numFmtId="3" xfId="0" applyAlignment="1" applyFont="1" applyNumberFormat="1">
      <alignment horizontal="center" readingOrder="0"/>
    </xf>
    <xf borderId="0" fillId="0" fontId="1" numFmtId="10" xfId="0" applyAlignment="1" applyFont="1" applyNumberFormat="1">
      <alignment horizontal="center"/>
    </xf>
    <xf borderId="0" fillId="2" fontId="0" numFmtId="1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Error, MAPE, and Ts Graph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Static!$J$1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Static!$C$2:$C$17</c:f>
            </c:strRef>
          </c:cat>
          <c:val>
            <c:numRef>
              <c:f>Static!$J$2:$J$9</c:f>
              <c:numCache/>
            </c:numRef>
          </c:val>
          <c:smooth val="0"/>
        </c:ser>
        <c:ser>
          <c:idx val="1"/>
          <c:order val="1"/>
          <c:tx>
            <c:strRef>
              <c:f>Static!$P$1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Static!$C$2:$C$17</c:f>
            </c:strRef>
          </c:cat>
          <c:val>
            <c:numRef>
              <c:f>Static!$P$2:$P$10</c:f>
              <c:numCache/>
            </c:numRef>
          </c:val>
          <c:smooth val="0"/>
        </c:ser>
        <c:ser>
          <c:idx val="2"/>
          <c:order val="2"/>
          <c:tx>
            <c:strRef>
              <c:f>Static!$R$1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Static!$C$2:$C$17</c:f>
            </c:strRef>
          </c:cat>
          <c:val>
            <c:numRef>
              <c:f>Static!$R$2:$R$9</c:f>
              <c:numCache/>
            </c:numRef>
          </c:val>
          <c:smooth val="0"/>
        </c:ser>
        <c:axId val="440783103"/>
        <c:axId val="776522437"/>
      </c:lineChart>
      <c:catAx>
        <c:axId val="440783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Periods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6522437"/>
      </c:catAx>
      <c:valAx>
        <c:axId val="7765224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07831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Demand Seasonality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Winters!$F$47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Winters!$E$48:$E$55</c:f>
            </c:strRef>
          </c:cat>
          <c:val>
            <c:numRef>
              <c:f>Winters!$F$48:$F$55</c:f>
              <c:numCache/>
            </c:numRef>
          </c:val>
        </c:ser>
        <c:axId val="1974345694"/>
        <c:axId val="1895557724"/>
      </c:barChart>
      <c:catAx>
        <c:axId val="19743456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5557724"/>
      </c:catAx>
      <c:valAx>
        <c:axId val="18955577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Demand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43456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Demand Seasonality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Winters!$D$2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Winters!$C$3:$C$11</c:f>
            </c:strRef>
          </c:cat>
          <c:val>
            <c:numRef>
              <c:f>Winters!$D$3:$D$11</c:f>
              <c:numCache/>
            </c:numRef>
          </c:val>
        </c:ser>
        <c:axId val="811790931"/>
        <c:axId val="1959830615"/>
      </c:barChart>
      <c:catAx>
        <c:axId val="811790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9830615"/>
      </c:catAx>
      <c:valAx>
        <c:axId val="1959830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17909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Actual, Regressed, and Forecasted Demand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Static!$D$1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Static!$F$21:$F$36</c:f>
            </c:strRef>
          </c:cat>
          <c:val>
            <c:numRef>
              <c:f>Static!$D$2:$D$17</c:f>
              <c:numCache/>
            </c:numRef>
          </c:val>
          <c:smooth val="0"/>
        </c:ser>
        <c:ser>
          <c:idx val="1"/>
          <c:order val="1"/>
          <c:tx>
            <c:strRef>
              <c:f>Static!$F$1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Static!$F$21:$F$36</c:f>
            </c:strRef>
          </c:cat>
          <c:val>
            <c:numRef>
              <c:f>Static!$F$2:$F$17</c:f>
              <c:numCache/>
            </c:numRef>
          </c:val>
          <c:smooth val="0"/>
        </c:ser>
        <c:ser>
          <c:idx val="2"/>
          <c:order val="2"/>
          <c:tx>
            <c:strRef>
              <c:f>Static!$I$1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Static!$F$21:$F$36</c:f>
            </c:strRef>
          </c:cat>
          <c:val>
            <c:numRef>
              <c:f>Static!$I$2:$I$17</c:f>
              <c:numCache/>
            </c:numRef>
          </c:val>
          <c:smooth val="0"/>
        </c:ser>
        <c:axId val="606949625"/>
        <c:axId val="1391147057"/>
      </c:lineChart>
      <c:catAx>
        <c:axId val="6069496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(quarters)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1147057"/>
      </c:catAx>
      <c:valAx>
        <c:axId val="13911470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Demand (units)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69496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Demand and Forecast over Periods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'Moving Average'!$D$1:$D$2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'Moving Average'!$C$3:$C$18</c:f>
            </c:strRef>
          </c:cat>
          <c:val>
            <c:numRef>
              <c:f>'Moving Average'!$D$3:$D$10</c:f>
              <c:numCache/>
            </c:numRef>
          </c:val>
          <c:smooth val="0"/>
        </c:ser>
        <c:ser>
          <c:idx val="1"/>
          <c:order val="1"/>
          <c:tx>
            <c:strRef>
              <c:f>'Moving Average'!$F$1:$F$2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'Moving Average'!$C$3:$C$18</c:f>
            </c:strRef>
          </c:cat>
          <c:val>
            <c:numRef>
              <c:f>'Moving Average'!$F$3:$F$18</c:f>
              <c:numCache/>
            </c:numRef>
          </c:val>
          <c:smooth val="0"/>
        </c:ser>
        <c:axId val="118382905"/>
        <c:axId val="301192782"/>
      </c:lineChart>
      <c:catAx>
        <c:axId val="1183829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1192782"/>
      </c:catAx>
      <c:valAx>
        <c:axId val="301192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3829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MAPE and TS over Periods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'Moving Average'!$M$1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'Moving Average'!$C$2:$C$18</c:f>
            </c:strRef>
          </c:cat>
          <c:val>
            <c:numRef>
              <c:f>'Moving Average'!$M$2:$M$10</c:f>
              <c:numCache/>
            </c:numRef>
          </c:val>
          <c:smooth val="0"/>
        </c:ser>
        <c:ser>
          <c:idx val="1"/>
          <c:order val="1"/>
          <c:tx>
            <c:strRef>
              <c:f>'Moving Average'!$O$1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'Moving Average'!$C$2:$C$18</c:f>
            </c:strRef>
          </c:cat>
          <c:val>
            <c:numRef>
              <c:f>'Moving Average'!$O$2:$O$10</c:f>
              <c:numCache/>
            </c:numRef>
          </c:val>
          <c:smooth val="0"/>
        </c:ser>
        <c:axId val="1694820388"/>
        <c:axId val="1967685741"/>
      </c:lineChart>
      <c:catAx>
        <c:axId val="1694820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Periods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7685741"/>
      </c:catAx>
      <c:valAx>
        <c:axId val="19676857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48203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Demand vs Forecast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SES!$D$1:$D$2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SES!$C$3:$C$18</c:f>
            </c:strRef>
          </c:cat>
          <c:val>
            <c:numRef>
              <c:f>SES!$D$3:$D$10</c:f>
              <c:numCache/>
            </c:numRef>
          </c:val>
          <c:smooth val="0"/>
        </c:ser>
        <c:ser>
          <c:idx val="1"/>
          <c:order val="1"/>
          <c:tx>
            <c:strRef>
              <c:f>SES!$F$1:$F$2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SES!$C$3:$C$18</c:f>
            </c:strRef>
          </c:cat>
          <c:val>
            <c:numRef>
              <c:f>SES!$F$3:$F$18</c:f>
              <c:numCache/>
            </c:numRef>
          </c:val>
          <c:smooth val="0"/>
        </c:ser>
        <c:axId val="682290854"/>
        <c:axId val="225528684"/>
      </c:lineChart>
      <c:catAx>
        <c:axId val="6822908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Periods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5528684"/>
      </c:catAx>
      <c:valAx>
        <c:axId val="2255286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22908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MAPE and TS over Periods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SES!$M$1:$M$2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SES!$C$3:$C$18</c:f>
            </c:strRef>
          </c:cat>
          <c:val>
            <c:numRef>
              <c:f>SES!$M$3:$M$11</c:f>
              <c:numCache/>
            </c:numRef>
          </c:val>
          <c:smooth val="0"/>
        </c:ser>
        <c:ser>
          <c:idx val="1"/>
          <c:order val="1"/>
          <c:tx>
            <c:strRef>
              <c:f>SES!$O$1:$O$2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SES!$C$3:$C$18</c:f>
            </c:strRef>
          </c:cat>
          <c:val>
            <c:numRef>
              <c:f>SES!$O$3:$O$10</c:f>
              <c:numCache/>
            </c:numRef>
          </c:val>
          <c:smooth val="0"/>
        </c:ser>
        <c:axId val="1902741998"/>
        <c:axId val="245119179"/>
      </c:lineChart>
      <c:catAx>
        <c:axId val="19027419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Periods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5119179"/>
      </c:catAx>
      <c:valAx>
        <c:axId val="2451191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27419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Demand vs Forecast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Holts!$D$1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Holts!$C$2:$C$18</c:f>
            </c:strRef>
          </c:cat>
          <c:val>
            <c:numRef>
              <c:f>Holts!$D$2:$D$1000</c:f>
              <c:numCache/>
            </c:numRef>
          </c:val>
          <c:smooth val="0"/>
        </c:ser>
        <c:ser>
          <c:idx val="1"/>
          <c:order val="1"/>
          <c:tx>
            <c:strRef>
              <c:f>Holts!$G$1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Holts!$C$2:$C$18</c:f>
            </c:strRef>
          </c:cat>
          <c:val>
            <c:numRef>
              <c:f>Holts!$G$2:$G$1000</c:f>
              <c:numCache/>
            </c:numRef>
          </c:val>
          <c:smooth val="0"/>
        </c:ser>
        <c:axId val="1608392617"/>
        <c:axId val="523771404"/>
      </c:lineChart>
      <c:catAx>
        <c:axId val="16083926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3771404"/>
      </c:catAx>
      <c:valAx>
        <c:axId val="5237714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Period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83926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MAPE and TS over Periods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Holts!$N$1:$N$2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Holts!$C$3:$C$18</c:f>
            </c:strRef>
          </c:cat>
          <c:val>
            <c:numRef>
              <c:f>Holts!$N$3:$N$11</c:f>
              <c:numCache/>
            </c:numRef>
          </c:val>
          <c:smooth val="0"/>
        </c:ser>
        <c:ser>
          <c:idx val="1"/>
          <c:order val="1"/>
          <c:tx>
            <c:strRef>
              <c:f>Holts!$P$1:$P$2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Holts!$C$3:$C$18</c:f>
            </c:strRef>
          </c:cat>
          <c:val>
            <c:numRef>
              <c:f>Holts!$P$3:$P$10</c:f>
              <c:numCache/>
            </c:numRef>
          </c:val>
          <c:smooth val="0"/>
        </c:ser>
        <c:axId val="447179546"/>
        <c:axId val="374430118"/>
      </c:lineChart>
      <c:catAx>
        <c:axId val="447179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Periods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4430118"/>
      </c:catAx>
      <c:valAx>
        <c:axId val="374430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71795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Demand and Forecast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Winters!$D$2:$D$3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Winters!$C$4:$C$19</c:f>
            </c:strRef>
          </c:cat>
          <c:val>
            <c:numRef>
              <c:f>Winters!$D$4:$D$11</c:f>
              <c:numCache/>
            </c:numRef>
          </c:val>
          <c:smooth val="0"/>
        </c:ser>
        <c:ser>
          <c:idx val="1"/>
          <c:order val="1"/>
          <c:tx>
            <c:strRef>
              <c:f>Winters!$H$2:$H$3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Winters!$C$4:$C$19</c:f>
            </c:strRef>
          </c:cat>
          <c:val>
            <c:numRef>
              <c:f>Winters!$H$4:$H$19</c:f>
              <c:numCache/>
            </c:numRef>
          </c:val>
          <c:smooth val="0"/>
        </c:ser>
        <c:axId val="1403072552"/>
        <c:axId val="146864764"/>
      </c:lineChart>
      <c:catAx>
        <c:axId val="1403072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864764"/>
      </c:catAx>
      <c:valAx>
        <c:axId val="146864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30725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200025</xdr:rowOff>
    </xdr:from>
    <xdr:ext cx="5162550" cy="29718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962025</xdr:colOff>
      <xdr:row>13</xdr:row>
      <xdr:rowOff>200025</xdr:rowOff>
    </xdr:from>
    <xdr:ext cx="4886325" cy="28098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361950</xdr:colOff>
      <xdr:row>19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28575</xdr:colOff>
      <xdr:row>19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209550</xdr:colOff>
      <xdr:row>19</xdr:row>
      <xdr:rowOff>38100</xdr:rowOff>
    </xdr:from>
    <xdr:ext cx="5715000" cy="3533775"/>
    <xdr:graphicFrame>
      <xdr:nvGraphicFramePr>
        <xdr:cNvPr descr="Plotted Demand and Forecast over Periods&#10;"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561975</xdr:colOff>
      <xdr:row>19</xdr:row>
      <xdr:rowOff>38100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923925</xdr:colOff>
      <xdr:row>19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638175</xdr:colOff>
      <xdr:row>19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19</xdr:row>
      <xdr:rowOff>180975</xdr:rowOff>
    </xdr:from>
    <xdr:ext cx="5715000" cy="3533775"/>
    <xdr:graphicFrame>
      <xdr:nvGraphicFramePr>
        <xdr:cNvPr id="7" name="Chart 7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38100</xdr:colOff>
      <xdr:row>20</xdr:row>
      <xdr:rowOff>47625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742950</xdr:colOff>
      <xdr:row>25</xdr:row>
      <xdr:rowOff>190500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914400</xdr:colOff>
      <xdr:row>56</xdr:row>
      <xdr:rowOff>104775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885825</xdr:colOff>
      <xdr:row>25</xdr:row>
      <xdr:rowOff>114300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sheetData>
    <row r="1" ht="20.25" customHeight="1">
      <c r="A1" s="1" t="s">
        <v>0</v>
      </c>
      <c r="B1" s="1" t="s">
        <v>1</v>
      </c>
    </row>
    <row r="2">
      <c r="A2" s="1">
        <v>1.0</v>
      </c>
      <c r="B2" s="1">
        <v>62.0</v>
      </c>
    </row>
    <row r="3">
      <c r="A3" s="1">
        <v>2.0</v>
      </c>
      <c r="B3" s="1">
        <v>95.0</v>
      </c>
    </row>
    <row r="4">
      <c r="A4" s="1">
        <v>3.0</v>
      </c>
      <c r="B4" s="1">
        <v>129.0</v>
      </c>
    </row>
    <row r="5">
      <c r="A5" s="1">
        <v>4.0</v>
      </c>
      <c r="B5" s="1">
        <v>82.0</v>
      </c>
    </row>
    <row r="6">
      <c r="A6" s="1">
        <v>5.0</v>
      </c>
      <c r="B6" s="1">
        <v>40.0</v>
      </c>
    </row>
    <row r="7">
      <c r="A7" s="1">
        <v>6.0</v>
      </c>
      <c r="B7" s="1">
        <v>60.0</v>
      </c>
    </row>
    <row r="8">
      <c r="A8" s="1">
        <v>7.0</v>
      </c>
      <c r="B8" s="1">
        <v>82.0</v>
      </c>
    </row>
    <row r="9">
      <c r="A9" s="1">
        <v>8.0</v>
      </c>
      <c r="B9" s="1">
        <v>106.0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</cols>
  <sheetData>
    <row r="1" ht="30.75" customHeight="1">
      <c r="A1" s="54" t="s">
        <v>69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5"/>
      <c r="W1" s="55"/>
      <c r="X1" s="55"/>
      <c r="Y1" s="55"/>
      <c r="Z1" s="55"/>
    </row>
    <row r="2" ht="30.75" customHeight="1">
      <c r="A2" s="54"/>
      <c r="B2" s="54">
        <v>2022.0</v>
      </c>
      <c r="C2" s="54"/>
      <c r="D2" s="54"/>
      <c r="E2" s="54"/>
      <c r="F2" s="54">
        <v>2023.0</v>
      </c>
      <c r="G2" s="54"/>
      <c r="H2" s="54"/>
      <c r="I2" s="54"/>
      <c r="J2" s="54">
        <v>2024.0</v>
      </c>
      <c r="K2" s="54"/>
      <c r="L2" s="54"/>
      <c r="M2" s="54"/>
      <c r="N2" s="54">
        <v>2025.0</v>
      </c>
      <c r="O2" s="54"/>
      <c r="P2" s="54"/>
      <c r="Q2" s="54"/>
      <c r="R2" s="54">
        <v>2026.0</v>
      </c>
      <c r="S2" s="54"/>
      <c r="T2" s="54"/>
      <c r="U2" s="54"/>
      <c r="V2" s="55"/>
      <c r="W2" s="55"/>
      <c r="X2" s="55"/>
      <c r="Y2" s="55"/>
      <c r="Z2" s="55"/>
    </row>
    <row r="3" ht="30.75" customHeight="1">
      <c r="A3" s="54" t="s">
        <v>70</v>
      </c>
      <c r="B3" s="54">
        <v>1.0</v>
      </c>
      <c r="C3" s="54">
        <v>2.0</v>
      </c>
      <c r="D3" s="54">
        <v>3.0</v>
      </c>
      <c r="E3" s="54">
        <v>4.0</v>
      </c>
      <c r="F3" s="54">
        <v>5.0</v>
      </c>
      <c r="G3" s="54">
        <v>6.0</v>
      </c>
      <c r="H3" s="54">
        <v>7.0</v>
      </c>
      <c r="I3" s="54">
        <v>8.0</v>
      </c>
      <c r="J3" s="54">
        <v>9.0</v>
      </c>
      <c r="K3" s="54">
        <v>10.0</v>
      </c>
      <c r="L3" s="54">
        <v>11.0</v>
      </c>
      <c r="M3" s="54">
        <v>12.0</v>
      </c>
      <c r="N3" s="54">
        <v>13.0</v>
      </c>
      <c r="O3" s="54">
        <v>14.0</v>
      </c>
      <c r="P3" s="54">
        <v>15.0</v>
      </c>
      <c r="Q3" s="54">
        <v>16.0</v>
      </c>
      <c r="R3" s="54">
        <v>17.0</v>
      </c>
      <c r="S3" s="54">
        <v>18.0</v>
      </c>
      <c r="T3" s="54">
        <v>19.0</v>
      </c>
      <c r="U3" s="54">
        <v>20.0</v>
      </c>
      <c r="V3" s="55"/>
      <c r="W3" s="55"/>
      <c r="X3" s="55"/>
      <c r="Y3" s="55"/>
      <c r="Z3" s="55"/>
    </row>
    <row r="4" ht="30.75" customHeight="1">
      <c r="A4" s="54"/>
      <c r="B4" s="54" t="s">
        <v>71</v>
      </c>
      <c r="C4" s="54" t="s">
        <v>72</v>
      </c>
      <c r="D4" s="54" t="s">
        <v>73</v>
      </c>
      <c r="E4" s="54" t="s">
        <v>74</v>
      </c>
      <c r="F4" s="54" t="s">
        <v>71</v>
      </c>
      <c r="G4" s="54" t="s">
        <v>72</v>
      </c>
      <c r="H4" s="54" t="s">
        <v>73</v>
      </c>
      <c r="I4" s="54" t="s">
        <v>74</v>
      </c>
      <c r="J4" s="54" t="s">
        <v>71</v>
      </c>
      <c r="K4" s="54" t="s">
        <v>72</v>
      </c>
      <c r="L4" s="54" t="s">
        <v>73</v>
      </c>
      <c r="M4" s="54" t="s">
        <v>74</v>
      </c>
      <c r="N4" s="54" t="s">
        <v>71</v>
      </c>
      <c r="O4" s="54" t="s">
        <v>72</v>
      </c>
      <c r="P4" s="54" t="s">
        <v>73</v>
      </c>
      <c r="Q4" s="54" t="s">
        <v>74</v>
      </c>
      <c r="R4" s="54" t="s">
        <v>71</v>
      </c>
      <c r="S4" s="54" t="s">
        <v>72</v>
      </c>
      <c r="T4" s="54" t="s">
        <v>73</v>
      </c>
      <c r="U4" s="54" t="s">
        <v>74</v>
      </c>
      <c r="V4" s="55"/>
      <c r="W4" s="55"/>
      <c r="X4" s="55"/>
      <c r="Y4" s="55"/>
    </row>
    <row r="5" ht="30.75" customHeight="1">
      <c r="A5" s="54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5"/>
      <c r="W5" s="55"/>
      <c r="X5" s="55"/>
      <c r="Y5" s="55"/>
      <c r="Z5" s="55"/>
    </row>
    <row r="6" ht="30.75" customHeight="1">
      <c r="A6" s="54" t="s">
        <v>75</v>
      </c>
      <c r="B6" s="56">
        <f>((-1)*ScenarioParameters!$B$2/4)*$B$23</f>
        <v>-87500</v>
      </c>
      <c r="C6" s="56">
        <f>((-1)*ScenarioParameters!$B$2/4)*$B$23</f>
        <v>-87500</v>
      </c>
      <c r="D6" s="56">
        <f>((-1)*ScenarioParameters!$B$2/4)*$B$23</f>
        <v>-87500</v>
      </c>
      <c r="E6" s="56">
        <f>((-1)*ScenarioParameters!$B$2/4)*$B$23</f>
        <v>-87500</v>
      </c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5"/>
      <c r="W6" s="55"/>
      <c r="X6" s="55"/>
      <c r="Y6" s="55"/>
      <c r="Z6" s="55"/>
    </row>
    <row r="7" ht="30.75" customHeight="1">
      <c r="A7" s="54" t="s">
        <v>76</v>
      </c>
      <c r="B7" s="56"/>
      <c r="C7" s="56"/>
      <c r="D7" s="56">
        <f>(-1)*ScenarioParameters!$B$5/2</f>
        <v>-200000</v>
      </c>
      <c r="E7" s="56">
        <f>(-1)*ScenarioParameters!$B$5/2</f>
        <v>-200000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5"/>
      <c r="W7" s="55"/>
      <c r="X7" s="55"/>
      <c r="Y7" s="55"/>
    </row>
    <row r="8" ht="30.75" customHeight="1">
      <c r="A8" s="54" t="s">
        <v>77</v>
      </c>
      <c r="B8" s="56"/>
      <c r="C8" s="56"/>
      <c r="D8" s="56"/>
      <c r="E8" s="56"/>
      <c r="F8" s="56">
        <f>(-1)*ScenarioParameters!$B$6/4</f>
        <v>-114750</v>
      </c>
      <c r="G8" s="56">
        <f>(-1)*ScenarioParameters!$B$6/4</f>
        <v>-114750</v>
      </c>
      <c r="H8" s="56">
        <f>(-1)*ScenarioParameters!$B$6/4</f>
        <v>-114750</v>
      </c>
      <c r="I8" s="56">
        <f>(-1)*ScenarioParameters!$B$6/4</f>
        <v>-114750</v>
      </c>
      <c r="J8" s="56">
        <f>(-1)*ScenarioParameters!$B$6/4</f>
        <v>-114750</v>
      </c>
      <c r="K8" s="56">
        <f>(-1)*ScenarioParameters!$B$6/4</f>
        <v>-114750</v>
      </c>
      <c r="L8" s="56">
        <f>(-1)*ScenarioParameters!$B$6/4</f>
        <v>-114750</v>
      </c>
      <c r="M8" s="56">
        <f>(-1)*ScenarioParameters!$B$6/4</f>
        <v>-114750</v>
      </c>
      <c r="N8" s="56">
        <f>(-1)*ScenarioParameters!$B$6/4</f>
        <v>-114750</v>
      </c>
      <c r="O8" s="56">
        <f>(-1)*ScenarioParameters!$B$6/4</f>
        <v>-114750</v>
      </c>
      <c r="P8" s="56">
        <f>(-1)*ScenarioParameters!$B$6/4</f>
        <v>-114750</v>
      </c>
      <c r="Q8" s="56">
        <f>(-1)*ScenarioParameters!$B$6/4</f>
        <v>-114750</v>
      </c>
      <c r="R8" s="56">
        <f>(-1)*ScenarioParameters!$B$6/4</f>
        <v>-114750</v>
      </c>
      <c r="S8" s="56">
        <f>(-1)*ScenarioParameters!$B$6/4</f>
        <v>-114750</v>
      </c>
      <c r="T8" s="56">
        <f>(-1)*ScenarioParameters!$B$6/4</f>
        <v>-114750</v>
      </c>
      <c r="U8" s="56">
        <f>(-1)*ScenarioParameters!$B$6/4</f>
        <v>-114750</v>
      </c>
      <c r="V8" s="55"/>
      <c r="W8" s="55"/>
      <c r="X8" s="55"/>
      <c r="Y8" s="55"/>
    </row>
    <row r="9" ht="30.75" customHeight="1">
      <c r="A9" s="54" t="s">
        <v>78</v>
      </c>
      <c r="B9" s="56"/>
      <c r="C9" s="56"/>
      <c r="D9" s="56"/>
      <c r="E9" s="56"/>
      <c r="F9" s="56">
        <f>(F10*F11)*$B$24</f>
        <v>-124000</v>
      </c>
      <c r="G9" s="56">
        <f>(F10*G11)*$B$24</f>
        <v>-124000</v>
      </c>
      <c r="H9" s="56">
        <f t="shared" ref="H9:U9" si="1">(H10*H11)*$B$24</f>
        <v>-258000</v>
      </c>
      <c r="I9" s="56">
        <f t="shared" si="1"/>
        <v>-164000</v>
      </c>
      <c r="J9" s="56">
        <f t="shared" si="1"/>
        <v>-80000</v>
      </c>
      <c r="K9" s="56">
        <f t="shared" si="1"/>
        <v>-120000</v>
      </c>
      <c r="L9" s="56">
        <f t="shared" si="1"/>
        <v>-164000</v>
      </c>
      <c r="M9" s="56">
        <f t="shared" si="1"/>
        <v>-212000</v>
      </c>
      <c r="N9" s="56">
        <f t="shared" si="1"/>
        <v>-52540</v>
      </c>
      <c r="O9" s="56">
        <f t="shared" si="1"/>
        <v>-73400</v>
      </c>
      <c r="P9" s="56">
        <f t="shared" si="1"/>
        <v>-89800</v>
      </c>
      <c r="Q9" s="56">
        <f t="shared" si="1"/>
        <v>-74360</v>
      </c>
      <c r="R9" s="56">
        <f t="shared" si="1"/>
        <v>-43600</v>
      </c>
      <c r="S9" s="56">
        <f t="shared" si="1"/>
        <v>-67640</v>
      </c>
      <c r="T9" s="56">
        <f t="shared" si="1"/>
        <v>-76420</v>
      </c>
      <c r="U9" s="56">
        <f t="shared" si="1"/>
        <v>-49340</v>
      </c>
      <c r="V9" s="55"/>
      <c r="W9" s="55"/>
      <c r="X9" s="55"/>
      <c r="Y9" s="55"/>
    </row>
    <row r="10" ht="30.75" customHeight="1">
      <c r="A10" s="54" t="s">
        <v>79</v>
      </c>
      <c r="B10" s="56"/>
      <c r="C10" s="56"/>
      <c r="D10" s="56"/>
      <c r="E10" s="56"/>
      <c r="F10" s="56">
        <f t="shared" ref="F10:U10" si="2">F13</f>
        <v>62</v>
      </c>
      <c r="G10" s="56">
        <f t="shared" si="2"/>
        <v>95</v>
      </c>
      <c r="H10" s="56">
        <f t="shared" si="2"/>
        <v>129</v>
      </c>
      <c r="I10" s="56">
        <f t="shared" si="2"/>
        <v>82</v>
      </c>
      <c r="J10" s="56">
        <f t="shared" si="2"/>
        <v>40</v>
      </c>
      <c r="K10" s="56">
        <f t="shared" si="2"/>
        <v>60</v>
      </c>
      <c r="L10" s="56">
        <f t="shared" si="2"/>
        <v>82</v>
      </c>
      <c r="M10" s="56">
        <f t="shared" si="2"/>
        <v>106</v>
      </c>
      <c r="N10" s="56">
        <f t="shared" si="2"/>
        <v>26.27</v>
      </c>
      <c r="O10" s="56">
        <f t="shared" si="2"/>
        <v>36.7</v>
      </c>
      <c r="P10" s="56">
        <f t="shared" si="2"/>
        <v>44.9</v>
      </c>
      <c r="Q10" s="56">
        <f t="shared" si="2"/>
        <v>37.18</v>
      </c>
      <c r="R10" s="56">
        <f t="shared" si="2"/>
        <v>21.8</v>
      </c>
      <c r="S10" s="56">
        <f t="shared" si="2"/>
        <v>33.82</v>
      </c>
      <c r="T10" s="56">
        <f t="shared" si="2"/>
        <v>38.21</v>
      </c>
      <c r="U10" s="56">
        <f t="shared" si="2"/>
        <v>24.67</v>
      </c>
      <c r="V10" s="55"/>
      <c r="W10" s="55"/>
      <c r="X10" s="55"/>
      <c r="Y10" s="55"/>
    </row>
    <row r="11" ht="30.75" customHeight="1">
      <c r="A11" s="54" t="s">
        <v>80</v>
      </c>
      <c r="B11" s="56"/>
      <c r="C11" s="56"/>
      <c r="D11" s="56"/>
      <c r="E11" s="56"/>
      <c r="F11" s="56">
        <v>-2000.0</v>
      </c>
      <c r="G11" s="56">
        <v>-2000.0</v>
      </c>
      <c r="H11" s="56">
        <v>-2000.0</v>
      </c>
      <c r="I11" s="56">
        <v>-2000.0</v>
      </c>
      <c r="J11" s="56">
        <v>-2000.0</v>
      </c>
      <c r="K11" s="56">
        <v>-2000.0</v>
      </c>
      <c r="L11" s="56">
        <v>-2000.0</v>
      </c>
      <c r="M11" s="56">
        <v>-2000.0</v>
      </c>
      <c r="N11" s="56">
        <v>-2000.0</v>
      </c>
      <c r="O11" s="56">
        <v>-2000.0</v>
      </c>
      <c r="P11" s="56">
        <v>-2000.0</v>
      </c>
      <c r="Q11" s="56">
        <v>-2000.0</v>
      </c>
      <c r="R11" s="56">
        <v>-2000.0</v>
      </c>
      <c r="S11" s="56">
        <v>-2000.0</v>
      </c>
      <c r="T11" s="56">
        <v>-2000.0</v>
      </c>
      <c r="U11" s="56">
        <v>-2000.0</v>
      </c>
      <c r="V11" s="55"/>
      <c r="W11" s="55"/>
      <c r="X11" s="55"/>
      <c r="Y11" s="55"/>
    </row>
    <row r="12" ht="30.75" customHeight="1">
      <c r="A12" s="54" t="s">
        <v>81</v>
      </c>
      <c r="B12" s="56"/>
      <c r="C12" s="56"/>
      <c r="D12" s="56"/>
      <c r="E12" s="56"/>
      <c r="F12" s="56">
        <f t="shared" ref="F12:U12" si="3">F14*F13</f>
        <v>930000</v>
      </c>
      <c r="G12" s="56">
        <f t="shared" si="3"/>
        <v>1425000</v>
      </c>
      <c r="H12" s="56">
        <f t="shared" si="3"/>
        <v>1935000</v>
      </c>
      <c r="I12" s="56">
        <f t="shared" si="3"/>
        <v>1230000</v>
      </c>
      <c r="J12" s="56">
        <f t="shared" si="3"/>
        <v>600000</v>
      </c>
      <c r="K12" s="56">
        <f t="shared" si="3"/>
        <v>900000</v>
      </c>
      <c r="L12" s="56">
        <f t="shared" si="3"/>
        <v>1230000</v>
      </c>
      <c r="M12" s="56">
        <f t="shared" si="3"/>
        <v>1590000</v>
      </c>
      <c r="N12" s="56">
        <f t="shared" si="3"/>
        <v>394050</v>
      </c>
      <c r="O12" s="56">
        <f t="shared" si="3"/>
        <v>550500</v>
      </c>
      <c r="P12" s="56">
        <f t="shared" si="3"/>
        <v>673500</v>
      </c>
      <c r="Q12" s="56">
        <f t="shared" si="3"/>
        <v>557700</v>
      </c>
      <c r="R12" s="56">
        <f t="shared" si="3"/>
        <v>327000</v>
      </c>
      <c r="S12" s="56">
        <f t="shared" si="3"/>
        <v>507300</v>
      </c>
      <c r="T12" s="56">
        <f t="shared" si="3"/>
        <v>573150</v>
      </c>
      <c r="U12" s="56">
        <f t="shared" si="3"/>
        <v>370050</v>
      </c>
      <c r="V12" s="55"/>
      <c r="W12" s="55"/>
      <c r="X12" s="55"/>
      <c r="Y12" s="55"/>
    </row>
    <row r="13" ht="30.75" customHeight="1">
      <c r="A13" s="54" t="s">
        <v>82</v>
      </c>
      <c r="B13" s="56"/>
      <c r="C13" s="56"/>
      <c r="D13" s="56"/>
      <c r="E13" s="56"/>
      <c r="F13" s="56">
        <v>62.0</v>
      </c>
      <c r="G13" s="56">
        <v>95.0</v>
      </c>
      <c r="H13" s="56">
        <v>129.0</v>
      </c>
      <c r="I13" s="56">
        <v>82.0</v>
      </c>
      <c r="J13" s="56">
        <v>40.0</v>
      </c>
      <c r="K13" s="56">
        <v>60.0</v>
      </c>
      <c r="L13" s="56">
        <v>82.0</v>
      </c>
      <c r="M13" s="56">
        <v>106.0</v>
      </c>
      <c r="N13" s="56">
        <v>26.27</v>
      </c>
      <c r="O13" s="56">
        <v>36.7</v>
      </c>
      <c r="P13" s="56">
        <v>44.9</v>
      </c>
      <c r="Q13" s="56">
        <v>37.18</v>
      </c>
      <c r="R13" s="56">
        <v>21.8</v>
      </c>
      <c r="S13" s="56">
        <v>33.82</v>
      </c>
      <c r="T13" s="56">
        <v>38.21</v>
      </c>
      <c r="U13" s="56">
        <v>24.67</v>
      </c>
      <c r="V13" s="55"/>
      <c r="W13" s="55"/>
      <c r="X13" s="55"/>
      <c r="Y13" s="55"/>
    </row>
    <row r="14" ht="30.75" customHeight="1">
      <c r="A14" s="54" t="s">
        <v>83</v>
      </c>
      <c r="B14" s="56"/>
      <c r="C14" s="56"/>
      <c r="D14" s="56"/>
      <c r="E14" s="56"/>
      <c r="F14" s="57">
        <v>15000.0</v>
      </c>
      <c r="G14" s="56">
        <v>15000.0</v>
      </c>
      <c r="H14" s="56">
        <v>15000.0</v>
      </c>
      <c r="I14" s="56">
        <v>15000.0</v>
      </c>
      <c r="J14" s="56">
        <v>15000.0</v>
      </c>
      <c r="K14" s="56">
        <v>15000.0</v>
      </c>
      <c r="L14" s="56">
        <v>15000.0</v>
      </c>
      <c r="M14" s="56">
        <v>15000.0</v>
      </c>
      <c r="N14" s="56">
        <v>15000.0</v>
      </c>
      <c r="O14" s="56">
        <v>15000.0</v>
      </c>
      <c r="P14" s="56">
        <v>15000.0</v>
      </c>
      <c r="Q14" s="56">
        <v>15000.0</v>
      </c>
      <c r="R14" s="56">
        <v>15000.0</v>
      </c>
      <c r="S14" s="56">
        <v>15000.0</v>
      </c>
      <c r="T14" s="56">
        <v>15000.0</v>
      </c>
      <c r="U14" s="56">
        <v>15000.0</v>
      </c>
      <c r="V14" s="55"/>
      <c r="W14" s="55"/>
      <c r="X14" s="55"/>
      <c r="Y14" s="55"/>
    </row>
    <row r="15" ht="30.75" customHeight="1">
      <c r="A15" s="54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5"/>
      <c r="W15" s="55"/>
      <c r="X15" s="55"/>
      <c r="Y15" s="55"/>
      <c r="Z15" s="55"/>
    </row>
    <row r="16" ht="30.75" customHeight="1">
      <c r="A16" s="54" t="s">
        <v>84</v>
      </c>
      <c r="B16" s="56">
        <f t="shared" ref="B16:C16" si="4">SUM(B6+B7+B8+B9+B12) </f>
        <v>-87500</v>
      </c>
      <c r="C16" s="56">
        <f t="shared" si="4"/>
        <v>-87500</v>
      </c>
      <c r="D16" s="56">
        <f>SUM(D6+D7+D8+D9+D10) </f>
        <v>-287500</v>
      </c>
      <c r="E16" s="56">
        <f t="shared" ref="E16:F16" si="5">SUM(E6+D7+E8+E9+E12) </f>
        <v>-287500</v>
      </c>
      <c r="F16" s="56">
        <f t="shared" si="5"/>
        <v>491250</v>
      </c>
      <c r="G16" s="56">
        <f t="shared" ref="G16:U16" si="6">SUM(G6+F7+F8+F9+F12) </f>
        <v>691250</v>
      </c>
      <c r="H16" s="56">
        <f t="shared" si="6"/>
        <v>1186250</v>
      </c>
      <c r="I16" s="56">
        <f t="shared" si="6"/>
        <v>1562250</v>
      </c>
      <c r="J16" s="56">
        <f t="shared" si="6"/>
        <v>951250</v>
      </c>
      <c r="K16" s="56">
        <f t="shared" si="6"/>
        <v>405250</v>
      </c>
      <c r="L16" s="56">
        <f t="shared" si="6"/>
        <v>665250</v>
      </c>
      <c r="M16" s="56">
        <f t="shared" si="6"/>
        <v>951250</v>
      </c>
      <c r="N16" s="56">
        <f t="shared" si="6"/>
        <v>1263250</v>
      </c>
      <c r="O16" s="56">
        <f t="shared" si="6"/>
        <v>226760</v>
      </c>
      <c r="P16" s="56">
        <f t="shared" si="6"/>
        <v>362350</v>
      </c>
      <c r="Q16" s="56">
        <f t="shared" si="6"/>
        <v>468950</v>
      </c>
      <c r="R16" s="56">
        <f t="shared" si="6"/>
        <v>368590</v>
      </c>
      <c r="S16" s="56">
        <f t="shared" si="6"/>
        <v>168650</v>
      </c>
      <c r="T16" s="56">
        <f t="shared" si="6"/>
        <v>324910</v>
      </c>
      <c r="U16" s="56">
        <f t="shared" si="6"/>
        <v>381980</v>
      </c>
      <c r="V16" s="55"/>
      <c r="W16" s="55"/>
      <c r="X16" s="55"/>
      <c r="Y16" s="55"/>
      <c r="Z16" s="55"/>
    </row>
    <row r="17" ht="30.75" customHeight="1">
      <c r="A17" s="54" t="s">
        <v>85</v>
      </c>
      <c r="B17" s="56">
        <f>B16</f>
        <v>-87500</v>
      </c>
      <c r="C17" s="58">
        <f>C16/(1+(ScenarioParameters!$B$7/100)/4)^B3</f>
        <v>-87472.66479</v>
      </c>
      <c r="D17" s="58">
        <f>D16/(1+(ScenarioParameters!$B$7/100)/4)^C3</f>
        <v>-287320.3967</v>
      </c>
      <c r="E17" s="58">
        <f>E16/(1+(ScenarioParameters!$B$7/100)/4)^D3</f>
        <v>-287230.6371</v>
      </c>
      <c r="F17" s="58">
        <f>F16/(1+(ScenarioParameters!$B$7/100)/4)^E3</f>
        <v>490636.4169</v>
      </c>
      <c r="G17" s="58">
        <f>G16/(1+(ScenarioParameters!$B$7/100)/4)^F3</f>
        <v>690170.9337</v>
      </c>
      <c r="H17" s="58">
        <f>H16/(1+(ScenarioParameters!$B$7/100)/4)^G3</f>
        <v>1184028.212</v>
      </c>
      <c r="I17" s="58">
        <f>I16/(1+(ScenarioParameters!$B$7/100)/4)^H3</f>
        <v>1558836.846</v>
      </c>
      <c r="J17" s="58">
        <f>J16/(1+(ScenarioParameters!$B$7/100)/4)^I3</f>
        <v>948875.2158</v>
      </c>
      <c r="K17" s="58">
        <f>K16/(1+(ScenarioParameters!$B$7/100)/4)^J3</f>
        <v>404112.0132</v>
      </c>
      <c r="L17" s="58">
        <f>L16/(1+(ScenarioParameters!$B$7/100)/4)^K3</f>
        <v>663174.6624</v>
      </c>
      <c r="M17" s="58">
        <f>M16/(1+(ScenarioParameters!$B$7/100)/4)^L3</f>
        <v>947986.2009</v>
      </c>
      <c r="N17" s="58">
        <f>N16/(1+(ScenarioParameters!$B$7/100)/4)^M3</f>
        <v>1258522.421</v>
      </c>
      <c r="O17" s="58">
        <f>O16/(1+(ScenarioParameters!$B$7/100)/4)^N3</f>
        <v>225840.7995</v>
      </c>
      <c r="P17" s="58">
        <f>P16/(1+(ScenarioParameters!$B$7/100)/4)^O3</f>
        <v>360768.4281</v>
      </c>
      <c r="Q17" s="58">
        <f>Q16/(1+(ScenarioParameters!$B$7/100)/4)^P3</f>
        <v>466757.2827</v>
      </c>
      <c r="R17" s="58">
        <f>R16/(1+(ScenarioParameters!$B$7/100)/4)^Q3</f>
        <v>366751.9362</v>
      </c>
      <c r="S17" s="58">
        <f>S16/(1+(ScenarioParameters!$B$7/100)/4)^R3</f>
        <v>167756.5618</v>
      </c>
      <c r="T17" s="58">
        <f>T16/(1+(ScenarioParameters!$B$7/100)/4)^S3</f>
        <v>323087.7957</v>
      </c>
      <c r="U17" s="58">
        <f>U16/(1+(ScenarioParameters!$B$7/100)/4)^T3</f>
        <v>379719.0658</v>
      </c>
      <c r="V17" s="59"/>
      <c r="W17" s="59"/>
      <c r="X17" s="59"/>
      <c r="Y17" s="59"/>
      <c r="Z17" s="59"/>
    </row>
    <row r="18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5"/>
      <c r="W18" s="55"/>
      <c r="X18" s="55"/>
      <c r="Y18" s="55"/>
      <c r="Z18" s="55"/>
    </row>
    <row r="19" ht="33.0" customHeight="1">
      <c r="A19" s="54" t="s">
        <v>86</v>
      </c>
      <c r="B19" s="60">
        <f>SUM(B17:Q17)</f>
        <v>8450185.733</v>
      </c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5"/>
      <c r="W19" s="55"/>
      <c r="X19" s="55"/>
      <c r="Y19" s="55"/>
      <c r="Z19" s="55"/>
    </row>
    <row r="20">
      <c r="A20" s="54"/>
      <c r="B20" s="54"/>
      <c r="C20" s="54"/>
      <c r="D20" s="54"/>
      <c r="E20" s="54"/>
      <c r="F20" s="54" t="str">
        <f>Demand!D20</f>
        <v/>
      </c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5"/>
      <c r="W20" s="55"/>
      <c r="X20" s="55"/>
      <c r="Y20" s="55"/>
      <c r="Z20" s="55"/>
    </row>
    <row r="21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5"/>
      <c r="W21" s="55"/>
      <c r="X21" s="55"/>
      <c r="Y21" s="55"/>
      <c r="Z21" s="55"/>
    </row>
    <row r="22">
      <c r="A22" s="54"/>
      <c r="B22" s="54"/>
      <c r="C22" s="54"/>
      <c r="D22" s="54" t="s">
        <v>87</v>
      </c>
      <c r="E22" s="54" t="str">
        <f>Demand!C22</f>
        <v/>
      </c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5"/>
      <c r="W22" s="55"/>
      <c r="X22" s="55"/>
      <c r="Y22" s="55"/>
      <c r="Z22" s="55"/>
    </row>
    <row r="23">
      <c r="A23" s="54" t="s">
        <v>88</v>
      </c>
      <c r="B23" s="54">
        <v>0.7</v>
      </c>
      <c r="C23" s="54"/>
      <c r="D23" s="54"/>
      <c r="E23" s="54" t="str">
        <f>Demand!C23</f>
        <v/>
      </c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5"/>
      <c r="W23" s="55"/>
      <c r="X23" s="55"/>
      <c r="Y23" s="55"/>
      <c r="Z23" s="55"/>
    </row>
    <row r="24">
      <c r="A24" s="54" t="s">
        <v>89</v>
      </c>
      <c r="B24" s="54">
        <v>1.0</v>
      </c>
      <c r="C24" s="54"/>
      <c r="D24" s="54"/>
      <c r="E24" s="54" t="str">
        <f>Demand!C24</f>
        <v/>
      </c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5"/>
      <c r="W24" s="55"/>
      <c r="X24" s="55"/>
      <c r="Y24" s="55"/>
      <c r="Z24" s="55"/>
    </row>
    <row r="25">
      <c r="A25" s="55"/>
      <c r="B25" s="61"/>
      <c r="C25" s="55"/>
      <c r="D25" s="55"/>
      <c r="E25" s="23" t="str">
        <f>Demand!C25</f>
        <v/>
      </c>
      <c r="G25" s="62"/>
      <c r="H25" s="55"/>
      <c r="I25" s="62"/>
      <c r="J25" s="55"/>
      <c r="K25" s="55"/>
      <c r="L25" s="55"/>
      <c r="M25" s="55"/>
      <c r="N25" s="55"/>
      <c r="O25" s="55"/>
      <c r="P25" s="63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>
      <c r="A26" s="55"/>
      <c r="B26" s="61"/>
      <c r="C26" s="55"/>
      <c r="D26" s="55"/>
      <c r="E26" s="23" t="str">
        <f>Demand!C26</f>
        <v/>
      </c>
      <c r="G26" s="62"/>
      <c r="H26" s="55"/>
      <c r="I26" s="62"/>
      <c r="J26" s="55"/>
      <c r="K26" s="55"/>
      <c r="L26" s="55"/>
      <c r="M26" s="55"/>
      <c r="N26" s="55"/>
      <c r="O26" s="55"/>
      <c r="P26" s="63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>
      <c r="A27" s="55"/>
      <c r="B27" s="61"/>
      <c r="C27" s="55"/>
      <c r="D27" s="55"/>
      <c r="E27" s="23" t="str">
        <f>Demand!C27</f>
        <v/>
      </c>
      <c r="G27" s="62"/>
      <c r="H27" s="55"/>
      <c r="I27" s="62"/>
      <c r="J27" s="55"/>
      <c r="K27" s="55"/>
      <c r="L27" s="55"/>
      <c r="M27" s="55"/>
      <c r="N27" s="55"/>
      <c r="O27" s="55"/>
      <c r="P27" s="63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>
      <c r="A28" s="55"/>
      <c r="B28" s="55"/>
      <c r="C28" s="55"/>
      <c r="D28" s="55"/>
      <c r="E28" s="23" t="str">
        <f>Demand!C28</f>
        <v/>
      </c>
      <c r="G28" s="62"/>
      <c r="H28" s="55"/>
      <c r="I28" s="62"/>
      <c r="J28" s="55"/>
      <c r="K28" s="55"/>
      <c r="L28" s="55"/>
      <c r="M28" s="55"/>
      <c r="N28" s="55"/>
      <c r="O28" s="55"/>
      <c r="P28" s="63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>
      <c r="A29" s="55"/>
      <c r="B29" s="55"/>
      <c r="C29" s="55"/>
      <c r="D29" s="55"/>
      <c r="E29" s="23" t="str">
        <f>Demand!C29</f>
        <v/>
      </c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63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>
      <c r="A30" s="55"/>
      <c r="B30" s="55"/>
      <c r="C30" s="55"/>
      <c r="D30" s="55"/>
      <c r="E30" s="23" t="str">
        <f>Demand!C30</f>
        <v/>
      </c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63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>
      <c r="A31" s="55"/>
      <c r="B31" s="55"/>
      <c r="C31" s="55"/>
      <c r="D31" s="55"/>
      <c r="E31" s="23" t="str">
        <f>Demand!C31</f>
        <v/>
      </c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63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>
      <c r="A32" s="55"/>
      <c r="B32" s="55"/>
      <c r="C32" s="55"/>
      <c r="D32" s="55"/>
      <c r="E32" s="23" t="str">
        <f>Demand!C32</f>
        <v/>
      </c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>
      <c r="A33" s="55"/>
      <c r="B33" s="55"/>
      <c r="C33" s="55"/>
      <c r="D33" s="55"/>
      <c r="E33" s="23" t="str">
        <f>Demand!C33</f>
        <v/>
      </c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>
      <c r="A34" s="55"/>
      <c r="B34" s="55"/>
      <c r="C34" s="55"/>
      <c r="D34" s="55"/>
      <c r="E34" s="23" t="str">
        <f>Demand!C34</f>
        <v/>
      </c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>
      <c r="A35" s="55"/>
      <c r="B35" s="55"/>
      <c r="C35" s="55"/>
      <c r="D35" s="55"/>
      <c r="E35" s="23" t="str">
        <f>Demand!C35</f>
        <v/>
      </c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>
      <c r="A36" s="55"/>
      <c r="B36" s="55"/>
      <c r="C36" s="55"/>
      <c r="D36" s="55"/>
      <c r="E36" s="23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>
      <c r="A38" s="55"/>
      <c r="B38" s="55"/>
      <c r="C38" s="55"/>
      <c r="D38" s="55"/>
      <c r="E38" s="55"/>
      <c r="F38" s="55"/>
      <c r="G38" s="55"/>
      <c r="H38" s="55"/>
      <c r="I38" s="55"/>
      <c r="J38" s="62" t="s">
        <v>90</v>
      </c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20.38"/>
    <col customWidth="1" min="3" max="3" width="23.88"/>
    <col customWidth="1" min="4" max="4" width="24.88"/>
    <col customWidth="1" min="5" max="5" width="14.75"/>
    <col customWidth="1" min="6" max="6" width="19.0"/>
    <col customWidth="1" min="7" max="7" width="27.25"/>
  </cols>
  <sheetData>
    <row r="1" ht="25.5" customHeight="1">
      <c r="A1" s="25" t="s">
        <v>75</v>
      </c>
      <c r="B1" s="25" t="s">
        <v>91</v>
      </c>
      <c r="C1" s="25" t="s">
        <v>75</v>
      </c>
      <c r="D1" s="25" t="s">
        <v>92</v>
      </c>
      <c r="E1" s="25" t="s">
        <v>93</v>
      </c>
      <c r="F1" s="25" t="s">
        <v>94</v>
      </c>
      <c r="G1" s="25" t="s">
        <v>95</v>
      </c>
    </row>
    <row r="2">
      <c r="A2" s="64">
        <v>-125000.0</v>
      </c>
      <c r="B2" s="65">
        <v>0.3</v>
      </c>
      <c r="C2" s="66">
        <f t="shared" ref="C2:C8" si="1">A2*(1+B2)</f>
        <v>-162500</v>
      </c>
      <c r="D2" s="64">
        <f t="shared" ref="D2:D8" si="2">C2-A2</f>
        <v>-37500</v>
      </c>
      <c r="E2" s="67">
        <v>8150326.285156261</v>
      </c>
      <c r="F2" s="20">
        <f t="shared" ref="F2:F8" si="3">1-(E2/$E$5)</f>
        <v>0.01806326503</v>
      </c>
      <c r="G2" s="68">
        <f t="shared" ref="G2:G8" si="4">E2-$E$5</f>
        <v>-149929.7241</v>
      </c>
    </row>
    <row r="3">
      <c r="A3" s="64">
        <v>-125000.0</v>
      </c>
      <c r="B3" s="65">
        <v>0.2</v>
      </c>
      <c r="C3" s="66">
        <f t="shared" si="1"/>
        <v>-150000</v>
      </c>
      <c r="D3" s="64">
        <f t="shared" si="2"/>
        <v>-25000</v>
      </c>
      <c r="E3" s="67">
        <v>8200302.859857572</v>
      </c>
      <c r="F3" s="20">
        <f t="shared" si="3"/>
        <v>0.01204217669</v>
      </c>
      <c r="G3" s="68">
        <f t="shared" si="4"/>
        <v>-99953.1494</v>
      </c>
    </row>
    <row r="4">
      <c r="A4" s="64">
        <v>-125000.0</v>
      </c>
      <c r="B4" s="65">
        <v>0.1</v>
      </c>
      <c r="C4" s="66">
        <f t="shared" si="1"/>
        <v>-137500</v>
      </c>
      <c r="D4" s="64">
        <f t="shared" si="2"/>
        <v>-12500</v>
      </c>
      <c r="E4" s="69">
        <v>8250279.434558884</v>
      </c>
      <c r="F4" s="20">
        <f t="shared" si="3"/>
        <v>0.006021088343</v>
      </c>
      <c r="G4" s="68">
        <f t="shared" si="4"/>
        <v>-49976.5747</v>
      </c>
    </row>
    <row r="5">
      <c r="A5" s="64">
        <v>-125000.0</v>
      </c>
      <c r="B5" s="65">
        <v>0.0</v>
      </c>
      <c r="C5" s="66">
        <f t="shared" si="1"/>
        <v>-125000</v>
      </c>
      <c r="D5" s="64">
        <f t="shared" si="2"/>
        <v>0</v>
      </c>
      <c r="E5" s="69">
        <v>8300256.009260196</v>
      </c>
      <c r="F5" s="20">
        <f t="shared" si="3"/>
        <v>0</v>
      </c>
      <c r="G5" s="68">
        <f t="shared" si="4"/>
        <v>0</v>
      </c>
    </row>
    <row r="6">
      <c r="A6" s="64">
        <v>-125000.0</v>
      </c>
      <c r="B6" s="65">
        <v>-0.1</v>
      </c>
      <c r="C6" s="66">
        <f t="shared" si="1"/>
        <v>-112500</v>
      </c>
      <c r="D6" s="64">
        <f t="shared" si="2"/>
        <v>12500</v>
      </c>
      <c r="E6" s="69">
        <v>8350232.583961507</v>
      </c>
      <c r="F6" s="20">
        <f t="shared" si="3"/>
        <v>-0.006021088343</v>
      </c>
      <c r="G6" s="68">
        <f t="shared" si="4"/>
        <v>49976.5747</v>
      </c>
    </row>
    <row r="7">
      <c r="A7" s="64">
        <v>-125000.0</v>
      </c>
      <c r="B7" s="65">
        <v>-0.2</v>
      </c>
      <c r="C7" s="66">
        <f t="shared" si="1"/>
        <v>-100000</v>
      </c>
      <c r="D7" s="64">
        <f t="shared" si="2"/>
        <v>25000</v>
      </c>
      <c r="E7" s="67">
        <v>8400209.15866282</v>
      </c>
      <c r="F7" s="20">
        <f t="shared" si="3"/>
        <v>-0.01204217669</v>
      </c>
      <c r="G7" s="68">
        <f t="shared" si="4"/>
        <v>99953.1494</v>
      </c>
    </row>
    <row r="8">
      <c r="A8" s="64">
        <v>-125000.0</v>
      </c>
      <c r="B8" s="65">
        <v>-0.3</v>
      </c>
      <c r="C8" s="66">
        <f t="shared" si="1"/>
        <v>-87500</v>
      </c>
      <c r="D8" s="64">
        <f t="shared" si="2"/>
        <v>37500</v>
      </c>
      <c r="E8" s="67">
        <v>8450185.733364131</v>
      </c>
      <c r="F8" s="20">
        <f t="shared" si="3"/>
        <v>-0.01806326503</v>
      </c>
      <c r="G8" s="68">
        <f t="shared" si="4"/>
        <v>149929.7241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19.25"/>
    <col customWidth="1" min="3" max="3" width="18.38"/>
    <col customWidth="1" min="4" max="4" width="18.75"/>
    <col customWidth="1" min="5" max="5" width="12.88"/>
    <col customWidth="1" min="6" max="6" width="16.38"/>
    <col customWidth="1" min="7" max="7" width="19.25"/>
  </cols>
  <sheetData>
    <row r="1" ht="25.5" customHeight="1">
      <c r="A1" s="70" t="s">
        <v>96</v>
      </c>
      <c r="B1" s="70" t="s">
        <v>97</v>
      </c>
      <c r="C1" s="70" t="s">
        <v>96</v>
      </c>
      <c r="D1" s="71" t="s">
        <v>98</v>
      </c>
      <c r="E1" s="70" t="s">
        <v>99</v>
      </c>
      <c r="F1" s="70" t="s">
        <v>94</v>
      </c>
      <c r="G1" s="70" t="s">
        <v>100</v>
      </c>
    </row>
    <row r="2">
      <c r="A2" s="72">
        <f>'Base Case Profit'!$F$9</f>
        <v>-124000</v>
      </c>
      <c r="B2" s="65">
        <v>0.3</v>
      </c>
      <c r="C2" s="66">
        <f t="shared" ref="C2:C8" si="1">A2*(1+B2)</f>
        <v>-161200</v>
      </c>
      <c r="D2" s="73">
        <f t="shared" ref="D2:D8" si="2">C2-A2</f>
        <v>-37200</v>
      </c>
      <c r="E2" s="67">
        <v>7825872.6431129165</v>
      </c>
      <c r="F2" s="74">
        <f t="shared" ref="F2:F8" si="3">1-(E2/$E$5)</f>
        <v>0.05715285958</v>
      </c>
      <c r="G2" s="75">
        <f t="shared" ref="G2:G8" si="4">E2-$E$5</f>
        <v>-474383.3661</v>
      </c>
    </row>
    <row r="3">
      <c r="A3" s="72">
        <f>'Base Case Profit'!$F$9</f>
        <v>-124000</v>
      </c>
      <c r="B3" s="65">
        <v>0.2</v>
      </c>
      <c r="C3" s="66">
        <f t="shared" si="1"/>
        <v>-148800</v>
      </c>
      <c r="D3" s="73">
        <f t="shared" si="2"/>
        <v>-24800</v>
      </c>
      <c r="E3" s="67">
        <v>7984000.431828679</v>
      </c>
      <c r="F3" s="74">
        <f t="shared" si="3"/>
        <v>0.03810190638</v>
      </c>
      <c r="G3" s="75">
        <f t="shared" si="4"/>
        <v>-316255.5774</v>
      </c>
    </row>
    <row r="4">
      <c r="A4" s="72">
        <f>'Base Case Profit'!$F$9</f>
        <v>-124000</v>
      </c>
      <c r="B4" s="65">
        <v>0.1</v>
      </c>
      <c r="C4" s="66">
        <f t="shared" si="1"/>
        <v>-136400</v>
      </c>
      <c r="D4" s="73">
        <f t="shared" si="2"/>
        <v>-12400</v>
      </c>
      <c r="E4" s="67">
        <v>8142128.220544437</v>
      </c>
      <c r="F4" s="74">
        <f t="shared" si="3"/>
        <v>0.01905095319</v>
      </c>
      <c r="G4" s="75">
        <f t="shared" si="4"/>
        <v>-158127.7887</v>
      </c>
    </row>
    <row r="5">
      <c r="A5" s="72">
        <f>'Base Case Profit'!$F$9</f>
        <v>-124000</v>
      </c>
      <c r="B5" s="65">
        <v>0.0</v>
      </c>
      <c r="C5" s="66">
        <f t="shared" si="1"/>
        <v>-124000</v>
      </c>
      <c r="D5" s="73">
        <f t="shared" si="2"/>
        <v>0</v>
      </c>
      <c r="E5" s="67">
        <v>8300256.009260196</v>
      </c>
      <c r="F5" s="74">
        <f t="shared" si="3"/>
        <v>0</v>
      </c>
      <c r="G5" s="75">
        <f t="shared" si="4"/>
        <v>0</v>
      </c>
    </row>
    <row r="6">
      <c r="A6" s="72">
        <f>'Base Case Profit'!$F$9</f>
        <v>-124000</v>
      </c>
      <c r="B6" s="65">
        <v>-0.1</v>
      </c>
      <c r="C6" s="66">
        <f t="shared" si="1"/>
        <v>-111600</v>
      </c>
      <c r="D6" s="73">
        <f t="shared" si="2"/>
        <v>12400</v>
      </c>
      <c r="E6" s="67">
        <v>8458383.797975954</v>
      </c>
      <c r="F6" s="74">
        <f t="shared" si="3"/>
        <v>-0.01905095319</v>
      </c>
      <c r="G6" s="75">
        <f t="shared" si="4"/>
        <v>158127.7887</v>
      </c>
    </row>
    <row r="7">
      <c r="A7" s="72">
        <f>'Base Case Profit'!$F$9</f>
        <v>-124000</v>
      </c>
      <c r="B7" s="65">
        <v>-0.2</v>
      </c>
      <c r="C7" s="66">
        <f t="shared" si="1"/>
        <v>-99200</v>
      </c>
      <c r="D7" s="73">
        <f t="shared" si="2"/>
        <v>24800</v>
      </c>
      <c r="E7" s="67">
        <v>8616511.586691715</v>
      </c>
      <c r="F7" s="74">
        <f t="shared" si="3"/>
        <v>-0.03810190638</v>
      </c>
      <c r="G7" s="75">
        <f t="shared" si="4"/>
        <v>316255.5774</v>
      </c>
    </row>
    <row r="8">
      <c r="A8" s="72">
        <f>'Base Case Profit'!$F$9</f>
        <v>-124000</v>
      </c>
      <c r="B8" s="65">
        <v>-0.3</v>
      </c>
      <c r="C8" s="66">
        <f t="shared" si="1"/>
        <v>-86800</v>
      </c>
      <c r="D8" s="73">
        <f t="shared" si="2"/>
        <v>37200</v>
      </c>
      <c r="E8" s="67">
        <v>8774639.375407474</v>
      </c>
      <c r="F8" s="74">
        <f t="shared" si="3"/>
        <v>-0.05715285958</v>
      </c>
      <c r="G8" s="75">
        <f t="shared" si="4"/>
        <v>474383.3661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2" t="s">
        <v>2</v>
      </c>
      <c r="D1" s="3"/>
      <c r="E1" s="2" t="s">
        <v>3</v>
      </c>
      <c r="F1" s="3"/>
      <c r="G1" s="2" t="s">
        <v>4</v>
      </c>
      <c r="H1" s="3"/>
      <c r="I1" s="2" t="s">
        <v>5</v>
      </c>
      <c r="J1" s="3"/>
      <c r="K1" s="2" t="s">
        <v>6</v>
      </c>
      <c r="L1" s="3"/>
    </row>
    <row r="2">
      <c r="A2" s="1" t="s">
        <v>0</v>
      </c>
      <c r="B2" s="1" t="s">
        <v>1</v>
      </c>
      <c r="C2" s="4" t="s">
        <v>7</v>
      </c>
      <c r="D2" s="5" t="s">
        <v>8</v>
      </c>
      <c r="E2" s="4" t="s">
        <v>7</v>
      </c>
      <c r="F2" s="5" t="s">
        <v>8</v>
      </c>
      <c r="G2" s="4" t="s">
        <v>7</v>
      </c>
      <c r="H2" s="5" t="s">
        <v>8</v>
      </c>
      <c r="I2" s="4" t="s">
        <v>7</v>
      </c>
      <c r="J2" s="5" t="s">
        <v>8</v>
      </c>
      <c r="K2" s="4" t="s">
        <v>7</v>
      </c>
      <c r="L2" s="5" t="s">
        <v>8</v>
      </c>
    </row>
    <row r="3">
      <c r="A3" s="1">
        <v>1.0</v>
      </c>
      <c r="B3" s="1">
        <v>55.0</v>
      </c>
      <c r="C3" s="6">
        <v>0.02514986952535452</v>
      </c>
      <c r="D3" s="7">
        <v>-1.0</v>
      </c>
      <c r="E3" s="8"/>
      <c r="F3" s="9"/>
      <c r="G3" s="10">
        <v>0.1414592352092353</v>
      </c>
      <c r="H3" s="11">
        <v>1.0</v>
      </c>
      <c r="I3" s="6">
        <v>0.06390461760461758</v>
      </c>
      <c r="J3" s="9">
        <v>0.9191032862520889</v>
      </c>
      <c r="K3" s="6">
        <v>0.02514986952535452</v>
      </c>
      <c r="L3" s="7">
        <v>-1.0</v>
      </c>
    </row>
    <row r="4">
      <c r="A4" s="1">
        <v>2.0</v>
      </c>
      <c r="B4" s="1">
        <v>63.0</v>
      </c>
      <c r="C4" s="6">
        <v>0.030933080909378234</v>
      </c>
      <c r="D4" s="7">
        <v>-1.0</v>
      </c>
      <c r="E4" s="8"/>
      <c r="F4" s="9"/>
      <c r="G4" s="10">
        <v>0.05337301587301605</v>
      </c>
      <c r="H4" s="11">
        <v>2.0</v>
      </c>
      <c r="I4" s="6">
        <v>0.0045365079365078526</v>
      </c>
      <c r="J4" s="9">
        <v>-2.0</v>
      </c>
      <c r="K4" s="6">
        <v>0.029517231847700068</v>
      </c>
      <c r="L4" s="7">
        <v>-2.0</v>
      </c>
    </row>
    <row r="5">
      <c r="A5" s="1">
        <v>3.0</v>
      </c>
      <c r="B5" s="1">
        <v>87.0</v>
      </c>
      <c r="C5" s="6">
        <v>0.029749386679491868</v>
      </c>
      <c r="D5" s="7">
        <v>-1.0</v>
      </c>
      <c r="E5" s="8"/>
      <c r="F5" s="9"/>
      <c r="G5" s="10">
        <v>0.1472253010399562</v>
      </c>
      <c r="H5" s="11">
        <v>-2.170989778622422</v>
      </c>
      <c r="I5" s="6">
        <v>0.13246789304871368</v>
      </c>
      <c r="J5" s="9">
        <v>-3.0</v>
      </c>
      <c r="K5" s="6">
        <v>0.02642599152425859</v>
      </c>
      <c r="L5" s="7">
        <v>-3.0</v>
      </c>
    </row>
    <row r="6">
      <c r="A6" s="1">
        <v>4.0</v>
      </c>
      <c r="B6" s="1">
        <v>80.0</v>
      </c>
      <c r="C6" s="6">
        <v>0.06548864551420605</v>
      </c>
      <c r="D6" s="7">
        <v>0.3889351712921883</v>
      </c>
      <c r="E6" s="8"/>
      <c r="F6" s="9"/>
      <c r="G6" s="10">
        <v>0.1476350965266374</v>
      </c>
      <c r="H6" s="11">
        <v>-3.257165146133424</v>
      </c>
      <c r="I6" s="6">
        <v>0.14115167106580914</v>
      </c>
      <c r="J6" s="9">
        <v>-4.0</v>
      </c>
      <c r="K6" s="6">
        <v>0.0660602600988276</v>
      </c>
      <c r="L6" s="7">
        <v>1.8963521294704666</v>
      </c>
    </row>
    <row r="7">
      <c r="A7" s="1">
        <v>5.0</v>
      </c>
      <c r="B7" s="1">
        <v>45.0</v>
      </c>
      <c r="C7" s="6">
        <v>0.05768729687149345</v>
      </c>
      <c r="D7" s="7">
        <v>0.4234684847697886</v>
      </c>
      <c r="E7" s="8"/>
      <c r="F7" s="9"/>
      <c r="G7" s="10">
        <v>0.23919090572831148</v>
      </c>
      <c r="H7" s="11">
        <v>-0.5362657734521422</v>
      </c>
      <c r="I7" s="6">
        <v>0.2430485806442457</v>
      </c>
      <c r="J7" s="9">
        <v>-0.9059723172066393</v>
      </c>
      <c r="K7" s="6">
        <v>0.06099983332106148</v>
      </c>
      <c r="L7" s="7">
        <v>2.5905609645824317</v>
      </c>
    </row>
    <row r="8">
      <c r="A8" s="1">
        <v>6.0</v>
      </c>
      <c r="B8" s="1">
        <v>50.0</v>
      </c>
      <c r="C8" s="6">
        <v>0.05467710445005145</v>
      </c>
      <c r="D8" s="7">
        <v>0.4729864563717655</v>
      </c>
      <c r="E8" s="6">
        <v>0.5833333333333334</v>
      </c>
      <c r="F8" s="9">
        <v>1.0</v>
      </c>
      <c r="G8" s="10">
        <v>0.26384722458264925</v>
      </c>
      <c r="H8" s="11">
        <v>0.9108941887654802</v>
      </c>
      <c r="I8" s="6">
        <v>0.2737412148624173</v>
      </c>
      <c r="J8" s="9">
        <v>0.6660851776349368</v>
      </c>
      <c r="K8" s="6">
        <v>0.05965058842185688</v>
      </c>
      <c r="L8" s="7">
        <v>3.420138161243225</v>
      </c>
    </row>
    <row r="9">
      <c r="A9" s="1">
        <v>7.0</v>
      </c>
      <c r="B9" s="1">
        <v>70.0</v>
      </c>
      <c r="C9" s="6">
        <v>0.051004435948613945</v>
      </c>
      <c r="D9" s="7">
        <v>0.5155700134065122</v>
      </c>
      <c r="E9" s="6">
        <v>0.4791666666666667</v>
      </c>
      <c r="F9" s="9">
        <v>2.0</v>
      </c>
      <c r="G9" s="10">
        <v>0.22434024667601718</v>
      </c>
      <c r="H9" s="11">
        <v>0.8720194110510735</v>
      </c>
      <c r="I9" s="6">
        <v>0.22871283888903796</v>
      </c>
      <c r="J9" s="9">
        <v>0.7964488355829582</v>
      </c>
      <c r="K9" s="6">
        <v>0.05733777707560945</v>
      </c>
      <c r="L9" s="7">
        <v>4.321952961076265</v>
      </c>
    </row>
    <row r="10">
      <c r="A10" s="1">
        <v>8.0</v>
      </c>
      <c r="B10" s="1">
        <v>91.0</v>
      </c>
      <c r="C10" s="12">
        <v>0.060674738938842177</v>
      </c>
      <c r="D10" s="13">
        <v>0.03418710613019341</v>
      </c>
      <c r="E10" s="12">
        <v>0.3408730158730158</v>
      </c>
      <c r="F10" s="14">
        <v>2.4545454545454546</v>
      </c>
      <c r="G10" s="15">
        <v>0.33514878286515754</v>
      </c>
      <c r="H10" s="16">
        <v>-3.809723414716475</v>
      </c>
      <c r="I10" s="12">
        <v>0.22610412265268107</v>
      </c>
      <c r="J10" s="14">
        <v>-0.8040317699763221</v>
      </c>
      <c r="K10" s="12">
        <v>0.06452579460892009</v>
      </c>
      <c r="L10" s="13">
        <v>1.385365587201887</v>
      </c>
    </row>
  </sheetData>
  <mergeCells count="8">
    <mergeCell ref="C1:D1"/>
    <mergeCell ref="E1:F1"/>
    <mergeCell ref="G1:H1"/>
    <mergeCell ref="I1:J1"/>
    <mergeCell ref="K1:L1"/>
    <mergeCell ref="M1:N1"/>
    <mergeCell ref="O1:P1"/>
    <mergeCell ref="Q1:R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6.63"/>
    <col customWidth="1" min="3" max="4" width="7.25"/>
    <col customWidth="1" min="5" max="5" width="18.38"/>
    <col customWidth="1" min="6" max="6" width="9.0"/>
    <col customWidth="1" min="7" max="7" width="13.13"/>
    <col customWidth="1" min="8" max="8" width="19.5"/>
    <col customWidth="1" min="9" max="9" width="7.5"/>
    <col customWidth="1" min="10" max="10" width="5.63"/>
    <col customWidth="1" min="11" max="11" width="8.75"/>
    <col customWidth="1" min="12" max="13" width="6.38"/>
    <col customWidth="1" min="14" max="14" width="7.25"/>
    <col customWidth="1" min="15" max="15" width="10.25"/>
    <col customWidth="1" min="16" max="16" width="7.63"/>
    <col customWidth="1" min="17" max="17" width="5.63"/>
    <col customWidth="1" min="18" max="18" width="6.38"/>
  </cols>
  <sheetData>
    <row r="1">
      <c r="A1" s="1" t="s">
        <v>9</v>
      </c>
      <c r="B1" s="17" t="str">
        <f>Demand!A1</f>
        <v>Quarter</v>
      </c>
      <c r="C1" s="1" t="s">
        <v>10</v>
      </c>
      <c r="D1" s="17" t="str">
        <f>Demand!B1</f>
        <v>Demand</v>
      </c>
      <c r="E1" s="1" t="s">
        <v>11</v>
      </c>
      <c r="F1" s="1" t="s">
        <v>12</v>
      </c>
      <c r="G1" s="1" t="s">
        <v>13</v>
      </c>
      <c r="H1" s="1" t="s">
        <v>14</v>
      </c>
      <c r="I1" s="18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7</v>
      </c>
      <c r="Q1" s="1" t="s">
        <v>22</v>
      </c>
      <c r="R1" s="1" t="s">
        <v>23</v>
      </c>
    </row>
    <row r="2">
      <c r="A2" s="1">
        <v>1.0</v>
      </c>
      <c r="B2" s="17">
        <f>Demand!A2</f>
        <v>1</v>
      </c>
      <c r="C2" s="1">
        <v>1.0</v>
      </c>
      <c r="D2" s="17">
        <f>Demand!B2</f>
        <v>62</v>
      </c>
      <c r="F2" s="17">
        <f t="shared" ref="F2:F9" si="1">$C$22*C2+$C$21</f>
        <v>102.9125</v>
      </c>
      <c r="G2" s="19">
        <f t="shared" ref="G2:G9" si="2">D2/F2</f>
        <v>0.6024535406</v>
      </c>
      <c r="H2" s="19">
        <f t="shared" ref="H2:H5" si="3">(G2+G6)/2</f>
        <v>0.5696381107</v>
      </c>
      <c r="I2" s="19">
        <f t="shared" ref="I2:I13" si="4">($C$22*C2+$C$21)*H2</f>
        <v>58.62288207</v>
      </c>
      <c r="J2" s="19">
        <f t="shared" ref="J2:J9" si="5">I2-D2</f>
        <v>-3.377117933</v>
      </c>
      <c r="K2" s="19">
        <f t="shared" ref="K2:K9" si="6">ABS(J2)</f>
        <v>3.377117933</v>
      </c>
      <c r="L2" s="19">
        <f t="shared" ref="L2:L9" si="7">sumsq($J$2:J2)/C2</f>
        <v>11.40492553</v>
      </c>
      <c r="M2" s="19">
        <f t="shared" ref="M2:M9" si="8">sum($K$2:K2)/C2</f>
        <v>3.377117933</v>
      </c>
      <c r="N2" s="20">
        <f t="shared" ref="N2:N9" si="9">(J2/D2)</f>
        <v>-0.05446964408</v>
      </c>
      <c r="O2" s="20">
        <f t="shared" ref="O2:O9" si="10">abs(N2)</f>
        <v>0.05446964408</v>
      </c>
      <c r="P2" s="20">
        <f t="shared" ref="P2:P9" si="11">AVERAGE($O$2:O2)</f>
        <v>0.05446964408</v>
      </c>
      <c r="Q2" s="19">
        <f t="shared" ref="Q2:Q9" si="12">AVERAGE($J$2:J2)</f>
        <v>-3.377117933</v>
      </c>
      <c r="R2" s="19">
        <f t="shared" ref="R2:R9" si="13">Q2/M2</f>
        <v>-1</v>
      </c>
    </row>
    <row r="3">
      <c r="B3" s="17">
        <f>Demand!A3</f>
        <v>2</v>
      </c>
      <c r="C3" s="1">
        <v>2.0</v>
      </c>
      <c r="D3" s="17">
        <f>Demand!B3</f>
        <v>95</v>
      </c>
      <c r="F3" s="17">
        <f t="shared" si="1"/>
        <v>95.8125</v>
      </c>
      <c r="G3" s="19">
        <f t="shared" si="2"/>
        <v>0.9915198956</v>
      </c>
      <c r="H3" s="19">
        <f t="shared" si="3"/>
        <v>0.9407812718</v>
      </c>
      <c r="I3" s="19">
        <f t="shared" si="4"/>
        <v>90.1386056</v>
      </c>
      <c r="J3" s="19">
        <f t="shared" si="5"/>
        <v>-4.8613944</v>
      </c>
      <c r="K3" s="19">
        <f t="shared" si="6"/>
        <v>4.8613944</v>
      </c>
      <c r="L3" s="19">
        <f t="shared" si="7"/>
        <v>17.51904052</v>
      </c>
      <c r="M3" s="19">
        <f t="shared" si="8"/>
        <v>4.119256167</v>
      </c>
      <c r="N3" s="20">
        <f t="shared" si="9"/>
        <v>-0.05117257263</v>
      </c>
      <c r="O3" s="20">
        <f t="shared" si="10"/>
        <v>0.05117257263</v>
      </c>
      <c r="P3" s="20">
        <f t="shared" si="11"/>
        <v>0.05282110836</v>
      </c>
      <c r="Q3" s="19">
        <f t="shared" si="12"/>
        <v>-4.119256167</v>
      </c>
      <c r="R3" s="19">
        <f t="shared" si="13"/>
        <v>-1</v>
      </c>
    </row>
    <row r="4">
      <c r="B4" s="17">
        <f>Demand!A4</f>
        <v>3</v>
      </c>
      <c r="C4" s="1">
        <v>3.0</v>
      </c>
      <c r="D4" s="17">
        <f>Demand!B4</f>
        <v>129</v>
      </c>
      <c r="E4" s="21">
        <f t="shared" ref="E4:E7" si="14">(D2+D6+2*sum(D3:D5))/8</f>
        <v>89.25</v>
      </c>
      <c r="F4" s="17">
        <f t="shared" si="1"/>
        <v>88.7125</v>
      </c>
      <c r="G4" s="19">
        <f t="shared" si="2"/>
        <v>1.45413555</v>
      </c>
      <c r="H4" s="19">
        <f t="shared" si="3"/>
        <v>1.406860521</v>
      </c>
      <c r="I4" s="19">
        <f t="shared" si="4"/>
        <v>124.806114</v>
      </c>
      <c r="J4" s="19">
        <f t="shared" si="5"/>
        <v>-4.19388601</v>
      </c>
      <c r="K4" s="19">
        <f t="shared" si="6"/>
        <v>4.19388601</v>
      </c>
      <c r="L4" s="19">
        <f t="shared" si="7"/>
        <v>17.54225364</v>
      </c>
      <c r="M4" s="19">
        <f t="shared" si="8"/>
        <v>4.144132781</v>
      </c>
      <c r="N4" s="20">
        <f t="shared" si="9"/>
        <v>-0.03251074427</v>
      </c>
      <c r="O4" s="20">
        <f t="shared" si="10"/>
        <v>0.03251074427</v>
      </c>
      <c r="P4" s="20">
        <f t="shared" si="11"/>
        <v>0.04605098699</v>
      </c>
      <c r="Q4" s="19">
        <f t="shared" si="12"/>
        <v>-4.144132781</v>
      </c>
      <c r="R4" s="19">
        <f t="shared" si="13"/>
        <v>-1</v>
      </c>
    </row>
    <row r="5">
      <c r="B5" s="17">
        <f>Demand!A5</f>
        <v>4</v>
      </c>
      <c r="C5" s="1">
        <v>4.0</v>
      </c>
      <c r="D5" s="17">
        <f>Demand!B5</f>
        <v>82</v>
      </c>
      <c r="E5" s="17">
        <f t="shared" si="14"/>
        <v>82.125</v>
      </c>
      <c r="F5" s="17">
        <f t="shared" si="1"/>
        <v>81.6125</v>
      </c>
      <c r="G5" s="19">
        <f t="shared" si="2"/>
        <v>1.004748047</v>
      </c>
      <c r="H5" s="19">
        <f t="shared" si="3"/>
        <v>1.498380601</v>
      </c>
      <c r="I5" s="19">
        <f t="shared" si="4"/>
        <v>122.2865868</v>
      </c>
      <c r="J5" s="19">
        <f t="shared" si="5"/>
        <v>40.2865868</v>
      </c>
      <c r="K5" s="19">
        <f t="shared" si="6"/>
        <v>40.2865868</v>
      </c>
      <c r="L5" s="19">
        <f t="shared" si="7"/>
        <v>418.9089592</v>
      </c>
      <c r="M5" s="19">
        <f t="shared" si="8"/>
        <v>13.17974629</v>
      </c>
      <c r="N5" s="20">
        <f t="shared" si="9"/>
        <v>0.491299839</v>
      </c>
      <c r="O5" s="20">
        <f t="shared" si="10"/>
        <v>0.491299839</v>
      </c>
      <c r="P5" s="20">
        <f t="shared" si="11"/>
        <v>0.1573632</v>
      </c>
      <c r="Q5" s="19">
        <f t="shared" si="12"/>
        <v>6.963547114</v>
      </c>
      <c r="R5" s="19">
        <f t="shared" si="13"/>
        <v>0.5283521369</v>
      </c>
    </row>
    <row r="6">
      <c r="A6" s="1">
        <v>2.0</v>
      </c>
      <c r="B6" s="1">
        <v>1.0</v>
      </c>
      <c r="C6" s="1">
        <v>5.0</v>
      </c>
      <c r="D6" s="17">
        <f>Demand!B6</f>
        <v>40</v>
      </c>
      <c r="E6" s="17">
        <f t="shared" si="14"/>
        <v>71.875</v>
      </c>
      <c r="F6" s="17">
        <f t="shared" si="1"/>
        <v>74.5125</v>
      </c>
      <c r="G6" s="19">
        <f t="shared" si="2"/>
        <v>0.5368226808</v>
      </c>
      <c r="H6" s="19">
        <f t="shared" ref="H6:H9" si="15">H2</f>
        <v>0.5696381107</v>
      </c>
      <c r="I6" s="19">
        <f t="shared" si="4"/>
        <v>42.44515972</v>
      </c>
      <c r="J6" s="19">
        <f t="shared" si="5"/>
        <v>2.445159723</v>
      </c>
      <c r="K6" s="19">
        <f t="shared" si="6"/>
        <v>2.445159723</v>
      </c>
      <c r="L6" s="19">
        <f t="shared" si="7"/>
        <v>336.3229286</v>
      </c>
      <c r="M6" s="19">
        <f t="shared" si="8"/>
        <v>11.03282897</v>
      </c>
      <c r="N6" s="20">
        <f t="shared" si="9"/>
        <v>0.06112899308</v>
      </c>
      <c r="O6" s="20">
        <f t="shared" si="10"/>
        <v>0.06112899308</v>
      </c>
      <c r="P6" s="20">
        <f t="shared" si="11"/>
        <v>0.1381163586</v>
      </c>
      <c r="Q6" s="19">
        <f t="shared" si="12"/>
        <v>6.059869636</v>
      </c>
      <c r="R6" s="19">
        <f t="shared" si="13"/>
        <v>0.5492580054</v>
      </c>
    </row>
    <row r="7">
      <c r="B7" s="1">
        <v>2.0</v>
      </c>
      <c r="C7" s="1">
        <v>6.0</v>
      </c>
      <c r="D7" s="17">
        <f>Demand!B7</f>
        <v>60</v>
      </c>
      <c r="E7" s="21">
        <f t="shared" si="14"/>
        <v>69</v>
      </c>
      <c r="F7" s="17">
        <f t="shared" si="1"/>
        <v>67.4125</v>
      </c>
      <c r="G7" s="19">
        <f t="shared" si="2"/>
        <v>0.8900426479</v>
      </c>
      <c r="H7" s="19">
        <f t="shared" si="15"/>
        <v>0.9407812718</v>
      </c>
      <c r="I7" s="19">
        <f t="shared" si="4"/>
        <v>63.42041748</v>
      </c>
      <c r="J7" s="19">
        <f t="shared" si="5"/>
        <v>3.420417482</v>
      </c>
      <c r="K7" s="19">
        <f t="shared" si="6"/>
        <v>3.420417482</v>
      </c>
      <c r="L7" s="19">
        <f t="shared" si="7"/>
        <v>282.2189831</v>
      </c>
      <c r="M7" s="19">
        <f t="shared" si="8"/>
        <v>9.764093725</v>
      </c>
      <c r="N7" s="20">
        <f t="shared" si="9"/>
        <v>0.05700695803</v>
      </c>
      <c r="O7" s="20">
        <f t="shared" si="10"/>
        <v>0.05700695803</v>
      </c>
      <c r="P7" s="20">
        <f t="shared" si="11"/>
        <v>0.1245981252</v>
      </c>
      <c r="Q7" s="19">
        <f t="shared" si="12"/>
        <v>5.619960943</v>
      </c>
      <c r="R7" s="19">
        <f t="shared" si="13"/>
        <v>0.5755742521</v>
      </c>
    </row>
    <row r="8">
      <c r="B8" s="1">
        <v>3.0</v>
      </c>
      <c r="C8" s="1">
        <v>7.0</v>
      </c>
      <c r="D8" s="17">
        <f>Demand!B8</f>
        <v>82</v>
      </c>
      <c r="F8" s="17">
        <f t="shared" si="1"/>
        <v>60.3125</v>
      </c>
      <c r="G8" s="19">
        <f t="shared" si="2"/>
        <v>1.359585492</v>
      </c>
      <c r="H8" s="19">
        <f t="shared" si="15"/>
        <v>1.406860521</v>
      </c>
      <c r="I8" s="19">
        <f t="shared" si="4"/>
        <v>84.85127519</v>
      </c>
      <c r="J8" s="19">
        <f t="shared" si="5"/>
        <v>2.851275187</v>
      </c>
      <c r="K8" s="19">
        <f t="shared" si="6"/>
        <v>2.851275187</v>
      </c>
      <c r="L8" s="19">
        <f t="shared" si="7"/>
        <v>243.0633813</v>
      </c>
      <c r="M8" s="19">
        <f t="shared" si="8"/>
        <v>8.776548219</v>
      </c>
      <c r="N8" s="20">
        <f t="shared" si="9"/>
        <v>0.03477164862</v>
      </c>
      <c r="O8" s="20">
        <f t="shared" si="10"/>
        <v>0.03477164862</v>
      </c>
      <c r="P8" s="20">
        <f t="shared" si="11"/>
        <v>0.1117657714</v>
      </c>
      <c r="Q8" s="19">
        <f t="shared" si="12"/>
        <v>5.224434407</v>
      </c>
      <c r="R8" s="19">
        <f t="shared" si="13"/>
        <v>0.5952721134</v>
      </c>
    </row>
    <row r="9">
      <c r="B9" s="1">
        <v>4.0</v>
      </c>
      <c r="C9" s="1">
        <v>8.0</v>
      </c>
      <c r="D9" s="1">
        <v>106.0</v>
      </c>
      <c r="F9" s="17">
        <f t="shared" si="1"/>
        <v>53.2125</v>
      </c>
      <c r="G9" s="19">
        <f t="shared" si="2"/>
        <v>1.992013155</v>
      </c>
      <c r="H9" s="19">
        <f t="shared" si="15"/>
        <v>1.498380601</v>
      </c>
      <c r="I9" s="19">
        <f t="shared" si="4"/>
        <v>79.73257773</v>
      </c>
      <c r="J9" s="19">
        <f t="shared" si="5"/>
        <v>-26.26742227</v>
      </c>
      <c r="K9" s="19">
        <f t="shared" si="6"/>
        <v>26.26742227</v>
      </c>
      <c r="L9" s="19">
        <f t="shared" si="7"/>
        <v>298.9276427</v>
      </c>
      <c r="M9" s="19">
        <f t="shared" si="8"/>
        <v>10.96290748</v>
      </c>
      <c r="N9" s="20">
        <f t="shared" si="9"/>
        <v>-0.2478058705</v>
      </c>
      <c r="O9" s="20">
        <f t="shared" si="10"/>
        <v>0.2478058705</v>
      </c>
      <c r="P9" s="20">
        <f t="shared" si="11"/>
        <v>0.1287707838</v>
      </c>
      <c r="Q9" s="19">
        <f t="shared" si="12"/>
        <v>1.287952322</v>
      </c>
      <c r="R9" s="19">
        <f t="shared" si="13"/>
        <v>0.1174827321</v>
      </c>
    </row>
    <row r="10">
      <c r="A10" s="22">
        <v>3.0</v>
      </c>
      <c r="B10" s="23">
        <v>1.0</v>
      </c>
      <c r="C10" s="23">
        <f t="shared" ref="C10:C17" si="16">C9+1</f>
        <v>9</v>
      </c>
      <c r="D10" s="23"/>
      <c r="H10" s="19">
        <f t="shared" ref="H10:H13" si="17">H2</f>
        <v>0.5696381107</v>
      </c>
      <c r="I10" s="19">
        <f t="shared" si="4"/>
        <v>26.26743738</v>
      </c>
    </row>
    <row r="11">
      <c r="A11" s="24"/>
      <c r="B11" s="23">
        <v>2.0</v>
      </c>
      <c r="C11" s="23">
        <f t="shared" si="16"/>
        <v>10</v>
      </c>
      <c r="D11" s="23"/>
      <c r="H11" s="19">
        <f t="shared" si="17"/>
        <v>0.9407812718</v>
      </c>
      <c r="I11" s="19">
        <f t="shared" si="4"/>
        <v>36.70222936</v>
      </c>
    </row>
    <row r="12">
      <c r="A12" s="24"/>
      <c r="B12" s="23">
        <v>3.0</v>
      </c>
      <c r="C12" s="23">
        <f t="shared" si="16"/>
        <v>11</v>
      </c>
      <c r="D12" s="23"/>
      <c r="H12" s="19">
        <f t="shared" si="17"/>
        <v>1.406860521</v>
      </c>
      <c r="I12" s="19">
        <f t="shared" si="4"/>
        <v>44.89643638</v>
      </c>
    </row>
    <row r="13">
      <c r="A13" s="24"/>
      <c r="B13" s="23">
        <v>4.0</v>
      </c>
      <c r="C13" s="23">
        <f t="shared" si="16"/>
        <v>12</v>
      </c>
      <c r="D13" s="23"/>
      <c r="H13" s="19">
        <f t="shared" si="17"/>
        <v>1.498380601</v>
      </c>
      <c r="I13" s="19">
        <f t="shared" si="4"/>
        <v>37.17856866</v>
      </c>
    </row>
    <row r="14">
      <c r="A14" s="22">
        <v>4.0</v>
      </c>
      <c r="B14" s="23">
        <v>1.0</v>
      </c>
      <c r="C14" s="23">
        <f t="shared" si="16"/>
        <v>13</v>
      </c>
      <c r="D14" s="23"/>
      <c r="H14" s="19">
        <f t="shared" ref="H14:H17" si="18">H2</f>
        <v>0.5696381107</v>
      </c>
      <c r="I14" s="18">
        <v>21.8</v>
      </c>
    </row>
    <row r="15">
      <c r="A15" s="24"/>
      <c r="B15" s="23">
        <v>2.0</v>
      </c>
      <c r="C15" s="23">
        <f t="shared" si="16"/>
        <v>14</v>
      </c>
      <c r="D15" s="23"/>
      <c r="H15" s="19">
        <f t="shared" si="18"/>
        <v>0.9407812718</v>
      </c>
      <c r="I15" s="18">
        <v>33.82</v>
      </c>
    </row>
    <row r="16">
      <c r="A16" s="24"/>
      <c r="B16" s="23">
        <v>3.0</v>
      </c>
      <c r="C16" s="23">
        <f t="shared" si="16"/>
        <v>15</v>
      </c>
      <c r="D16" s="23"/>
      <c r="H16" s="19">
        <f t="shared" si="18"/>
        <v>1.406860521</v>
      </c>
      <c r="I16" s="18">
        <v>38.21</v>
      </c>
    </row>
    <row r="17">
      <c r="A17" s="24"/>
      <c r="B17" s="23">
        <v>4.0</v>
      </c>
      <c r="C17" s="23">
        <f t="shared" si="16"/>
        <v>16</v>
      </c>
      <c r="D17" s="23"/>
      <c r="H17" s="19">
        <f t="shared" si="18"/>
        <v>1.498380601</v>
      </c>
      <c r="I17" s="18">
        <v>24.67</v>
      </c>
    </row>
    <row r="18">
      <c r="I18" s="19"/>
    </row>
    <row r="19">
      <c r="I19" s="19"/>
    </row>
    <row r="20">
      <c r="F20" s="25" t="s">
        <v>10</v>
      </c>
      <c r="I20" s="19"/>
    </row>
    <row r="21">
      <c r="B21" s="1" t="s">
        <v>24</v>
      </c>
      <c r="C21" s="17">
        <f>INTERCEPT(E4:E7,C4:C7)</f>
        <v>110.0125</v>
      </c>
      <c r="F21" s="26" t="s">
        <v>25</v>
      </c>
      <c r="I21" s="19"/>
    </row>
    <row r="22">
      <c r="B22" s="1" t="s">
        <v>26</v>
      </c>
      <c r="C22" s="17">
        <f>SLOPE(E4:E7,C4:C7)</f>
        <v>-7.1</v>
      </c>
      <c r="F22" s="26" t="s">
        <v>27</v>
      </c>
      <c r="I22" s="19"/>
    </row>
    <row r="23">
      <c r="F23" s="26" t="s">
        <v>28</v>
      </c>
      <c r="I23" s="19"/>
    </row>
    <row r="24">
      <c r="F24" s="26" t="s">
        <v>29</v>
      </c>
      <c r="I24" s="19"/>
    </row>
    <row r="25">
      <c r="F25" s="26" t="s">
        <v>30</v>
      </c>
      <c r="I25" s="19"/>
    </row>
    <row r="26">
      <c r="F26" s="26" t="s">
        <v>31</v>
      </c>
      <c r="I26" s="19"/>
    </row>
    <row r="27">
      <c r="F27" s="26" t="s">
        <v>32</v>
      </c>
      <c r="I27" s="19"/>
    </row>
    <row r="28">
      <c r="F28" s="26" t="s">
        <v>33</v>
      </c>
      <c r="I28" s="19"/>
    </row>
    <row r="29">
      <c r="F29" s="27" t="s">
        <v>34</v>
      </c>
      <c r="I29" s="19"/>
    </row>
    <row r="30">
      <c r="F30" s="27" t="s">
        <v>35</v>
      </c>
      <c r="I30" s="19"/>
    </row>
    <row r="31">
      <c r="F31" s="27" t="s">
        <v>36</v>
      </c>
      <c r="I31" s="19"/>
    </row>
    <row r="32">
      <c r="F32" s="27" t="s">
        <v>37</v>
      </c>
      <c r="I32" s="19"/>
    </row>
    <row r="33">
      <c r="F33" s="27" t="s">
        <v>38</v>
      </c>
      <c r="I33" s="19"/>
    </row>
    <row r="34">
      <c r="F34" s="27" t="s">
        <v>39</v>
      </c>
      <c r="I34" s="19"/>
    </row>
    <row r="35">
      <c r="F35" s="27" t="s">
        <v>40</v>
      </c>
      <c r="I35" s="19"/>
    </row>
    <row r="36">
      <c r="F36" s="27" t="s">
        <v>41</v>
      </c>
      <c r="I36" s="19"/>
    </row>
    <row r="37">
      <c r="I37" s="19"/>
    </row>
    <row r="38">
      <c r="I38" s="19"/>
    </row>
    <row r="39">
      <c r="I39" s="19"/>
    </row>
    <row r="40">
      <c r="I40" s="19"/>
    </row>
    <row r="41">
      <c r="I41" s="19"/>
    </row>
    <row r="42">
      <c r="I42" s="19"/>
    </row>
    <row r="43">
      <c r="I43" s="19"/>
    </row>
    <row r="44">
      <c r="I44" s="19"/>
    </row>
    <row r="45">
      <c r="I45" s="19"/>
    </row>
    <row r="46">
      <c r="I46" s="19"/>
    </row>
    <row r="47">
      <c r="I47" s="19"/>
    </row>
    <row r="48">
      <c r="I48" s="19"/>
    </row>
    <row r="49">
      <c r="I49" s="19"/>
    </row>
    <row r="50">
      <c r="I50" s="19"/>
    </row>
    <row r="51">
      <c r="I51" s="19"/>
    </row>
    <row r="52">
      <c r="G52" s="25" t="s">
        <v>10</v>
      </c>
      <c r="H52" s="28" t="s">
        <v>15</v>
      </c>
      <c r="I52" s="19"/>
    </row>
    <row r="53">
      <c r="G53" s="26" t="s">
        <v>25</v>
      </c>
      <c r="H53" s="29">
        <v>58.622882066767325</v>
      </c>
      <c r="I53" s="19"/>
    </row>
    <row r="54">
      <c r="G54" s="26" t="s">
        <v>27</v>
      </c>
      <c r="H54" s="29">
        <v>90.13860559985164</v>
      </c>
      <c r="I54" s="19"/>
    </row>
    <row r="55">
      <c r="G55" s="26" t="s">
        <v>28</v>
      </c>
      <c r="H55" s="29">
        <v>124.80611398963731</v>
      </c>
      <c r="I55" s="19"/>
    </row>
    <row r="56">
      <c r="G56" s="26" t="s">
        <v>29</v>
      </c>
      <c r="H56" s="29">
        <v>122.2865867982147</v>
      </c>
      <c r="I56" s="19"/>
    </row>
    <row r="57">
      <c r="G57" s="26" t="s">
        <v>30</v>
      </c>
      <c r="H57" s="29">
        <v>42.44515972306571</v>
      </c>
      <c r="I57" s="19"/>
    </row>
    <row r="58">
      <c r="G58" s="26" t="s">
        <v>31</v>
      </c>
      <c r="H58" s="29">
        <v>63.42041748206132</v>
      </c>
      <c r="I58" s="19"/>
    </row>
    <row r="59">
      <c r="G59" s="26" t="s">
        <v>32</v>
      </c>
      <c r="H59" s="29">
        <v>84.85127518669862</v>
      </c>
      <c r="I59" s="19"/>
    </row>
    <row r="60">
      <c r="G60" s="26" t="s">
        <v>33</v>
      </c>
      <c r="H60" s="29">
        <v>79.73257773012712</v>
      </c>
      <c r="I60" s="19"/>
    </row>
    <row r="61">
      <c r="G61" s="27" t="s">
        <v>34</v>
      </c>
      <c r="H61" s="29">
        <v>26.2674373793641</v>
      </c>
      <c r="I61" s="19"/>
    </row>
    <row r="62">
      <c r="G62" s="27" t="s">
        <v>35</v>
      </c>
      <c r="H62" s="29">
        <v>36.70222936427098</v>
      </c>
      <c r="I62" s="19"/>
    </row>
    <row r="63">
      <c r="G63" s="27" t="s">
        <v>36</v>
      </c>
      <c r="H63" s="29">
        <v>44.89643638375991</v>
      </c>
      <c r="I63" s="19"/>
    </row>
    <row r="64">
      <c r="G64" s="27" t="s">
        <v>37</v>
      </c>
      <c r="H64" s="29">
        <v>37.17856866203956</v>
      </c>
      <c r="I64" s="19"/>
    </row>
    <row r="65">
      <c r="G65" s="27" t="s">
        <v>38</v>
      </c>
      <c r="H65" s="29">
        <v>21.8</v>
      </c>
      <c r="I65" s="19"/>
    </row>
    <row r="66">
      <c r="G66" s="27" t="s">
        <v>39</v>
      </c>
      <c r="H66" s="29">
        <v>33.82</v>
      </c>
      <c r="I66" s="19"/>
    </row>
    <row r="67">
      <c r="G67" s="27" t="s">
        <v>40</v>
      </c>
      <c r="H67" s="29">
        <v>38.21</v>
      </c>
      <c r="I67" s="19"/>
    </row>
    <row r="68">
      <c r="G68" s="27" t="s">
        <v>41</v>
      </c>
      <c r="H68" s="29">
        <v>24.67</v>
      </c>
      <c r="I68" s="19"/>
    </row>
    <row r="69">
      <c r="I69" s="19"/>
    </row>
    <row r="70">
      <c r="I70" s="19"/>
    </row>
    <row r="71">
      <c r="I71" s="19"/>
    </row>
    <row r="72">
      <c r="I72" s="19"/>
    </row>
    <row r="73">
      <c r="I73" s="19"/>
    </row>
    <row r="74">
      <c r="I74" s="19"/>
    </row>
    <row r="75">
      <c r="I75" s="19"/>
    </row>
    <row r="76">
      <c r="I76" s="19"/>
    </row>
    <row r="77">
      <c r="I77" s="19"/>
    </row>
    <row r="78">
      <c r="I78" s="19"/>
    </row>
    <row r="79">
      <c r="I79" s="19"/>
    </row>
    <row r="80">
      <c r="I80" s="19"/>
    </row>
    <row r="81">
      <c r="I81" s="19"/>
    </row>
    <row r="82">
      <c r="I82" s="19"/>
    </row>
    <row r="83">
      <c r="I83" s="19"/>
    </row>
    <row r="84">
      <c r="I84" s="19"/>
    </row>
    <row r="85">
      <c r="I85" s="19"/>
    </row>
    <row r="86">
      <c r="I86" s="19"/>
    </row>
    <row r="87">
      <c r="I87" s="19"/>
    </row>
    <row r="88">
      <c r="I88" s="19"/>
    </row>
    <row r="89">
      <c r="I89" s="19"/>
    </row>
    <row r="90">
      <c r="I90" s="19"/>
    </row>
    <row r="91">
      <c r="I91" s="19"/>
    </row>
    <row r="92">
      <c r="I92" s="19"/>
    </row>
    <row r="93">
      <c r="I93" s="19"/>
    </row>
    <row r="94">
      <c r="I94" s="19"/>
    </row>
    <row r="95">
      <c r="I95" s="19"/>
    </row>
    <row r="96">
      <c r="I96" s="19"/>
    </row>
    <row r="97">
      <c r="I97" s="19"/>
    </row>
    <row r="98">
      <c r="I98" s="19"/>
    </row>
    <row r="99">
      <c r="I99" s="19"/>
    </row>
    <row r="100">
      <c r="I100" s="19"/>
    </row>
    <row r="101">
      <c r="I101" s="19"/>
    </row>
    <row r="102">
      <c r="I102" s="19"/>
    </row>
    <row r="103">
      <c r="I103" s="19"/>
    </row>
    <row r="104">
      <c r="I104" s="19"/>
    </row>
    <row r="105">
      <c r="I105" s="19"/>
    </row>
    <row r="106">
      <c r="I106" s="19"/>
    </row>
    <row r="107">
      <c r="I107" s="19"/>
    </row>
    <row r="108">
      <c r="I108" s="19"/>
    </row>
    <row r="109">
      <c r="I109" s="19"/>
    </row>
    <row r="110">
      <c r="I110" s="19"/>
    </row>
    <row r="111">
      <c r="I111" s="19"/>
    </row>
    <row r="112">
      <c r="I112" s="19"/>
    </row>
    <row r="113">
      <c r="I113" s="19"/>
    </row>
    <row r="114">
      <c r="I114" s="19"/>
    </row>
    <row r="115">
      <c r="I115" s="19"/>
    </row>
    <row r="116">
      <c r="I116" s="19"/>
    </row>
    <row r="117">
      <c r="I117" s="19"/>
    </row>
    <row r="118">
      <c r="I118" s="19"/>
    </row>
    <row r="119">
      <c r="I119" s="19"/>
    </row>
    <row r="120">
      <c r="I120" s="19"/>
    </row>
    <row r="121">
      <c r="I121" s="19"/>
    </row>
    <row r="122">
      <c r="I122" s="19"/>
    </row>
    <row r="123">
      <c r="I123" s="19"/>
    </row>
    <row r="124">
      <c r="I124" s="19"/>
    </row>
    <row r="125">
      <c r="I125" s="19"/>
    </row>
    <row r="126">
      <c r="I126" s="19"/>
    </row>
    <row r="127">
      <c r="I127" s="19"/>
    </row>
    <row r="128">
      <c r="I128" s="19"/>
    </row>
    <row r="129">
      <c r="I129" s="19"/>
    </row>
    <row r="130">
      <c r="I130" s="19"/>
    </row>
    <row r="131">
      <c r="I131" s="19"/>
    </row>
    <row r="132">
      <c r="I132" s="19"/>
    </row>
    <row r="133">
      <c r="I133" s="19"/>
    </row>
    <row r="134">
      <c r="I134" s="19"/>
    </row>
    <row r="135">
      <c r="I135" s="19"/>
    </row>
    <row r="136">
      <c r="I136" s="19"/>
    </row>
    <row r="137">
      <c r="I137" s="19"/>
    </row>
    <row r="138">
      <c r="I138" s="19"/>
    </row>
    <row r="139">
      <c r="I139" s="19"/>
    </row>
    <row r="140">
      <c r="I140" s="19"/>
    </row>
    <row r="141">
      <c r="I141" s="19"/>
    </row>
    <row r="142">
      <c r="I142" s="19"/>
    </row>
    <row r="143">
      <c r="I143" s="19"/>
    </row>
    <row r="144">
      <c r="I144" s="19"/>
    </row>
    <row r="145">
      <c r="I145" s="19"/>
    </row>
    <row r="146">
      <c r="I146" s="19"/>
    </row>
    <row r="147">
      <c r="I147" s="19"/>
    </row>
    <row r="148">
      <c r="I148" s="19"/>
    </row>
    <row r="149">
      <c r="I149" s="19"/>
    </row>
    <row r="150">
      <c r="I150" s="19"/>
    </row>
    <row r="151">
      <c r="I151" s="19"/>
    </row>
    <row r="152">
      <c r="I152" s="19"/>
    </row>
    <row r="153">
      <c r="I153" s="19"/>
    </row>
    <row r="154">
      <c r="I154" s="19"/>
    </row>
    <row r="155">
      <c r="I155" s="19"/>
    </row>
    <row r="156">
      <c r="I156" s="19"/>
    </row>
    <row r="157">
      <c r="I157" s="19"/>
    </row>
    <row r="158">
      <c r="I158" s="19"/>
    </row>
    <row r="159">
      <c r="I159" s="19"/>
    </row>
    <row r="160">
      <c r="I160" s="19"/>
    </row>
    <row r="161">
      <c r="I161" s="19"/>
    </row>
    <row r="162">
      <c r="I162" s="19"/>
    </row>
    <row r="163">
      <c r="I163" s="19"/>
    </row>
    <row r="164">
      <c r="I164" s="19"/>
    </row>
    <row r="165">
      <c r="I165" s="19"/>
    </row>
    <row r="166">
      <c r="I166" s="19"/>
    </row>
    <row r="167">
      <c r="I167" s="19"/>
    </row>
    <row r="168">
      <c r="I168" s="19"/>
    </row>
    <row r="169">
      <c r="I169" s="19"/>
    </row>
    <row r="170">
      <c r="I170" s="19"/>
    </row>
    <row r="171">
      <c r="I171" s="19"/>
    </row>
    <row r="172">
      <c r="I172" s="19"/>
    </row>
    <row r="173">
      <c r="I173" s="19"/>
    </row>
    <row r="174">
      <c r="I174" s="19"/>
    </row>
    <row r="175">
      <c r="I175" s="19"/>
    </row>
    <row r="176">
      <c r="I176" s="19"/>
    </row>
    <row r="177">
      <c r="I177" s="19"/>
    </row>
    <row r="178">
      <c r="I178" s="19"/>
    </row>
    <row r="179">
      <c r="I179" s="19"/>
    </row>
    <row r="180">
      <c r="I180" s="19"/>
    </row>
    <row r="181">
      <c r="I181" s="19"/>
    </row>
    <row r="182">
      <c r="I182" s="19"/>
    </row>
    <row r="183">
      <c r="I183" s="19"/>
    </row>
    <row r="184">
      <c r="I184" s="19"/>
    </row>
    <row r="185">
      <c r="I185" s="19"/>
    </row>
    <row r="186">
      <c r="I186" s="19"/>
    </row>
    <row r="187">
      <c r="I187" s="19"/>
    </row>
    <row r="188">
      <c r="I188" s="19"/>
    </row>
    <row r="189">
      <c r="I189" s="19"/>
    </row>
    <row r="190">
      <c r="I190" s="19"/>
    </row>
    <row r="191">
      <c r="I191" s="19"/>
    </row>
    <row r="192">
      <c r="I192" s="19"/>
    </row>
    <row r="193">
      <c r="I193" s="19"/>
    </row>
    <row r="194">
      <c r="I194" s="19"/>
    </row>
    <row r="195">
      <c r="I195" s="19"/>
    </row>
    <row r="196">
      <c r="I196" s="19"/>
    </row>
    <row r="197">
      <c r="I197" s="19"/>
    </row>
    <row r="198">
      <c r="I198" s="19"/>
    </row>
    <row r="199">
      <c r="I199" s="19"/>
    </row>
    <row r="200">
      <c r="I200" s="19"/>
    </row>
    <row r="201">
      <c r="I201" s="19"/>
    </row>
    <row r="202">
      <c r="I202" s="19"/>
    </row>
    <row r="203">
      <c r="I203" s="19"/>
    </row>
    <row r="204">
      <c r="I204" s="19"/>
    </row>
    <row r="205">
      <c r="I205" s="19"/>
    </row>
    <row r="206">
      <c r="I206" s="19"/>
    </row>
    <row r="207">
      <c r="I207" s="19"/>
    </row>
    <row r="208">
      <c r="I208" s="19"/>
    </row>
    <row r="209">
      <c r="I209" s="19"/>
    </row>
    <row r="210">
      <c r="I210" s="19"/>
    </row>
    <row r="211">
      <c r="I211" s="19"/>
    </row>
    <row r="212">
      <c r="I212" s="19"/>
    </row>
    <row r="213">
      <c r="I213" s="19"/>
    </row>
    <row r="214">
      <c r="I214" s="19"/>
    </row>
    <row r="215">
      <c r="I215" s="19"/>
    </row>
    <row r="216">
      <c r="I216" s="19"/>
    </row>
    <row r="217">
      <c r="I217" s="19"/>
    </row>
    <row r="218">
      <c r="I218" s="19"/>
    </row>
    <row r="219">
      <c r="I219" s="19"/>
    </row>
    <row r="220">
      <c r="I220" s="19"/>
    </row>
    <row r="221">
      <c r="I221" s="19"/>
    </row>
    <row r="222">
      <c r="I222" s="19"/>
    </row>
    <row r="223">
      <c r="I223" s="19"/>
    </row>
    <row r="224">
      <c r="I224" s="19"/>
    </row>
    <row r="225">
      <c r="I225" s="19"/>
    </row>
    <row r="226">
      <c r="I226" s="19"/>
    </row>
    <row r="227">
      <c r="I227" s="19"/>
    </row>
    <row r="228">
      <c r="I228" s="19"/>
    </row>
    <row r="229">
      <c r="I229" s="19"/>
    </row>
    <row r="230">
      <c r="I230" s="19"/>
    </row>
    <row r="231">
      <c r="I231" s="19"/>
    </row>
    <row r="232">
      <c r="I232" s="19"/>
    </row>
    <row r="233">
      <c r="I233" s="19"/>
    </row>
    <row r="234">
      <c r="I234" s="19"/>
    </row>
    <row r="235">
      <c r="I235" s="19"/>
    </row>
    <row r="236">
      <c r="I236" s="19"/>
    </row>
    <row r="237">
      <c r="I237" s="19"/>
    </row>
    <row r="238">
      <c r="I238" s="19"/>
    </row>
    <row r="239">
      <c r="I239" s="19"/>
    </row>
    <row r="240">
      <c r="I240" s="19"/>
    </row>
    <row r="241">
      <c r="I241" s="19"/>
    </row>
    <row r="242">
      <c r="I242" s="19"/>
    </row>
    <row r="243">
      <c r="I243" s="19"/>
    </row>
    <row r="244">
      <c r="I244" s="19"/>
    </row>
    <row r="245">
      <c r="I245" s="19"/>
    </row>
    <row r="246">
      <c r="I246" s="19"/>
    </row>
    <row r="247">
      <c r="I247" s="19"/>
    </row>
    <row r="248">
      <c r="I248" s="19"/>
    </row>
    <row r="249">
      <c r="I249" s="19"/>
    </row>
    <row r="250">
      <c r="I250" s="19"/>
    </row>
    <row r="251">
      <c r="I251" s="19"/>
    </row>
    <row r="252">
      <c r="I252" s="19"/>
    </row>
    <row r="253">
      <c r="I253" s="19"/>
    </row>
    <row r="254">
      <c r="I254" s="19"/>
    </row>
    <row r="255">
      <c r="I255" s="19"/>
    </row>
    <row r="256">
      <c r="I256" s="19"/>
    </row>
    <row r="257">
      <c r="I257" s="19"/>
    </row>
    <row r="258">
      <c r="I258" s="19"/>
    </row>
    <row r="259">
      <c r="I259" s="19"/>
    </row>
    <row r="260">
      <c r="I260" s="19"/>
    </row>
    <row r="261">
      <c r="I261" s="19"/>
    </row>
    <row r="262">
      <c r="I262" s="19"/>
    </row>
    <row r="263">
      <c r="I263" s="19"/>
    </row>
    <row r="264">
      <c r="I264" s="19"/>
    </row>
    <row r="265">
      <c r="I265" s="19"/>
    </row>
    <row r="266">
      <c r="I266" s="19"/>
    </row>
    <row r="267">
      <c r="I267" s="19"/>
    </row>
    <row r="268">
      <c r="I268" s="19"/>
    </row>
    <row r="269">
      <c r="I269" s="19"/>
    </row>
    <row r="270">
      <c r="I270" s="19"/>
    </row>
    <row r="271">
      <c r="I271" s="19"/>
    </row>
    <row r="272">
      <c r="I272" s="19"/>
    </row>
    <row r="273">
      <c r="I273" s="19"/>
    </row>
    <row r="274">
      <c r="I274" s="19"/>
    </row>
    <row r="275">
      <c r="I275" s="19"/>
    </row>
    <row r="276">
      <c r="I276" s="19"/>
    </row>
    <row r="277">
      <c r="I277" s="19"/>
    </row>
    <row r="278">
      <c r="I278" s="19"/>
    </row>
    <row r="279">
      <c r="I279" s="19"/>
    </row>
    <row r="280">
      <c r="I280" s="19"/>
    </row>
    <row r="281">
      <c r="I281" s="19"/>
    </row>
    <row r="282">
      <c r="I282" s="19"/>
    </row>
    <row r="283">
      <c r="I283" s="19"/>
    </row>
    <row r="284">
      <c r="I284" s="19"/>
    </row>
    <row r="285">
      <c r="I285" s="19"/>
    </row>
    <row r="286">
      <c r="I286" s="19"/>
    </row>
    <row r="287">
      <c r="I287" s="19"/>
    </row>
    <row r="288">
      <c r="I288" s="19"/>
    </row>
    <row r="289">
      <c r="I289" s="19"/>
    </row>
    <row r="290">
      <c r="I290" s="19"/>
    </row>
    <row r="291">
      <c r="I291" s="19"/>
    </row>
    <row r="292">
      <c r="I292" s="19"/>
    </row>
    <row r="293">
      <c r="I293" s="19"/>
    </row>
    <row r="294">
      <c r="I294" s="19"/>
    </row>
    <row r="295">
      <c r="I295" s="19"/>
    </row>
    <row r="296">
      <c r="I296" s="19"/>
    </row>
    <row r="297">
      <c r="I297" s="19"/>
    </row>
    <row r="298">
      <c r="I298" s="19"/>
    </row>
    <row r="299">
      <c r="I299" s="19"/>
    </row>
    <row r="300">
      <c r="I300" s="19"/>
    </row>
    <row r="301">
      <c r="I301" s="19"/>
    </row>
    <row r="302">
      <c r="I302" s="19"/>
    </row>
    <row r="303">
      <c r="I303" s="19"/>
    </row>
    <row r="304">
      <c r="I304" s="19"/>
    </row>
    <row r="305">
      <c r="I305" s="19"/>
    </row>
    <row r="306">
      <c r="I306" s="19"/>
    </row>
    <row r="307">
      <c r="I307" s="19"/>
    </row>
    <row r="308">
      <c r="I308" s="19"/>
    </row>
    <row r="309">
      <c r="I309" s="19"/>
    </row>
    <row r="310">
      <c r="I310" s="19"/>
    </row>
    <row r="311">
      <c r="I311" s="19"/>
    </row>
    <row r="312">
      <c r="I312" s="19"/>
    </row>
    <row r="313">
      <c r="I313" s="19"/>
    </row>
    <row r="314">
      <c r="I314" s="19"/>
    </row>
    <row r="315">
      <c r="I315" s="19"/>
    </row>
    <row r="316">
      <c r="I316" s="19"/>
    </row>
    <row r="317">
      <c r="I317" s="19"/>
    </row>
    <row r="318">
      <c r="I318" s="19"/>
    </row>
    <row r="319">
      <c r="I319" s="19"/>
    </row>
    <row r="320">
      <c r="I320" s="19"/>
    </row>
    <row r="321">
      <c r="I321" s="19"/>
    </row>
    <row r="322">
      <c r="I322" s="19"/>
    </row>
    <row r="323">
      <c r="I323" s="19"/>
    </row>
    <row r="324">
      <c r="I324" s="19"/>
    </row>
    <row r="325">
      <c r="I325" s="19"/>
    </row>
    <row r="326">
      <c r="I326" s="19"/>
    </row>
    <row r="327">
      <c r="I327" s="19"/>
    </row>
    <row r="328">
      <c r="I328" s="19"/>
    </row>
    <row r="329">
      <c r="I329" s="19"/>
    </row>
    <row r="330">
      <c r="I330" s="19"/>
    </row>
    <row r="331">
      <c r="I331" s="19"/>
    </row>
    <row r="332">
      <c r="I332" s="19"/>
    </row>
    <row r="333">
      <c r="I333" s="19"/>
    </row>
    <row r="334">
      <c r="I334" s="19"/>
    </row>
    <row r="335">
      <c r="I335" s="19"/>
    </row>
    <row r="336">
      <c r="I336" s="19"/>
    </row>
    <row r="337">
      <c r="I337" s="19"/>
    </row>
    <row r="338">
      <c r="I338" s="19"/>
    </row>
    <row r="339">
      <c r="I339" s="19"/>
    </row>
    <row r="340">
      <c r="I340" s="19"/>
    </row>
    <row r="341">
      <c r="I341" s="19"/>
    </row>
    <row r="342">
      <c r="I342" s="19"/>
    </row>
    <row r="343">
      <c r="I343" s="19"/>
    </row>
    <row r="344">
      <c r="I344" s="19"/>
    </row>
    <row r="345">
      <c r="I345" s="19"/>
    </row>
    <row r="346">
      <c r="I346" s="19"/>
    </row>
    <row r="347">
      <c r="I347" s="19"/>
    </row>
    <row r="348">
      <c r="I348" s="19"/>
    </row>
    <row r="349">
      <c r="I349" s="19"/>
    </row>
    <row r="350">
      <c r="I350" s="19"/>
    </row>
    <row r="351">
      <c r="I351" s="19"/>
    </row>
    <row r="352">
      <c r="I352" s="19"/>
    </row>
    <row r="353">
      <c r="I353" s="19"/>
    </row>
    <row r="354">
      <c r="I354" s="19"/>
    </row>
    <row r="355">
      <c r="I355" s="19"/>
    </row>
    <row r="356">
      <c r="I356" s="19"/>
    </row>
    <row r="357">
      <c r="I357" s="19"/>
    </row>
    <row r="358">
      <c r="I358" s="19"/>
    </row>
    <row r="359">
      <c r="I359" s="19"/>
    </row>
    <row r="360">
      <c r="I360" s="19"/>
    </row>
    <row r="361">
      <c r="I361" s="19"/>
    </row>
    <row r="362">
      <c r="I362" s="19"/>
    </row>
    <row r="363">
      <c r="I363" s="19"/>
    </row>
    <row r="364">
      <c r="I364" s="19"/>
    </row>
    <row r="365">
      <c r="I365" s="19"/>
    </row>
    <row r="366">
      <c r="I366" s="19"/>
    </row>
    <row r="367">
      <c r="I367" s="19"/>
    </row>
    <row r="368">
      <c r="I368" s="19"/>
    </row>
    <row r="369">
      <c r="I369" s="19"/>
    </row>
    <row r="370">
      <c r="I370" s="19"/>
    </row>
    <row r="371">
      <c r="I371" s="19"/>
    </row>
    <row r="372">
      <c r="I372" s="19"/>
    </row>
    <row r="373">
      <c r="I373" s="19"/>
    </row>
    <row r="374">
      <c r="I374" s="19"/>
    </row>
    <row r="375">
      <c r="I375" s="19"/>
    </row>
    <row r="376">
      <c r="I376" s="19"/>
    </row>
    <row r="377">
      <c r="I377" s="19"/>
    </row>
    <row r="378">
      <c r="I378" s="19"/>
    </row>
    <row r="379">
      <c r="I379" s="19"/>
    </row>
    <row r="380">
      <c r="I380" s="19"/>
    </row>
    <row r="381">
      <c r="I381" s="19"/>
    </row>
    <row r="382">
      <c r="I382" s="19"/>
    </row>
    <row r="383">
      <c r="I383" s="19"/>
    </row>
    <row r="384">
      <c r="I384" s="19"/>
    </row>
    <row r="385">
      <c r="I385" s="19"/>
    </row>
    <row r="386">
      <c r="I386" s="19"/>
    </row>
    <row r="387">
      <c r="I387" s="19"/>
    </row>
    <row r="388">
      <c r="I388" s="19"/>
    </row>
    <row r="389">
      <c r="I389" s="19"/>
    </row>
    <row r="390">
      <c r="I390" s="19"/>
    </row>
    <row r="391">
      <c r="I391" s="19"/>
    </row>
    <row r="392">
      <c r="I392" s="19"/>
    </row>
    <row r="393">
      <c r="I393" s="19"/>
    </row>
    <row r="394">
      <c r="I394" s="19"/>
    </row>
    <row r="395">
      <c r="I395" s="19"/>
    </row>
    <row r="396">
      <c r="I396" s="19"/>
    </row>
    <row r="397">
      <c r="I397" s="19"/>
    </row>
    <row r="398">
      <c r="I398" s="19"/>
    </row>
    <row r="399">
      <c r="I399" s="19"/>
    </row>
    <row r="400">
      <c r="I400" s="19"/>
    </row>
    <row r="401">
      <c r="I401" s="19"/>
    </row>
    <row r="402">
      <c r="I402" s="19"/>
    </row>
    <row r="403">
      <c r="I403" s="19"/>
    </row>
    <row r="404">
      <c r="I404" s="19"/>
    </row>
    <row r="405">
      <c r="I405" s="19"/>
    </row>
    <row r="406">
      <c r="I406" s="19"/>
    </row>
    <row r="407">
      <c r="I407" s="19"/>
    </row>
    <row r="408">
      <c r="I408" s="19"/>
    </row>
    <row r="409">
      <c r="I409" s="19"/>
    </row>
    <row r="410">
      <c r="I410" s="19"/>
    </row>
    <row r="411">
      <c r="I411" s="19"/>
    </row>
    <row r="412">
      <c r="I412" s="19"/>
    </row>
    <row r="413">
      <c r="I413" s="19"/>
    </row>
    <row r="414">
      <c r="I414" s="19"/>
    </row>
    <row r="415">
      <c r="I415" s="19"/>
    </row>
    <row r="416">
      <c r="I416" s="19"/>
    </row>
    <row r="417">
      <c r="I417" s="19"/>
    </row>
    <row r="418">
      <c r="I418" s="19"/>
    </row>
    <row r="419">
      <c r="I419" s="19"/>
    </row>
    <row r="420">
      <c r="I420" s="19"/>
    </row>
    <row r="421">
      <c r="I421" s="19"/>
    </row>
    <row r="422">
      <c r="I422" s="19"/>
    </row>
    <row r="423">
      <c r="I423" s="19"/>
    </row>
    <row r="424">
      <c r="I424" s="19"/>
    </row>
    <row r="425">
      <c r="I425" s="19"/>
    </row>
    <row r="426">
      <c r="I426" s="19"/>
    </row>
    <row r="427">
      <c r="I427" s="19"/>
    </row>
    <row r="428">
      <c r="I428" s="19"/>
    </row>
    <row r="429">
      <c r="I429" s="19"/>
    </row>
    <row r="430">
      <c r="I430" s="19"/>
    </row>
    <row r="431">
      <c r="I431" s="19"/>
    </row>
    <row r="432">
      <c r="I432" s="19"/>
    </row>
    <row r="433">
      <c r="I433" s="19"/>
    </row>
    <row r="434">
      <c r="I434" s="19"/>
    </row>
    <row r="435">
      <c r="I435" s="19"/>
    </row>
    <row r="436">
      <c r="I436" s="19"/>
    </row>
    <row r="437">
      <c r="I437" s="19"/>
    </row>
    <row r="438">
      <c r="I438" s="19"/>
    </row>
    <row r="439">
      <c r="I439" s="19"/>
    </row>
    <row r="440">
      <c r="I440" s="19"/>
    </row>
    <row r="441">
      <c r="I441" s="19"/>
    </row>
    <row r="442">
      <c r="I442" s="19"/>
    </row>
    <row r="443">
      <c r="I443" s="19"/>
    </row>
    <row r="444">
      <c r="I444" s="19"/>
    </row>
    <row r="445">
      <c r="I445" s="19"/>
    </row>
    <row r="446">
      <c r="I446" s="19"/>
    </row>
    <row r="447">
      <c r="I447" s="19"/>
    </row>
    <row r="448">
      <c r="I448" s="19"/>
    </row>
    <row r="449">
      <c r="I449" s="19"/>
    </row>
    <row r="450">
      <c r="I450" s="19"/>
    </row>
    <row r="451">
      <c r="I451" s="19"/>
    </row>
    <row r="452">
      <c r="I452" s="19"/>
    </row>
    <row r="453">
      <c r="I453" s="19"/>
    </row>
    <row r="454">
      <c r="I454" s="19"/>
    </row>
    <row r="455">
      <c r="I455" s="19"/>
    </row>
    <row r="456">
      <c r="I456" s="19"/>
    </row>
    <row r="457">
      <c r="I457" s="19"/>
    </row>
    <row r="458">
      <c r="I458" s="19"/>
    </row>
    <row r="459">
      <c r="I459" s="19"/>
    </row>
    <row r="460">
      <c r="I460" s="19"/>
    </row>
    <row r="461">
      <c r="I461" s="19"/>
    </row>
    <row r="462">
      <c r="I462" s="19"/>
    </row>
    <row r="463">
      <c r="I463" s="19"/>
    </row>
    <row r="464">
      <c r="I464" s="19"/>
    </row>
    <row r="465">
      <c r="I465" s="19"/>
    </row>
    <row r="466">
      <c r="I466" s="19"/>
    </row>
    <row r="467">
      <c r="I467" s="19"/>
    </row>
    <row r="468">
      <c r="I468" s="19"/>
    </row>
    <row r="469">
      <c r="I469" s="19"/>
    </row>
    <row r="470">
      <c r="I470" s="19"/>
    </row>
    <row r="471">
      <c r="I471" s="19"/>
    </row>
    <row r="472">
      <c r="I472" s="19"/>
    </row>
    <row r="473">
      <c r="I473" s="19"/>
    </row>
    <row r="474">
      <c r="I474" s="19"/>
    </row>
    <row r="475">
      <c r="I475" s="19"/>
    </row>
    <row r="476">
      <c r="I476" s="19"/>
    </row>
    <row r="477">
      <c r="I477" s="19"/>
    </row>
    <row r="478">
      <c r="I478" s="19"/>
    </row>
    <row r="479">
      <c r="I479" s="19"/>
    </row>
    <row r="480">
      <c r="I480" s="19"/>
    </row>
    <row r="481">
      <c r="I481" s="19"/>
    </row>
    <row r="482">
      <c r="I482" s="19"/>
    </row>
    <row r="483">
      <c r="I483" s="19"/>
    </row>
    <row r="484">
      <c r="I484" s="19"/>
    </row>
    <row r="485">
      <c r="I485" s="19"/>
    </row>
    <row r="486">
      <c r="I486" s="19"/>
    </row>
    <row r="487">
      <c r="I487" s="19"/>
    </row>
    <row r="488">
      <c r="I488" s="19"/>
    </row>
    <row r="489">
      <c r="I489" s="19"/>
    </row>
    <row r="490">
      <c r="I490" s="19"/>
    </row>
    <row r="491">
      <c r="I491" s="19"/>
    </row>
    <row r="492">
      <c r="I492" s="19"/>
    </row>
    <row r="493">
      <c r="I493" s="19"/>
    </row>
    <row r="494">
      <c r="I494" s="19"/>
    </row>
    <row r="495">
      <c r="I495" s="19"/>
    </row>
    <row r="496">
      <c r="I496" s="19"/>
    </row>
    <row r="497">
      <c r="I497" s="19"/>
    </row>
    <row r="498">
      <c r="I498" s="19"/>
    </row>
    <row r="499">
      <c r="I499" s="19"/>
    </row>
    <row r="500">
      <c r="I500" s="19"/>
    </row>
    <row r="501">
      <c r="I501" s="19"/>
    </row>
    <row r="502">
      <c r="I502" s="19"/>
    </row>
    <row r="503">
      <c r="I503" s="19"/>
    </row>
    <row r="504">
      <c r="I504" s="19"/>
    </row>
    <row r="505">
      <c r="I505" s="19"/>
    </row>
    <row r="506">
      <c r="I506" s="19"/>
    </row>
    <row r="507">
      <c r="I507" s="19"/>
    </row>
    <row r="508">
      <c r="I508" s="19"/>
    </row>
    <row r="509">
      <c r="I509" s="19"/>
    </row>
    <row r="510">
      <c r="I510" s="19"/>
    </row>
    <row r="511">
      <c r="I511" s="19"/>
    </row>
    <row r="512">
      <c r="I512" s="19"/>
    </row>
    <row r="513">
      <c r="I513" s="19"/>
    </row>
    <row r="514">
      <c r="I514" s="19"/>
    </row>
    <row r="515">
      <c r="I515" s="19"/>
    </row>
    <row r="516">
      <c r="I516" s="19"/>
    </row>
    <row r="517">
      <c r="I517" s="19"/>
    </row>
    <row r="518">
      <c r="I518" s="19"/>
    </row>
    <row r="519">
      <c r="I519" s="19"/>
    </row>
    <row r="520">
      <c r="I520" s="19"/>
    </row>
    <row r="521">
      <c r="I521" s="19"/>
    </row>
    <row r="522">
      <c r="I522" s="19"/>
    </row>
    <row r="523">
      <c r="I523" s="19"/>
    </row>
    <row r="524">
      <c r="I524" s="19"/>
    </row>
    <row r="525">
      <c r="I525" s="19"/>
    </row>
    <row r="526">
      <c r="I526" s="19"/>
    </row>
    <row r="527">
      <c r="I527" s="19"/>
    </row>
    <row r="528">
      <c r="I528" s="19"/>
    </row>
    <row r="529">
      <c r="I529" s="19"/>
    </row>
    <row r="530">
      <c r="I530" s="19"/>
    </row>
    <row r="531">
      <c r="I531" s="19"/>
    </row>
    <row r="532">
      <c r="I532" s="19"/>
    </row>
    <row r="533">
      <c r="I533" s="19"/>
    </row>
    <row r="534">
      <c r="I534" s="19"/>
    </row>
    <row r="535">
      <c r="I535" s="19"/>
    </row>
    <row r="536">
      <c r="I536" s="19"/>
    </row>
    <row r="537">
      <c r="I537" s="19"/>
    </row>
    <row r="538">
      <c r="I538" s="19"/>
    </row>
    <row r="539">
      <c r="I539" s="19"/>
    </row>
    <row r="540">
      <c r="I540" s="19"/>
    </row>
    <row r="541">
      <c r="I541" s="19"/>
    </row>
    <row r="542">
      <c r="I542" s="19"/>
    </row>
    <row r="543">
      <c r="I543" s="19"/>
    </row>
    <row r="544">
      <c r="I544" s="19"/>
    </row>
    <row r="545">
      <c r="I545" s="19"/>
    </row>
    <row r="546">
      <c r="I546" s="19"/>
    </row>
    <row r="547">
      <c r="I547" s="19"/>
    </row>
    <row r="548">
      <c r="I548" s="19"/>
    </row>
    <row r="549">
      <c r="I549" s="19"/>
    </row>
    <row r="550">
      <c r="I550" s="19"/>
    </row>
    <row r="551">
      <c r="I551" s="19"/>
    </row>
    <row r="552">
      <c r="I552" s="19"/>
    </row>
    <row r="553">
      <c r="I553" s="19"/>
    </row>
    <row r="554">
      <c r="I554" s="19"/>
    </row>
    <row r="555">
      <c r="I555" s="19"/>
    </row>
    <row r="556">
      <c r="I556" s="19"/>
    </row>
    <row r="557">
      <c r="I557" s="19"/>
    </row>
    <row r="558">
      <c r="I558" s="19"/>
    </row>
    <row r="559">
      <c r="I559" s="19"/>
    </row>
    <row r="560">
      <c r="I560" s="19"/>
    </row>
    <row r="561">
      <c r="I561" s="19"/>
    </row>
    <row r="562">
      <c r="I562" s="19"/>
    </row>
    <row r="563">
      <c r="I563" s="19"/>
    </row>
    <row r="564">
      <c r="I564" s="19"/>
    </row>
    <row r="565">
      <c r="I565" s="19"/>
    </row>
    <row r="566">
      <c r="I566" s="19"/>
    </row>
    <row r="567">
      <c r="I567" s="19"/>
    </row>
    <row r="568">
      <c r="I568" s="19"/>
    </row>
    <row r="569">
      <c r="I569" s="19"/>
    </row>
    <row r="570">
      <c r="I570" s="19"/>
    </row>
    <row r="571">
      <c r="I571" s="19"/>
    </row>
    <row r="572">
      <c r="I572" s="19"/>
    </row>
    <row r="573">
      <c r="I573" s="19"/>
    </row>
    <row r="574">
      <c r="I574" s="19"/>
    </row>
    <row r="575">
      <c r="I575" s="19"/>
    </row>
    <row r="576">
      <c r="I576" s="19"/>
    </row>
    <row r="577">
      <c r="I577" s="19"/>
    </row>
    <row r="578">
      <c r="I578" s="19"/>
    </row>
    <row r="579">
      <c r="I579" s="19"/>
    </row>
    <row r="580">
      <c r="I580" s="19"/>
    </row>
    <row r="581">
      <c r="I581" s="19"/>
    </row>
    <row r="582">
      <c r="I582" s="19"/>
    </row>
    <row r="583">
      <c r="I583" s="19"/>
    </row>
    <row r="584">
      <c r="I584" s="19"/>
    </row>
    <row r="585">
      <c r="I585" s="19"/>
    </row>
    <row r="586">
      <c r="I586" s="19"/>
    </row>
    <row r="587">
      <c r="I587" s="19"/>
    </row>
    <row r="588">
      <c r="I588" s="19"/>
    </row>
    <row r="589">
      <c r="I589" s="19"/>
    </row>
    <row r="590">
      <c r="I590" s="19"/>
    </row>
    <row r="591">
      <c r="I591" s="19"/>
    </row>
    <row r="592">
      <c r="I592" s="19"/>
    </row>
    <row r="593">
      <c r="I593" s="19"/>
    </row>
    <row r="594">
      <c r="I594" s="19"/>
    </row>
    <row r="595">
      <c r="I595" s="19"/>
    </row>
    <row r="596">
      <c r="I596" s="19"/>
    </row>
    <row r="597">
      <c r="I597" s="19"/>
    </row>
    <row r="598">
      <c r="I598" s="19"/>
    </row>
    <row r="599">
      <c r="I599" s="19"/>
    </row>
    <row r="600">
      <c r="I600" s="19"/>
    </row>
    <row r="601">
      <c r="I601" s="19"/>
    </row>
    <row r="602">
      <c r="I602" s="19"/>
    </row>
    <row r="603">
      <c r="I603" s="19"/>
    </row>
    <row r="604">
      <c r="I604" s="19"/>
    </row>
    <row r="605">
      <c r="I605" s="19"/>
    </row>
    <row r="606">
      <c r="I606" s="19"/>
    </row>
    <row r="607">
      <c r="I607" s="19"/>
    </row>
    <row r="608">
      <c r="I608" s="19"/>
    </row>
    <row r="609">
      <c r="I609" s="19"/>
    </row>
    <row r="610">
      <c r="I610" s="19"/>
    </row>
    <row r="611">
      <c r="I611" s="19"/>
    </row>
    <row r="612">
      <c r="I612" s="19"/>
    </row>
    <row r="613">
      <c r="I613" s="19"/>
    </row>
    <row r="614">
      <c r="I614" s="19"/>
    </row>
    <row r="615">
      <c r="I615" s="19"/>
    </row>
    <row r="616">
      <c r="I616" s="19"/>
    </row>
    <row r="617">
      <c r="I617" s="19"/>
    </row>
    <row r="618">
      <c r="I618" s="19"/>
    </row>
    <row r="619">
      <c r="I619" s="19"/>
    </row>
    <row r="620">
      <c r="I620" s="19"/>
    </row>
    <row r="621">
      <c r="I621" s="19"/>
    </row>
    <row r="622">
      <c r="I622" s="19"/>
    </row>
    <row r="623">
      <c r="I623" s="19"/>
    </row>
    <row r="624">
      <c r="I624" s="19"/>
    </row>
    <row r="625">
      <c r="I625" s="19"/>
    </row>
    <row r="626">
      <c r="I626" s="19"/>
    </row>
    <row r="627">
      <c r="I627" s="19"/>
    </row>
    <row r="628">
      <c r="I628" s="19"/>
    </row>
    <row r="629">
      <c r="I629" s="19"/>
    </row>
    <row r="630">
      <c r="I630" s="19"/>
    </row>
    <row r="631">
      <c r="I631" s="19"/>
    </row>
    <row r="632">
      <c r="I632" s="19"/>
    </row>
    <row r="633">
      <c r="I633" s="19"/>
    </row>
    <row r="634">
      <c r="I634" s="19"/>
    </row>
    <row r="635">
      <c r="I635" s="19"/>
    </row>
    <row r="636">
      <c r="I636" s="19"/>
    </row>
    <row r="637">
      <c r="I637" s="19"/>
    </row>
    <row r="638">
      <c r="I638" s="19"/>
    </row>
    <row r="639">
      <c r="I639" s="19"/>
    </row>
    <row r="640">
      <c r="I640" s="19"/>
    </row>
    <row r="641">
      <c r="I641" s="19"/>
    </row>
    <row r="642">
      <c r="I642" s="19"/>
    </row>
    <row r="643">
      <c r="I643" s="19"/>
    </row>
    <row r="644">
      <c r="I644" s="19"/>
    </row>
    <row r="645">
      <c r="I645" s="19"/>
    </row>
    <row r="646">
      <c r="I646" s="19"/>
    </row>
    <row r="647">
      <c r="I647" s="19"/>
    </row>
    <row r="648">
      <c r="I648" s="19"/>
    </row>
    <row r="649">
      <c r="I649" s="19"/>
    </row>
    <row r="650">
      <c r="I650" s="19"/>
    </row>
    <row r="651">
      <c r="I651" s="19"/>
    </row>
    <row r="652">
      <c r="I652" s="19"/>
    </row>
    <row r="653">
      <c r="I653" s="19"/>
    </row>
    <row r="654">
      <c r="I654" s="19"/>
    </row>
    <row r="655">
      <c r="I655" s="19"/>
    </row>
    <row r="656">
      <c r="I656" s="19"/>
    </row>
    <row r="657">
      <c r="I657" s="19"/>
    </row>
    <row r="658">
      <c r="I658" s="19"/>
    </row>
    <row r="659">
      <c r="I659" s="19"/>
    </row>
    <row r="660">
      <c r="I660" s="19"/>
    </row>
    <row r="661">
      <c r="I661" s="19"/>
    </row>
    <row r="662">
      <c r="I662" s="19"/>
    </row>
    <row r="663">
      <c r="I663" s="19"/>
    </row>
    <row r="664">
      <c r="I664" s="19"/>
    </row>
    <row r="665">
      <c r="I665" s="19"/>
    </row>
    <row r="666">
      <c r="I666" s="19"/>
    </row>
    <row r="667">
      <c r="I667" s="19"/>
    </row>
    <row r="668">
      <c r="I668" s="19"/>
    </row>
    <row r="669">
      <c r="I669" s="19"/>
    </row>
    <row r="670">
      <c r="I670" s="19"/>
    </row>
    <row r="671">
      <c r="I671" s="19"/>
    </row>
    <row r="672">
      <c r="I672" s="19"/>
    </row>
    <row r="673">
      <c r="I673" s="19"/>
    </row>
    <row r="674">
      <c r="I674" s="19"/>
    </row>
    <row r="675">
      <c r="I675" s="19"/>
    </row>
    <row r="676">
      <c r="I676" s="19"/>
    </row>
    <row r="677">
      <c r="I677" s="19"/>
    </row>
    <row r="678">
      <c r="I678" s="19"/>
    </row>
    <row r="679">
      <c r="I679" s="19"/>
    </row>
    <row r="680">
      <c r="I680" s="19"/>
    </row>
    <row r="681">
      <c r="I681" s="19"/>
    </row>
    <row r="682">
      <c r="I682" s="19"/>
    </row>
    <row r="683">
      <c r="I683" s="19"/>
    </row>
    <row r="684">
      <c r="I684" s="19"/>
    </row>
    <row r="685">
      <c r="I685" s="19"/>
    </row>
    <row r="686">
      <c r="I686" s="19"/>
    </row>
    <row r="687">
      <c r="I687" s="19"/>
    </row>
    <row r="688">
      <c r="I688" s="19"/>
    </row>
    <row r="689">
      <c r="I689" s="19"/>
    </row>
    <row r="690">
      <c r="I690" s="19"/>
    </row>
    <row r="691">
      <c r="I691" s="19"/>
    </row>
    <row r="692">
      <c r="I692" s="19"/>
    </row>
    <row r="693">
      <c r="I693" s="19"/>
    </row>
    <row r="694">
      <c r="I694" s="19"/>
    </row>
    <row r="695">
      <c r="I695" s="19"/>
    </row>
    <row r="696">
      <c r="I696" s="19"/>
    </row>
    <row r="697">
      <c r="I697" s="19"/>
    </row>
    <row r="698">
      <c r="I698" s="19"/>
    </row>
    <row r="699">
      <c r="I699" s="19"/>
    </row>
    <row r="700">
      <c r="I700" s="19"/>
    </row>
    <row r="701">
      <c r="I701" s="19"/>
    </row>
    <row r="702">
      <c r="I702" s="19"/>
    </row>
    <row r="703">
      <c r="I703" s="19"/>
    </row>
    <row r="704">
      <c r="I704" s="19"/>
    </row>
    <row r="705">
      <c r="I705" s="19"/>
    </row>
    <row r="706">
      <c r="I706" s="19"/>
    </row>
    <row r="707">
      <c r="I707" s="19"/>
    </row>
    <row r="708">
      <c r="I708" s="19"/>
    </row>
    <row r="709">
      <c r="I709" s="19"/>
    </row>
    <row r="710">
      <c r="I710" s="19"/>
    </row>
    <row r="711">
      <c r="I711" s="19"/>
    </row>
    <row r="712">
      <c r="I712" s="19"/>
    </row>
    <row r="713">
      <c r="I713" s="19"/>
    </row>
    <row r="714">
      <c r="I714" s="19"/>
    </row>
    <row r="715">
      <c r="I715" s="19"/>
    </row>
    <row r="716">
      <c r="I716" s="19"/>
    </row>
    <row r="717">
      <c r="I717" s="19"/>
    </row>
    <row r="718">
      <c r="I718" s="19"/>
    </row>
    <row r="719">
      <c r="I719" s="19"/>
    </row>
    <row r="720">
      <c r="I720" s="19"/>
    </row>
    <row r="721">
      <c r="I721" s="19"/>
    </row>
    <row r="722">
      <c r="I722" s="19"/>
    </row>
    <row r="723">
      <c r="I723" s="19"/>
    </row>
    <row r="724">
      <c r="I724" s="19"/>
    </row>
    <row r="725">
      <c r="I725" s="19"/>
    </row>
    <row r="726">
      <c r="I726" s="19"/>
    </row>
    <row r="727">
      <c r="I727" s="19"/>
    </row>
    <row r="728">
      <c r="I728" s="19"/>
    </row>
    <row r="729">
      <c r="I729" s="19"/>
    </row>
    <row r="730">
      <c r="I730" s="19"/>
    </row>
    <row r="731">
      <c r="I731" s="19"/>
    </row>
    <row r="732">
      <c r="I732" s="19"/>
    </row>
    <row r="733">
      <c r="I733" s="19"/>
    </row>
    <row r="734">
      <c r="I734" s="19"/>
    </row>
    <row r="735">
      <c r="I735" s="19"/>
    </row>
    <row r="736">
      <c r="I736" s="19"/>
    </row>
    <row r="737">
      <c r="I737" s="19"/>
    </row>
    <row r="738">
      <c r="I738" s="19"/>
    </row>
    <row r="739">
      <c r="I739" s="19"/>
    </row>
    <row r="740">
      <c r="I740" s="19"/>
    </row>
    <row r="741">
      <c r="I741" s="19"/>
    </row>
    <row r="742">
      <c r="I742" s="19"/>
    </row>
    <row r="743">
      <c r="I743" s="19"/>
    </row>
    <row r="744">
      <c r="I744" s="19"/>
    </row>
    <row r="745">
      <c r="I745" s="19"/>
    </row>
    <row r="746">
      <c r="I746" s="19"/>
    </row>
    <row r="747">
      <c r="I747" s="19"/>
    </row>
    <row r="748">
      <c r="I748" s="19"/>
    </row>
    <row r="749">
      <c r="I749" s="19"/>
    </row>
    <row r="750">
      <c r="I750" s="19"/>
    </row>
    <row r="751">
      <c r="I751" s="19"/>
    </row>
    <row r="752">
      <c r="I752" s="19"/>
    </row>
    <row r="753">
      <c r="I753" s="19"/>
    </row>
    <row r="754">
      <c r="I754" s="19"/>
    </row>
    <row r="755">
      <c r="I755" s="19"/>
    </row>
    <row r="756">
      <c r="I756" s="19"/>
    </row>
    <row r="757">
      <c r="I757" s="19"/>
    </row>
    <row r="758">
      <c r="I758" s="19"/>
    </row>
    <row r="759">
      <c r="I759" s="19"/>
    </row>
    <row r="760">
      <c r="I760" s="19"/>
    </row>
    <row r="761">
      <c r="I761" s="19"/>
    </row>
    <row r="762">
      <c r="I762" s="19"/>
    </row>
    <row r="763">
      <c r="I763" s="19"/>
    </row>
    <row r="764">
      <c r="I764" s="19"/>
    </row>
    <row r="765">
      <c r="I765" s="19"/>
    </row>
    <row r="766">
      <c r="I766" s="19"/>
    </row>
    <row r="767">
      <c r="I767" s="19"/>
    </row>
    <row r="768">
      <c r="I768" s="19"/>
    </row>
    <row r="769">
      <c r="I769" s="19"/>
    </row>
    <row r="770">
      <c r="I770" s="19"/>
    </row>
    <row r="771">
      <c r="I771" s="19"/>
    </row>
    <row r="772">
      <c r="I772" s="19"/>
    </row>
    <row r="773">
      <c r="I773" s="19"/>
    </row>
    <row r="774">
      <c r="I774" s="19"/>
    </row>
    <row r="775">
      <c r="I775" s="19"/>
    </row>
    <row r="776">
      <c r="I776" s="19"/>
    </row>
    <row r="777">
      <c r="I777" s="19"/>
    </row>
    <row r="778">
      <c r="I778" s="19"/>
    </row>
    <row r="779">
      <c r="I779" s="19"/>
    </row>
    <row r="780">
      <c r="I780" s="19"/>
    </row>
    <row r="781">
      <c r="I781" s="19"/>
    </row>
    <row r="782">
      <c r="I782" s="19"/>
    </row>
    <row r="783">
      <c r="I783" s="19"/>
    </row>
    <row r="784">
      <c r="I784" s="19"/>
    </row>
    <row r="785">
      <c r="I785" s="19"/>
    </row>
    <row r="786">
      <c r="I786" s="19"/>
    </row>
    <row r="787">
      <c r="I787" s="19"/>
    </row>
    <row r="788">
      <c r="I788" s="19"/>
    </row>
    <row r="789">
      <c r="I789" s="19"/>
    </row>
    <row r="790">
      <c r="I790" s="19"/>
    </row>
    <row r="791">
      <c r="I791" s="19"/>
    </row>
    <row r="792">
      <c r="I792" s="19"/>
    </row>
    <row r="793">
      <c r="I793" s="19"/>
    </row>
    <row r="794">
      <c r="I794" s="19"/>
    </row>
    <row r="795">
      <c r="I795" s="19"/>
    </row>
    <row r="796">
      <c r="I796" s="19"/>
    </row>
    <row r="797">
      <c r="I797" s="19"/>
    </row>
    <row r="798">
      <c r="I798" s="19"/>
    </row>
    <row r="799">
      <c r="I799" s="19"/>
    </row>
    <row r="800">
      <c r="I800" s="19"/>
    </row>
    <row r="801">
      <c r="I801" s="19"/>
    </row>
    <row r="802">
      <c r="I802" s="19"/>
    </row>
    <row r="803">
      <c r="I803" s="19"/>
    </row>
    <row r="804">
      <c r="I804" s="19"/>
    </row>
    <row r="805">
      <c r="I805" s="19"/>
    </row>
    <row r="806">
      <c r="I806" s="19"/>
    </row>
    <row r="807">
      <c r="I807" s="19"/>
    </row>
    <row r="808">
      <c r="I808" s="19"/>
    </row>
    <row r="809">
      <c r="I809" s="19"/>
    </row>
    <row r="810">
      <c r="I810" s="19"/>
    </row>
    <row r="811">
      <c r="I811" s="19"/>
    </row>
    <row r="812">
      <c r="I812" s="19"/>
    </row>
    <row r="813">
      <c r="I813" s="19"/>
    </row>
    <row r="814">
      <c r="I814" s="19"/>
    </row>
    <row r="815">
      <c r="I815" s="19"/>
    </row>
    <row r="816">
      <c r="I816" s="19"/>
    </row>
    <row r="817">
      <c r="I817" s="19"/>
    </row>
    <row r="818">
      <c r="I818" s="19"/>
    </row>
    <row r="819">
      <c r="I819" s="19"/>
    </row>
    <row r="820">
      <c r="I820" s="19"/>
    </row>
    <row r="821">
      <c r="I821" s="19"/>
    </row>
    <row r="822">
      <c r="I822" s="19"/>
    </row>
    <row r="823">
      <c r="I823" s="19"/>
    </row>
    <row r="824">
      <c r="I824" s="19"/>
    </row>
    <row r="825">
      <c r="I825" s="19"/>
    </row>
    <row r="826">
      <c r="I826" s="19"/>
    </row>
    <row r="827">
      <c r="I827" s="19"/>
    </row>
    <row r="828">
      <c r="I828" s="19"/>
    </row>
    <row r="829">
      <c r="I829" s="19"/>
    </row>
    <row r="830">
      <c r="I830" s="19"/>
    </row>
    <row r="831">
      <c r="I831" s="19"/>
    </row>
    <row r="832">
      <c r="I832" s="19"/>
    </row>
    <row r="833">
      <c r="I833" s="19"/>
    </row>
    <row r="834">
      <c r="I834" s="19"/>
    </row>
    <row r="835">
      <c r="I835" s="19"/>
    </row>
    <row r="836">
      <c r="I836" s="19"/>
    </row>
    <row r="837">
      <c r="I837" s="19"/>
    </row>
    <row r="838">
      <c r="I838" s="19"/>
    </row>
    <row r="839">
      <c r="I839" s="19"/>
    </row>
    <row r="840">
      <c r="I840" s="19"/>
    </row>
    <row r="841">
      <c r="I841" s="19"/>
    </row>
    <row r="842">
      <c r="I842" s="19"/>
    </row>
    <row r="843">
      <c r="I843" s="19"/>
    </row>
    <row r="844">
      <c r="I844" s="19"/>
    </row>
    <row r="845">
      <c r="I845" s="19"/>
    </row>
    <row r="846">
      <c r="I846" s="19"/>
    </row>
    <row r="847">
      <c r="I847" s="19"/>
    </row>
    <row r="848">
      <c r="I848" s="19"/>
    </row>
    <row r="849">
      <c r="I849" s="19"/>
    </row>
    <row r="850">
      <c r="I850" s="19"/>
    </row>
    <row r="851">
      <c r="I851" s="19"/>
    </row>
    <row r="852">
      <c r="I852" s="19"/>
    </row>
    <row r="853">
      <c r="I853" s="19"/>
    </row>
    <row r="854">
      <c r="I854" s="19"/>
    </row>
    <row r="855">
      <c r="I855" s="19"/>
    </row>
    <row r="856">
      <c r="I856" s="19"/>
    </row>
    <row r="857">
      <c r="I857" s="19"/>
    </row>
    <row r="858">
      <c r="I858" s="19"/>
    </row>
    <row r="859">
      <c r="I859" s="19"/>
    </row>
    <row r="860">
      <c r="I860" s="19"/>
    </row>
    <row r="861">
      <c r="I861" s="19"/>
    </row>
    <row r="862">
      <c r="I862" s="19"/>
    </row>
    <row r="863">
      <c r="I863" s="19"/>
    </row>
    <row r="864">
      <c r="I864" s="19"/>
    </row>
    <row r="865">
      <c r="I865" s="19"/>
    </row>
    <row r="866">
      <c r="I866" s="19"/>
    </row>
    <row r="867">
      <c r="I867" s="19"/>
    </row>
    <row r="868">
      <c r="I868" s="19"/>
    </row>
    <row r="869">
      <c r="I869" s="19"/>
    </row>
    <row r="870">
      <c r="I870" s="19"/>
    </row>
    <row r="871">
      <c r="I871" s="19"/>
    </row>
    <row r="872">
      <c r="I872" s="19"/>
    </row>
    <row r="873">
      <c r="I873" s="19"/>
    </row>
    <row r="874">
      <c r="I874" s="19"/>
    </row>
    <row r="875">
      <c r="I875" s="19"/>
    </row>
    <row r="876">
      <c r="I876" s="19"/>
    </row>
    <row r="877">
      <c r="I877" s="19"/>
    </row>
    <row r="878">
      <c r="I878" s="19"/>
    </row>
    <row r="879">
      <c r="I879" s="19"/>
    </row>
    <row r="880">
      <c r="I880" s="19"/>
    </row>
    <row r="881">
      <c r="I881" s="19"/>
    </row>
    <row r="882">
      <c r="I882" s="19"/>
    </row>
    <row r="883">
      <c r="I883" s="19"/>
    </row>
    <row r="884">
      <c r="I884" s="19"/>
    </row>
    <row r="885">
      <c r="I885" s="19"/>
    </row>
    <row r="886">
      <c r="I886" s="19"/>
    </row>
    <row r="887">
      <c r="I887" s="19"/>
    </row>
    <row r="888">
      <c r="I888" s="19"/>
    </row>
    <row r="889">
      <c r="I889" s="19"/>
    </row>
    <row r="890">
      <c r="I890" s="19"/>
    </row>
    <row r="891">
      <c r="I891" s="19"/>
    </row>
    <row r="892">
      <c r="I892" s="19"/>
    </row>
    <row r="893">
      <c r="I893" s="19"/>
    </row>
    <row r="894">
      <c r="I894" s="19"/>
    </row>
    <row r="895">
      <c r="I895" s="19"/>
    </row>
    <row r="896">
      <c r="I896" s="19"/>
    </row>
    <row r="897">
      <c r="I897" s="19"/>
    </row>
    <row r="898">
      <c r="I898" s="19"/>
    </row>
    <row r="899">
      <c r="I899" s="19"/>
    </row>
    <row r="900">
      <c r="I900" s="19"/>
    </row>
    <row r="901">
      <c r="I901" s="19"/>
    </row>
    <row r="902">
      <c r="I902" s="19"/>
    </row>
    <row r="903">
      <c r="I903" s="19"/>
    </row>
    <row r="904">
      <c r="I904" s="19"/>
    </row>
    <row r="905">
      <c r="I905" s="19"/>
    </row>
    <row r="906">
      <c r="I906" s="19"/>
    </row>
    <row r="907">
      <c r="I907" s="19"/>
    </row>
    <row r="908">
      <c r="I908" s="19"/>
    </row>
    <row r="909">
      <c r="I909" s="19"/>
    </row>
    <row r="910">
      <c r="I910" s="19"/>
    </row>
    <row r="911">
      <c r="I911" s="19"/>
    </row>
    <row r="912">
      <c r="I912" s="19"/>
    </row>
    <row r="913">
      <c r="I913" s="19"/>
    </row>
    <row r="914">
      <c r="I914" s="19"/>
    </row>
    <row r="915">
      <c r="I915" s="19"/>
    </row>
    <row r="916">
      <c r="I916" s="19"/>
    </row>
    <row r="917">
      <c r="I917" s="19"/>
    </row>
    <row r="918">
      <c r="I918" s="19"/>
    </row>
    <row r="919">
      <c r="I919" s="19"/>
    </row>
    <row r="920">
      <c r="I920" s="19"/>
    </row>
    <row r="921">
      <c r="I921" s="19"/>
    </row>
    <row r="922">
      <c r="I922" s="19"/>
    </row>
    <row r="923">
      <c r="I923" s="19"/>
    </row>
    <row r="924">
      <c r="I924" s="19"/>
    </row>
    <row r="925">
      <c r="I925" s="19"/>
    </row>
    <row r="926">
      <c r="I926" s="19"/>
    </row>
    <row r="927">
      <c r="I927" s="19"/>
    </row>
    <row r="928">
      <c r="I928" s="19"/>
    </row>
    <row r="929">
      <c r="I929" s="19"/>
    </row>
    <row r="930">
      <c r="I930" s="19"/>
    </row>
    <row r="931">
      <c r="I931" s="19"/>
    </row>
    <row r="932">
      <c r="I932" s="19"/>
    </row>
    <row r="933">
      <c r="I933" s="19"/>
    </row>
    <row r="934">
      <c r="I934" s="19"/>
    </row>
    <row r="935">
      <c r="I935" s="19"/>
    </row>
    <row r="936">
      <c r="I936" s="19"/>
    </row>
    <row r="937">
      <c r="I937" s="19"/>
    </row>
    <row r="938">
      <c r="I938" s="19"/>
    </row>
    <row r="939">
      <c r="I939" s="19"/>
    </row>
    <row r="940">
      <c r="I940" s="19"/>
    </row>
    <row r="941">
      <c r="I941" s="19"/>
    </row>
    <row r="942">
      <c r="I942" s="19"/>
    </row>
    <row r="943">
      <c r="I943" s="19"/>
    </row>
    <row r="944">
      <c r="I944" s="19"/>
    </row>
    <row r="945">
      <c r="I945" s="19"/>
    </row>
    <row r="946">
      <c r="I946" s="19"/>
    </row>
    <row r="947">
      <c r="I947" s="19"/>
    </row>
    <row r="948">
      <c r="I948" s="19"/>
    </row>
    <row r="949">
      <c r="I949" s="19"/>
    </row>
    <row r="950">
      <c r="I950" s="19"/>
    </row>
    <row r="951">
      <c r="I951" s="19"/>
    </row>
    <row r="952">
      <c r="I952" s="19"/>
    </row>
    <row r="953">
      <c r="I953" s="19"/>
    </row>
    <row r="954">
      <c r="I954" s="19"/>
    </row>
    <row r="955">
      <c r="I955" s="19"/>
    </row>
    <row r="956">
      <c r="I956" s="19"/>
    </row>
    <row r="957">
      <c r="I957" s="19"/>
    </row>
    <row r="958">
      <c r="I958" s="19"/>
    </row>
    <row r="959">
      <c r="I959" s="19"/>
    </row>
    <row r="960">
      <c r="I960" s="19"/>
    </row>
    <row r="961">
      <c r="I961" s="19"/>
    </row>
    <row r="962">
      <c r="I962" s="19"/>
    </row>
    <row r="963">
      <c r="I963" s="19"/>
    </row>
    <row r="964">
      <c r="I964" s="19"/>
    </row>
    <row r="965">
      <c r="I965" s="19"/>
    </row>
    <row r="966">
      <c r="I966" s="19"/>
    </row>
    <row r="967">
      <c r="I967" s="19"/>
    </row>
    <row r="968">
      <c r="I968" s="19"/>
    </row>
    <row r="969">
      <c r="I969" s="19"/>
    </row>
    <row r="970">
      <c r="I970" s="19"/>
    </row>
    <row r="971">
      <c r="I971" s="19"/>
    </row>
    <row r="972">
      <c r="I972" s="19"/>
    </row>
    <row r="973">
      <c r="I973" s="19"/>
    </row>
    <row r="974">
      <c r="I974" s="19"/>
    </row>
    <row r="975">
      <c r="I975" s="19"/>
    </row>
    <row r="976">
      <c r="I976" s="19"/>
    </row>
    <row r="977">
      <c r="I977" s="19"/>
    </row>
    <row r="978">
      <c r="I978" s="19"/>
    </row>
    <row r="979">
      <c r="I979" s="19"/>
    </row>
    <row r="980">
      <c r="I980" s="19"/>
    </row>
    <row r="981">
      <c r="I981" s="19"/>
    </row>
    <row r="982">
      <c r="I982" s="19"/>
    </row>
    <row r="983">
      <c r="I983" s="19"/>
    </row>
    <row r="984">
      <c r="I984" s="19"/>
    </row>
    <row r="985">
      <c r="I985" s="19"/>
    </row>
    <row r="986">
      <c r="I986" s="19"/>
    </row>
    <row r="987">
      <c r="I987" s="19"/>
    </row>
    <row r="988">
      <c r="I988" s="19"/>
    </row>
    <row r="989">
      <c r="I989" s="19"/>
    </row>
    <row r="990">
      <c r="I990" s="19"/>
    </row>
    <row r="991">
      <c r="I991" s="19"/>
    </row>
    <row r="992">
      <c r="I992" s="19"/>
    </row>
    <row r="993">
      <c r="I993" s="19"/>
    </row>
    <row r="994">
      <c r="I994" s="19"/>
    </row>
    <row r="995">
      <c r="I995" s="19"/>
    </row>
    <row r="996">
      <c r="I996" s="19"/>
    </row>
    <row r="997">
      <c r="I997" s="19"/>
    </row>
    <row r="998">
      <c r="I998" s="19"/>
    </row>
    <row r="999">
      <c r="I999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</v>
      </c>
      <c r="B1" s="17" t="str">
        <f>Demand!A1</f>
        <v>Quarter</v>
      </c>
      <c r="C1" s="1" t="s">
        <v>10</v>
      </c>
      <c r="D1" s="17" t="str">
        <f>Demand!B1</f>
        <v>Demand</v>
      </c>
      <c r="E1" s="24" t="s">
        <v>24</v>
      </c>
      <c r="F1" s="24" t="s">
        <v>15</v>
      </c>
      <c r="G1" s="24" t="s">
        <v>16</v>
      </c>
      <c r="H1" s="24" t="s">
        <v>17</v>
      </c>
      <c r="I1" s="24" t="s">
        <v>18</v>
      </c>
      <c r="J1" s="24" t="s">
        <v>19</v>
      </c>
      <c r="K1" s="24" t="s">
        <v>42</v>
      </c>
      <c r="L1" s="24" t="s">
        <v>43</v>
      </c>
      <c r="M1" s="24" t="s">
        <v>7</v>
      </c>
      <c r="N1" s="24" t="s">
        <v>44</v>
      </c>
      <c r="O1" s="24" t="s">
        <v>8</v>
      </c>
      <c r="P1" s="24"/>
    </row>
    <row r="2">
      <c r="A2" s="1"/>
      <c r="B2" s="1">
        <v>0.0</v>
      </c>
      <c r="C2" s="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>
      <c r="A3" s="1">
        <v>1.0</v>
      </c>
      <c r="B3" s="17">
        <f>Demand!A2</f>
        <v>1</v>
      </c>
      <c r="C3" s="1">
        <v>1.0</v>
      </c>
      <c r="D3" s="17">
        <f>Demand!B2</f>
        <v>62</v>
      </c>
      <c r="E3" s="30"/>
      <c r="F3" s="30"/>
      <c r="G3" s="24"/>
      <c r="H3" s="24"/>
      <c r="I3" s="24"/>
      <c r="J3" s="24"/>
      <c r="K3" s="24"/>
      <c r="L3" s="24"/>
      <c r="M3" s="24"/>
      <c r="N3" s="24"/>
      <c r="O3" s="24"/>
      <c r="P3" s="24"/>
    </row>
    <row r="4">
      <c r="B4" s="17">
        <f>Demand!A3</f>
        <v>2</v>
      </c>
      <c r="C4" s="1">
        <v>2.0</v>
      </c>
      <c r="D4" s="17">
        <f>Demand!B3</f>
        <v>95</v>
      </c>
      <c r="E4" s="30"/>
      <c r="F4" s="30"/>
      <c r="G4" s="24"/>
      <c r="H4" s="24"/>
      <c r="I4" s="24"/>
      <c r="J4" s="24"/>
      <c r="K4" s="24"/>
      <c r="L4" s="24"/>
      <c r="M4" s="24"/>
      <c r="N4" s="24"/>
      <c r="O4" s="24"/>
      <c r="P4" s="24"/>
    </row>
    <row r="5">
      <c r="B5" s="17">
        <f>Demand!A4</f>
        <v>3</v>
      </c>
      <c r="C5" s="1">
        <v>3.0</v>
      </c>
      <c r="D5" s="17">
        <f>Demand!B4</f>
        <v>129</v>
      </c>
      <c r="P5" s="24"/>
    </row>
    <row r="6">
      <c r="B6" s="17">
        <f>Demand!A5</f>
        <v>4</v>
      </c>
      <c r="C6" s="1">
        <v>4.0</v>
      </c>
      <c r="D6" s="17">
        <f>Demand!B5</f>
        <v>82</v>
      </c>
      <c r="E6" s="31">
        <f t="shared" ref="E6:E10" si="1">average(D3:D6)</f>
        <v>92</v>
      </c>
      <c r="F6" s="30"/>
      <c r="G6" s="24"/>
      <c r="H6" s="24"/>
      <c r="I6" s="32"/>
      <c r="J6" s="24"/>
      <c r="K6" s="24"/>
      <c r="L6" s="33"/>
      <c r="M6" s="24"/>
      <c r="N6" s="24"/>
      <c r="O6" s="24"/>
      <c r="P6" s="24"/>
    </row>
    <row r="7">
      <c r="A7" s="1">
        <v>2.0</v>
      </c>
      <c r="B7" s="1">
        <v>1.0</v>
      </c>
      <c r="C7" s="1">
        <v>5.0</v>
      </c>
      <c r="D7" s="17">
        <f>Demand!B6</f>
        <v>40</v>
      </c>
      <c r="E7" s="31">
        <f t="shared" si="1"/>
        <v>86.5</v>
      </c>
      <c r="F7" s="31">
        <f t="shared" ref="F7:F10" si="2">E6</f>
        <v>92</v>
      </c>
      <c r="G7" s="31">
        <f t="shared" ref="G7:G10" si="3">F7-D7</f>
        <v>52</v>
      </c>
      <c r="H7" s="23">
        <f t="shared" ref="H7:H10" si="4">abs(G7)</f>
        <v>52</v>
      </c>
      <c r="I7" s="34">
        <f t="shared" ref="I7:I10" si="5">SUMSQ($G$7:G7)/(C7)</f>
        <v>540.8</v>
      </c>
      <c r="J7" s="35">
        <f t="shared" ref="J7:J10" si="6">SUM($H$7:H7)/(C7)</f>
        <v>10.4</v>
      </c>
      <c r="K7" s="36">
        <f t="shared" ref="K7:K10" si="7">G7/D6</f>
        <v>0.6341463415</v>
      </c>
      <c r="L7" s="36">
        <f t="shared" ref="L7:L10" si="8">ABs(K7)</f>
        <v>0.6341463415</v>
      </c>
      <c r="M7" s="36">
        <f t="shared" ref="M7:M10" si="9">AVERAGE($L$7:L7)</f>
        <v>0.6341463415</v>
      </c>
      <c r="N7" s="31">
        <f t="shared" ref="N7:N10" si="10">sum($G$7:G7)</f>
        <v>52</v>
      </c>
      <c r="O7" s="31">
        <f t="shared" ref="O7:O10" si="11"> N7/J7</f>
        <v>5</v>
      </c>
      <c r="P7" s="24"/>
    </row>
    <row r="8">
      <c r="B8" s="1">
        <v>2.0</v>
      </c>
      <c r="C8" s="1">
        <v>6.0</v>
      </c>
      <c r="D8" s="17">
        <f>Demand!B7</f>
        <v>60</v>
      </c>
      <c r="E8" s="31">
        <f t="shared" si="1"/>
        <v>77.75</v>
      </c>
      <c r="F8" s="31">
        <f t="shared" si="2"/>
        <v>86.5</v>
      </c>
      <c r="G8" s="31">
        <f t="shared" si="3"/>
        <v>26.5</v>
      </c>
      <c r="H8" s="23">
        <f t="shared" si="4"/>
        <v>26.5</v>
      </c>
      <c r="I8" s="34">
        <f t="shared" si="5"/>
        <v>567.7083333</v>
      </c>
      <c r="J8" s="35">
        <f t="shared" si="6"/>
        <v>13.08333333</v>
      </c>
      <c r="K8" s="36">
        <f t="shared" si="7"/>
        <v>0.6625</v>
      </c>
      <c r="L8" s="36">
        <f t="shared" si="8"/>
        <v>0.6625</v>
      </c>
      <c r="M8" s="36">
        <f t="shared" si="9"/>
        <v>0.6483231707</v>
      </c>
      <c r="N8" s="31">
        <f t="shared" si="10"/>
        <v>78.5</v>
      </c>
      <c r="O8" s="31">
        <f t="shared" si="11"/>
        <v>6</v>
      </c>
      <c r="P8" s="24"/>
    </row>
    <row r="9">
      <c r="B9" s="1">
        <v>3.0</v>
      </c>
      <c r="C9" s="1">
        <v>7.0</v>
      </c>
      <c r="D9" s="17">
        <f>Demand!B8</f>
        <v>82</v>
      </c>
      <c r="E9" s="31">
        <f t="shared" si="1"/>
        <v>66</v>
      </c>
      <c r="F9" s="31">
        <f t="shared" si="2"/>
        <v>77.75</v>
      </c>
      <c r="G9" s="31">
        <f t="shared" si="3"/>
        <v>-4.25</v>
      </c>
      <c r="H9" s="23">
        <f t="shared" si="4"/>
        <v>4.25</v>
      </c>
      <c r="I9" s="34">
        <f t="shared" si="5"/>
        <v>489.1875</v>
      </c>
      <c r="J9" s="35">
        <f t="shared" si="6"/>
        <v>11.82142857</v>
      </c>
      <c r="K9" s="36">
        <f t="shared" si="7"/>
        <v>-0.07083333333</v>
      </c>
      <c r="L9" s="36">
        <f t="shared" si="8"/>
        <v>0.07083333333</v>
      </c>
      <c r="M9" s="36">
        <f t="shared" si="9"/>
        <v>0.4558265583</v>
      </c>
      <c r="N9" s="31">
        <f t="shared" si="10"/>
        <v>74.25</v>
      </c>
      <c r="O9" s="31">
        <f t="shared" si="11"/>
        <v>6.280966767</v>
      </c>
      <c r="P9" s="24"/>
    </row>
    <row r="10">
      <c r="B10" s="1">
        <v>4.0</v>
      </c>
      <c r="C10" s="1">
        <v>8.0</v>
      </c>
      <c r="D10" s="17">
        <f>Demand!B9</f>
        <v>106</v>
      </c>
      <c r="E10" s="31">
        <f t="shared" si="1"/>
        <v>72</v>
      </c>
      <c r="F10" s="31">
        <f t="shared" si="2"/>
        <v>66</v>
      </c>
      <c r="G10" s="31">
        <f t="shared" si="3"/>
        <v>-40</v>
      </c>
      <c r="H10" s="23">
        <f t="shared" si="4"/>
        <v>40</v>
      </c>
      <c r="I10" s="34">
        <f t="shared" si="5"/>
        <v>628.0390625</v>
      </c>
      <c r="J10" s="35">
        <f t="shared" si="6"/>
        <v>15.34375</v>
      </c>
      <c r="K10" s="36">
        <f t="shared" si="7"/>
        <v>-0.487804878</v>
      </c>
      <c r="L10" s="36">
        <f t="shared" si="8"/>
        <v>0.487804878</v>
      </c>
      <c r="M10" s="36">
        <f t="shared" si="9"/>
        <v>0.4638211382</v>
      </c>
      <c r="N10" s="31">
        <f t="shared" si="10"/>
        <v>34.25</v>
      </c>
      <c r="O10" s="31">
        <f t="shared" si="11"/>
        <v>2.232179226</v>
      </c>
      <c r="P10" s="24"/>
    </row>
    <row r="11">
      <c r="A11" s="22">
        <v>3.0</v>
      </c>
      <c r="B11" s="23">
        <v>1.0</v>
      </c>
      <c r="C11" s="23">
        <f t="shared" ref="C11:C18" si="12">C10+1</f>
        <v>9</v>
      </c>
      <c r="E11" s="31"/>
      <c r="F11" s="37">
        <v>72.0</v>
      </c>
      <c r="G11" s="31"/>
      <c r="H11" s="23"/>
      <c r="I11" s="23"/>
      <c r="J11" s="35"/>
      <c r="K11" s="36"/>
      <c r="L11" s="36"/>
      <c r="M11" s="36"/>
      <c r="N11" s="31"/>
      <c r="O11" s="23"/>
      <c r="P11" s="24"/>
    </row>
    <row r="12">
      <c r="A12" s="24"/>
      <c r="B12" s="23">
        <v>2.0</v>
      </c>
      <c r="C12" s="23">
        <f t="shared" si="12"/>
        <v>10</v>
      </c>
      <c r="E12" s="31"/>
      <c r="F12" s="37">
        <v>72.0</v>
      </c>
      <c r="G12" s="31"/>
      <c r="H12" s="23"/>
      <c r="I12" s="23"/>
      <c r="J12" s="35"/>
      <c r="K12" s="36"/>
      <c r="L12" s="36"/>
      <c r="M12" s="36"/>
      <c r="N12" s="31"/>
      <c r="O12" s="23"/>
      <c r="P12" s="24"/>
    </row>
    <row r="13">
      <c r="A13" s="24"/>
      <c r="B13" s="23">
        <v>3.0</v>
      </c>
      <c r="C13" s="23">
        <f t="shared" si="12"/>
        <v>11</v>
      </c>
      <c r="E13" s="31"/>
      <c r="F13" s="37">
        <v>72.0</v>
      </c>
      <c r="G13" s="31"/>
      <c r="H13" s="23"/>
      <c r="I13" s="23"/>
      <c r="J13" s="35"/>
      <c r="K13" s="36"/>
      <c r="L13" s="36"/>
      <c r="M13" s="36"/>
      <c r="N13" s="31"/>
      <c r="O13" s="23"/>
      <c r="P13" s="24"/>
    </row>
    <row r="14">
      <c r="A14" s="24"/>
      <c r="B14" s="23">
        <v>4.0</v>
      </c>
      <c r="C14" s="23">
        <f t="shared" si="12"/>
        <v>12</v>
      </c>
      <c r="E14" s="31"/>
      <c r="F14" s="37">
        <v>72.0</v>
      </c>
      <c r="G14" s="31"/>
      <c r="H14" s="23"/>
      <c r="I14" s="23"/>
      <c r="J14" s="35"/>
      <c r="K14" s="36"/>
      <c r="L14" s="36"/>
      <c r="M14" s="36"/>
      <c r="N14" s="31"/>
      <c r="O14" s="23"/>
      <c r="P14" s="24"/>
    </row>
    <row r="15">
      <c r="A15" s="22">
        <v>4.0</v>
      </c>
      <c r="B15" s="23">
        <v>1.0</v>
      </c>
      <c r="C15" s="23">
        <f t="shared" si="12"/>
        <v>13</v>
      </c>
      <c r="E15" s="31"/>
      <c r="F15" s="37">
        <v>72.0</v>
      </c>
      <c r="G15" s="31"/>
      <c r="H15" s="23"/>
      <c r="I15" s="23"/>
      <c r="J15" s="35"/>
      <c r="K15" s="36"/>
      <c r="L15" s="36"/>
      <c r="M15" s="36"/>
      <c r="N15" s="31"/>
      <c r="O15" s="23"/>
      <c r="P15" s="24"/>
    </row>
    <row r="16">
      <c r="A16" s="24"/>
      <c r="B16" s="23">
        <v>2.0</v>
      </c>
      <c r="C16" s="23">
        <f t="shared" si="12"/>
        <v>14</v>
      </c>
      <c r="E16" s="31"/>
      <c r="F16" s="37">
        <v>72.0</v>
      </c>
      <c r="G16" s="31"/>
      <c r="H16" s="23"/>
      <c r="I16" s="23"/>
      <c r="J16" s="35"/>
      <c r="K16" s="36"/>
      <c r="L16" s="36"/>
      <c r="M16" s="36"/>
      <c r="N16" s="31"/>
      <c r="O16" s="23"/>
      <c r="P16" s="24"/>
    </row>
    <row r="17">
      <c r="A17" s="24"/>
      <c r="B17" s="23">
        <v>3.0</v>
      </c>
      <c r="C17" s="23">
        <f t="shared" si="12"/>
        <v>15</v>
      </c>
      <c r="E17" s="31"/>
      <c r="F17" s="37">
        <v>72.0</v>
      </c>
      <c r="G17" s="31"/>
      <c r="H17" s="23"/>
      <c r="I17" s="23"/>
      <c r="J17" s="35"/>
      <c r="K17" s="36"/>
      <c r="L17" s="36"/>
      <c r="M17" s="36"/>
      <c r="N17" s="31"/>
      <c r="O17" s="23"/>
      <c r="P17" s="24"/>
    </row>
    <row r="18">
      <c r="A18" s="24"/>
      <c r="B18" s="23">
        <v>4.0</v>
      </c>
      <c r="C18" s="23">
        <f t="shared" si="12"/>
        <v>16</v>
      </c>
      <c r="E18" s="31"/>
      <c r="F18" s="37">
        <v>72.0</v>
      </c>
      <c r="G18" s="31"/>
      <c r="H18" s="23"/>
      <c r="I18" s="23"/>
      <c r="J18" s="35"/>
      <c r="K18" s="36"/>
      <c r="L18" s="36"/>
      <c r="M18" s="36"/>
      <c r="N18" s="31"/>
      <c r="O18" s="23"/>
      <c r="P18" s="24"/>
    </row>
    <row r="19">
      <c r="A19" s="24"/>
      <c r="B19" s="23"/>
      <c r="C19" s="23"/>
      <c r="D19" s="23"/>
      <c r="E19" s="31"/>
      <c r="F19" s="31"/>
      <c r="G19" s="31"/>
      <c r="H19" s="23"/>
      <c r="I19" s="23"/>
      <c r="J19" s="35"/>
      <c r="K19" s="36"/>
      <c r="L19" s="36"/>
      <c r="M19" s="36"/>
      <c r="N19" s="31"/>
      <c r="O19" s="23"/>
      <c r="P19" s="24"/>
    </row>
    <row r="20">
      <c r="A20" s="24"/>
      <c r="B20" s="23"/>
      <c r="C20" s="23"/>
      <c r="D20" s="23"/>
      <c r="E20" s="31"/>
      <c r="F20" s="31"/>
      <c r="G20" s="31"/>
      <c r="H20" s="23"/>
      <c r="I20" s="23"/>
      <c r="J20" s="35"/>
      <c r="K20" s="36"/>
      <c r="L20" s="36"/>
      <c r="M20" s="36"/>
      <c r="N20" s="31"/>
      <c r="O20" s="23"/>
      <c r="P20" s="24"/>
    </row>
    <row r="21">
      <c r="A21" s="24"/>
      <c r="B21" s="23"/>
      <c r="C21" s="23"/>
      <c r="D21" s="23"/>
      <c r="E21" s="31"/>
      <c r="F21" s="31"/>
      <c r="G21" s="31"/>
      <c r="H21" s="23"/>
      <c r="I21" s="23"/>
      <c r="J21" s="35"/>
      <c r="K21" s="36"/>
      <c r="L21" s="36"/>
      <c r="M21" s="36"/>
      <c r="N21" s="31"/>
      <c r="O21" s="23"/>
      <c r="P21" s="2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</v>
      </c>
      <c r="B1" s="17" t="str">
        <f>Demand!A1</f>
        <v>Quarter</v>
      </c>
      <c r="C1" s="1" t="s">
        <v>10</v>
      </c>
      <c r="D1" s="17" t="str">
        <f>Demand!B1</f>
        <v>Demand</v>
      </c>
      <c r="E1" s="24" t="s">
        <v>24</v>
      </c>
      <c r="F1" s="24" t="s">
        <v>15</v>
      </c>
      <c r="G1" s="24" t="s">
        <v>16</v>
      </c>
      <c r="H1" s="24" t="s">
        <v>17</v>
      </c>
      <c r="I1" s="24" t="s">
        <v>45</v>
      </c>
      <c r="J1" s="24" t="s">
        <v>19</v>
      </c>
      <c r="K1" s="24" t="s">
        <v>20</v>
      </c>
      <c r="L1" s="24" t="s">
        <v>46</v>
      </c>
      <c r="M1" s="24" t="s">
        <v>7</v>
      </c>
      <c r="N1" s="24" t="s">
        <v>44</v>
      </c>
      <c r="O1" s="24" t="s">
        <v>23</v>
      </c>
      <c r="P1" s="24"/>
    </row>
    <row r="2">
      <c r="A2" s="1"/>
      <c r="B2" s="1">
        <v>0.0</v>
      </c>
      <c r="C2" s="1"/>
      <c r="E2" s="19">
        <f>AVERAGE(D3:D10)</f>
        <v>82</v>
      </c>
      <c r="F2" s="19"/>
    </row>
    <row r="3">
      <c r="A3" s="1">
        <v>1.0</v>
      </c>
      <c r="B3" s="17">
        <f>Demand!A2</f>
        <v>1</v>
      </c>
      <c r="C3" s="1">
        <v>1.0</v>
      </c>
      <c r="D3" s="17">
        <f>Demand!B2</f>
        <v>62</v>
      </c>
      <c r="E3" s="19">
        <f>'smooth varible test page'!$B$1*D3+(1-'smooth varible test page'!$B$1)*E2</f>
        <v>80</v>
      </c>
      <c r="F3" s="19">
        <f t="shared" ref="F3:F10" si="1">E2</f>
        <v>82</v>
      </c>
      <c r="G3" s="19">
        <f t="shared" ref="G3:G10" si="2">F3-D3</f>
        <v>20</v>
      </c>
      <c r="H3" s="18">
        <f t="shared" ref="H3:H10" si="3">abs(G3)</f>
        <v>20</v>
      </c>
      <c r="I3" s="18">
        <f t="shared" ref="I3:I10" si="4">sumsq($G3:G$4)/C3</f>
        <v>625</v>
      </c>
      <c r="J3" s="18">
        <f t="shared" ref="J3:J10" si="5">sum($H3:H$4)/C3</f>
        <v>35</v>
      </c>
      <c r="K3" s="38">
        <f t="shared" ref="K3:K10" si="6">G3/D3</f>
        <v>0.3225806452</v>
      </c>
      <c r="L3" s="38">
        <f t="shared" ref="L3:L10" si="7">abs(K3)</f>
        <v>0.3225806452</v>
      </c>
      <c r="M3" s="38">
        <f t="shared" ref="M3:M10" si="8">AVERAGE($L3:L$4)</f>
        <v>0.240237691</v>
      </c>
      <c r="N3" s="39">
        <f t="shared" ref="N3:N10" si="9">sum($G3:G$4)</f>
        <v>5</v>
      </c>
      <c r="O3" s="39">
        <f t="shared" ref="O3:O10" si="10">N3/J3</f>
        <v>0.1428571429</v>
      </c>
      <c r="P3" s="40"/>
    </row>
    <row r="4">
      <c r="B4" s="17">
        <f>Demand!A3</f>
        <v>2</v>
      </c>
      <c r="C4" s="1">
        <v>2.0</v>
      </c>
      <c r="D4" s="17">
        <f>Demand!B3</f>
        <v>95</v>
      </c>
      <c r="E4" s="19">
        <f>'smooth varible test page'!$B$1*D4+(1-'smooth varible test page'!$B$1)*E3</f>
        <v>81.5</v>
      </c>
      <c r="F4" s="19">
        <f t="shared" si="1"/>
        <v>80</v>
      </c>
      <c r="G4" s="19">
        <f t="shared" si="2"/>
        <v>-15</v>
      </c>
      <c r="H4" s="18">
        <f t="shared" si="3"/>
        <v>15</v>
      </c>
      <c r="I4" s="18">
        <f t="shared" si="4"/>
        <v>112.5</v>
      </c>
      <c r="J4" s="18">
        <f t="shared" si="5"/>
        <v>7.5</v>
      </c>
      <c r="K4" s="38">
        <f t="shared" si="6"/>
        <v>-0.1578947368</v>
      </c>
      <c r="L4" s="38">
        <f t="shared" si="7"/>
        <v>0.1578947368</v>
      </c>
      <c r="M4" s="38">
        <f t="shared" si="8"/>
        <v>0.1578947368</v>
      </c>
      <c r="N4" s="39">
        <f t="shared" si="9"/>
        <v>-15</v>
      </c>
      <c r="O4" s="39">
        <f t="shared" si="10"/>
        <v>-2</v>
      </c>
      <c r="P4" s="40"/>
    </row>
    <row r="5">
      <c r="B5" s="17">
        <f>Demand!A4</f>
        <v>3</v>
      </c>
      <c r="C5" s="1">
        <v>3.0</v>
      </c>
      <c r="D5" s="17">
        <f>Demand!B4</f>
        <v>129</v>
      </c>
      <c r="E5" s="19">
        <f>'smooth varible test page'!$B$1*D5+(1-'smooth varible test page'!$B$1)*E4</f>
        <v>86.25</v>
      </c>
      <c r="F5" s="19">
        <f t="shared" si="1"/>
        <v>81.5</v>
      </c>
      <c r="G5" s="19">
        <f t="shared" si="2"/>
        <v>-47.5</v>
      </c>
      <c r="H5" s="18">
        <f t="shared" si="3"/>
        <v>47.5</v>
      </c>
      <c r="I5" s="18">
        <f t="shared" si="4"/>
        <v>827.0833333</v>
      </c>
      <c r="J5" s="18">
        <f t="shared" si="5"/>
        <v>20.83333333</v>
      </c>
      <c r="K5" s="38">
        <f t="shared" si="6"/>
        <v>-0.3682170543</v>
      </c>
      <c r="L5" s="38">
        <f t="shared" si="7"/>
        <v>0.3682170543</v>
      </c>
      <c r="M5" s="38">
        <f t="shared" si="8"/>
        <v>0.2630558956</v>
      </c>
      <c r="N5" s="39">
        <f t="shared" si="9"/>
        <v>-62.5</v>
      </c>
      <c r="O5" s="39">
        <f t="shared" si="10"/>
        <v>-3</v>
      </c>
      <c r="P5" s="40"/>
    </row>
    <row r="6">
      <c r="B6" s="17">
        <f>Demand!A5</f>
        <v>4</v>
      </c>
      <c r="C6" s="1">
        <v>4.0</v>
      </c>
      <c r="D6" s="17">
        <f>Demand!B5</f>
        <v>82</v>
      </c>
      <c r="E6" s="19">
        <f>'smooth varible test page'!$B$1*D6+(1-'smooth varible test page'!$B$1)*E5</f>
        <v>85.825</v>
      </c>
      <c r="F6" s="19">
        <f t="shared" si="1"/>
        <v>86.25</v>
      </c>
      <c r="G6" s="19">
        <f t="shared" si="2"/>
        <v>4.25</v>
      </c>
      <c r="H6" s="18">
        <f t="shared" si="3"/>
        <v>4.25</v>
      </c>
      <c r="I6" s="18">
        <f t="shared" si="4"/>
        <v>624.828125</v>
      </c>
      <c r="J6" s="18">
        <f t="shared" si="5"/>
        <v>16.6875</v>
      </c>
      <c r="K6" s="38">
        <f t="shared" si="6"/>
        <v>0.05182926829</v>
      </c>
      <c r="L6" s="38">
        <f t="shared" si="7"/>
        <v>0.05182926829</v>
      </c>
      <c r="M6" s="38">
        <f t="shared" si="8"/>
        <v>0.1926470198</v>
      </c>
      <c r="N6" s="39">
        <f t="shared" si="9"/>
        <v>-58.25</v>
      </c>
      <c r="O6" s="39">
        <f t="shared" si="10"/>
        <v>-3.490636704</v>
      </c>
      <c r="P6" s="40"/>
    </row>
    <row r="7">
      <c r="A7" s="1">
        <v>2.0</v>
      </c>
      <c r="B7" s="1">
        <v>1.0</v>
      </c>
      <c r="C7" s="1">
        <v>5.0</v>
      </c>
      <c r="D7" s="17">
        <f>Demand!B6</f>
        <v>40</v>
      </c>
      <c r="E7" s="19">
        <f>'smooth varible test page'!$B$1*D7+(1-'smooth varible test page'!$B$1)*E6</f>
        <v>81.2425</v>
      </c>
      <c r="F7" s="19">
        <f t="shared" si="1"/>
        <v>85.825</v>
      </c>
      <c r="G7" s="19">
        <f t="shared" si="2"/>
        <v>45.825</v>
      </c>
      <c r="H7" s="18">
        <f t="shared" si="3"/>
        <v>45.825</v>
      </c>
      <c r="I7" s="18">
        <f t="shared" si="4"/>
        <v>919.848625</v>
      </c>
      <c r="J7" s="18">
        <f t="shared" si="5"/>
        <v>22.515</v>
      </c>
      <c r="K7" s="38">
        <f t="shared" si="6"/>
        <v>1.145625</v>
      </c>
      <c r="L7" s="38">
        <f t="shared" si="7"/>
        <v>1.145625</v>
      </c>
      <c r="M7" s="38">
        <f t="shared" si="8"/>
        <v>0.4308915148</v>
      </c>
      <c r="N7" s="39">
        <f t="shared" si="9"/>
        <v>-12.425</v>
      </c>
      <c r="O7" s="39">
        <f t="shared" si="10"/>
        <v>-0.5518543193</v>
      </c>
      <c r="P7" s="40"/>
    </row>
    <row r="8">
      <c r="B8" s="1">
        <v>2.0</v>
      </c>
      <c r="C8" s="1">
        <v>6.0</v>
      </c>
      <c r="D8" s="17">
        <f>Demand!B7</f>
        <v>60</v>
      </c>
      <c r="E8" s="19">
        <f>'smooth varible test page'!$B$1*D8+(1-'smooth varible test page'!$B$1)*E7</f>
        <v>79.11825</v>
      </c>
      <c r="F8" s="19">
        <f t="shared" si="1"/>
        <v>81.2425</v>
      </c>
      <c r="G8" s="19">
        <f t="shared" si="2"/>
        <v>21.2425</v>
      </c>
      <c r="H8" s="18">
        <f t="shared" si="3"/>
        <v>21.2425</v>
      </c>
      <c r="I8" s="18">
        <f t="shared" si="4"/>
        <v>841.7478219</v>
      </c>
      <c r="J8" s="18">
        <f t="shared" si="5"/>
        <v>22.30291667</v>
      </c>
      <c r="K8" s="38">
        <f t="shared" si="6"/>
        <v>0.3540416667</v>
      </c>
      <c r="L8" s="38">
        <f t="shared" si="7"/>
        <v>0.3540416667</v>
      </c>
      <c r="M8" s="38">
        <f t="shared" si="8"/>
        <v>0.4155215452</v>
      </c>
      <c r="N8" s="39">
        <f t="shared" si="9"/>
        <v>8.8175</v>
      </c>
      <c r="O8" s="39">
        <f t="shared" si="10"/>
        <v>0.3953518785</v>
      </c>
      <c r="P8" s="40"/>
    </row>
    <row r="9">
      <c r="B9" s="1">
        <v>3.0</v>
      </c>
      <c r="C9" s="1">
        <v>7.0</v>
      </c>
      <c r="D9" s="17">
        <f>Demand!B8</f>
        <v>82</v>
      </c>
      <c r="E9" s="19">
        <f>'smooth varible test page'!$B$1*D9+(1-'smooth varible test page'!$B$1)*E8</f>
        <v>79.406425</v>
      </c>
      <c r="F9" s="19">
        <f t="shared" si="1"/>
        <v>79.11825</v>
      </c>
      <c r="G9" s="19">
        <f t="shared" si="2"/>
        <v>-2.88175</v>
      </c>
      <c r="H9" s="18">
        <f t="shared" si="3"/>
        <v>2.88175</v>
      </c>
      <c r="I9" s="18">
        <f t="shared" si="4"/>
        <v>722.6844878</v>
      </c>
      <c r="J9" s="18">
        <f t="shared" si="5"/>
        <v>19.52846429</v>
      </c>
      <c r="K9" s="38">
        <f t="shared" si="6"/>
        <v>-0.03514329268</v>
      </c>
      <c r="L9" s="38">
        <f t="shared" si="7"/>
        <v>0.03514329268</v>
      </c>
      <c r="M9" s="38">
        <f t="shared" si="8"/>
        <v>0.3521251698</v>
      </c>
      <c r="N9" s="39">
        <f t="shared" si="9"/>
        <v>5.93575</v>
      </c>
      <c r="O9" s="39">
        <f t="shared" si="10"/>
        <v>0.3039537525</v>
      </c>
      <c r="P9" s="40"/>
    </row>
    <row r="10">
      <c r="B10" s="1">
        <v>4.0</v>
      </c>
      <c r="C10" s="1">
        <v>8.0</v>
      </c>
      <c r="D10" s="17">
        <f>Demand!B9</f>
        <v>106</v>
      </c>
      <c r="E10" s="19">
        <f>'smooth varible test page'!$B$1*D10+(1-'smooth varible test page'!$B$1)*E9</f>
        <v>82.0657825</v>
      </c>
      <c r="F10" s="19">
        <f t="shared" si="1"/>
        <v>79.406425</v>
      </c>
      <c r="G10" s="19">
        <f t="shared" si="2"/>
        <v>-26.593575</v>
      </c>
      <c r="H10" s="18">
        <f t="shared" si="3"/>
        <v>26.593575</v>
      </c>
      <c r="I10" s="18">
        <f t="shared" si="4"/>
        <v>720.7512057</v>
      </c>
      <c r="J10" s="18">
        <f t="shared" si="5"/>
        <v>20.41160313</v>
      </c>
      <c r="K10" s="38">
        <f t="shared" si="6"/>
        <v>-0.250882783</v>
      </c>
      <c r="L10" s="38">
        <f t="shared" si="7"/>
        <v>0.250882783</v>
      </c>
      <c r="M10" s="38">
        <f t="shared" si="8"/>
        <v>0.3376619717</v>
      </c>
      <c r="N10" s="39">
        <f t="shared" si="9"/>
        <v>-20.657825</v>
      </c>
      <c r="O10" s="39">
        <f t="shared" si="10"/>
        <v>-1.012062839</v>
      </c>
      <c r="P10" s="40"/>
    </row>
    <row r="11">
      <c r="A11" s="22">
        <v>3.0</v>
      </c>
      <c r="B11" s="23">
        <v>1.0</v>
      </c>
      <c r="C11" s="23">
        <f t="shared" ref="C11:C18" si="11">C10+1</f>
        <v>9</v>
      </c>
      <c r="F11" s="19">
        <f t="shared" ref="F11:F18" si="12">$E$10</f>
        <v>82.0657825</v>
      </c>
      <c r="M11" s="20">
        <f>AVERAGE(M3:M10)</f>
        <v>0.2987544431</v>
      </c>
    </row>
    <row r="12">
      <c r="A12" s="24"/>
      <c r="B12" s="23">
        <v>2.0</v>
      </c>
      <c r="C12" s="23">
        <f t="shared" si="11"/>
        <v>10</v>
      </c>
      <c r="F12" s="19">
        <f t="shared" si="12"/>
        <v>82.0657825</v>
      </c>
    </row>
    <row r="13">
      <c r="A13" s="24"/>
      <c r="B13" s="23">
        <v>3.0</v>
      </c>
      <c r="C13" s="23">
        <f t="shared" si="11"/>
        <v>11</v>
      </c>
      <c r="F13" s="19">
        <f t="shared" si="12"/>
        <v>82.0657825</v>
      </c>
    </row>
    <row r="14">
      <c r="A14" s="24"/>
      <c r="B14" s="23">
        <v>4.0</v>
      </c>
      <c r="C14" s="23">
        <f t="shared" si="11"/>
        <v>12</v>
      </c>
      <c r="F14" s="19">
        <f t="shared" si="12"/>
        <v>82.0657825</v>
      </c>
    </row>
    <row r="15">
      <c r="A15" s="22">
        <v>4.0</v>
      </c>
      <c r="B15" s="23">
        <v>1.0</v>
      </c>
      <c r="C15" s="23">
        <f t="shared" si="11"/>
        <v>13</v>
      </c>
      <c r="F15" s="19">
        <f t="shared" si="12"/>
        <v>82.0657825</v>
      </c>
    </row>
    <row r="16">
      <c r="A16" s="24"/>
      <c r="B16" s="23">
        <v>2.0</v>
      </c>
      <c r="C16" s="23">
        <f t="shared" si="11"/>
        <v>14</v>
      </c>
      <c r="F16" s="19">
        <f t="shared" si="12"/>
        <v>82.0657825</v>
      </c>
    </row>
    <row r="17">
      <c r="A17" s="24"/>
      <c r="B17" s="23">
        <v>3.0</v>
      </c>
      <c r="C17" s="23">
        <f t="shared" si="11"/>
        <v>15</v>
      </c>
      <c r="F17" s="19">
        <f t="shared" si="12"/>
        <v>82.0657825</v>
      </c>
    </row>
    <row r="18">
      <c r="A18" s="24"/>
      <c r="B18" s="23">
        <v>4.0</v>
      </c>
      <c r="C18" s="23">
        <f t="shared" si="11"/>
        <v>16</v>
      </c>
      <c r="F18" s="19">
        <f t="shared" si="12"/>
        <v>82.0657825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</v>
      </c>
      <c r="B1" s="17" t="str">
        <f>Demand!A1</f>
        <v>Quarter</v>
      </c>
      <c r="C1" s="1" t="s">
        <v>10</v>
      </c>
      <c r="D1" s="17" t="str">
        <f>Demand!B1</f>
        <v>Demand</v>
      </c>
      <c r="E1" s="24" t="s">
        <v>24</v>
      </c>
      <c r="F1" s="24" t="s">
        <v>26</v>
      </c>
      <c r="G1" s="24" t="s">
        <v>15</v>
      </c>
      <c r="H1" s="24" t="s">
        <v>16</v>
      </c>
      <c r="I1" s="24" t="s">
        <v>17</v>
      </c>
      <c r="J1" s="24" t="s">
        <v>45</v>
      </c>
      <c r="K1" s="24" t="s">
        <v>19</v>
      </c>
      <c r="L1" s="24" t="s">
        <v>20</v>
      </c>
      <c r="M1" s="24" t="s">
        <v>46</v>
      </c>
      <c r="N1" s="24" t="s">
        <v>7</v>
      </c>
      <c r="O1" s="24" t="s">
        <v>44</v>
      </c>
      <c r="P1" s="24" t="s">
        <v>23</v>
      </c>
    </row>
    <row r="2">
      <c r="A2" s="1"/>
      <c r="B2" s="1">
        <v>0.0</v>
      </c>
      <c r="C2" s="1"/>
      <c r="E2" s="37">
        <v>60.1</v>
      </c>
      <c r="F2" s="37">
        <v>1.68</v>
      </c>
      <c r="G2" s="24"/>
      <c r="H2" s="24"/>
      <c r="I2" s="24"/>
      <c r="J2" s="24"/>
      <c r="K2" s="24"/>
      <c r="L2" s="24"/>
      <c r="M2" s="24"/>
      <c r="N2" s="24"/>
      <c r="O2" s="24"/>
      <c r="P2" s="24"/>
    </row>
    <row r="3">
      <c r="A3" s="1">
        <v>1.0</v>
      </c>
      <c r="B3" s="17">
        <f>Demand!A2</f>
        <v>1</v>
      </c>
      <c r="C3" s="1">
        <v>1.0</v>
      </c>
      <c r="D3" s="17">
        <f>Demand!B2</f>
        <v>62</v>
      </c>
      <c r="E3" s="35">
        <f>'smooth varible test page'!$B$1*D3+(1-'smooth varible test page'!$B$1)*(E2+F2)</f>
        <v>61.802</v>
      </c>
      <c r="F3" s="31">
        <f>'smooth varible test page'!$B$2*(E3-E2)+(1-'smooth varible test page'!$B$2)*F2</f>
        <v>1.6822</v>
      </c>
      <c r="G3" s="31">
        <f t="shared" ref="G3:G10" si="1">E2+F2</f>
        <v>61.78</v>
      </c>
      <c r="H3" s="31">
        <f t="shared" ref="H3:H10" si="2">G3-D3</f>
        <v>-0.22</v>
      </c>
      <c r="I3" s="41">
        <f t="shared" ref="I3:I10" si="3">abs(H3)</f>
        <v>0.22</v>
      </c>
      <c r="J3" s="42">
        <f t="shared" ref="J3:J10" si="4">sumsq($H3:H$4)/C3</f>
        <v>993.2940496</v>
      </c>
      <c r="K3" s="42">
        <f t="shared" ref="K3:K10" si="5">sum($I3:I$4)/C3</f>
        <v>31.7358</v>
      </c>
      <c r="L3" s="36">
        <f t="shared" ref="L3:L10" si="6">H3/D3</f>
        <v>-0.003548387097</v>
      </c>
      <c r="M3" s="36">
        <f t="shared" ref="M3:M10" si="7">abs(L3)</f>
        <v>0.003548387097</v>
      </c>
      <c r="N3" s="36">
        <f t="shared" ref="N3:N10" si="8">AVERAGE($M3:M$4)</f>
        <v>0.1676468251</v>
      </c>
      <c r="O3" s="31">
        <f t="shared" ref="O3:O10" si="9">sum($H3:H$4)</f>
        <v>-31.7358</v>
      </c>
      <c r="P3" s="23">
        <f t="shared" ref="P3:P10" si="10">O3/K3</f>
        <v>-1</v>
      </c>
    </row>
    <row r="4">
      <c r="B4" s="17">
        <f>Demand!A3</f>
        <v>2</v>
      </c>
      <c r="C4" s="1">
        <v>2.0</v>
      </c>
      <c r="D4" s="17">
        <f>Demand!B3</f>
        <v>95</v>
      </c>
      <c r="E4" s="35">
        <f>'smooth varible test page'!$B$1*D4+(1-'smooth varible test page'!$B$1)*(E3+F3)</f>
        <v>66.63578</v>
      </c>
      <c r="F4" s="31">
        <f>'smooth varible test page'!$B$2*(E4-E3)+(1-'smooth varible test page'!$B$2)*F3</f>
        <v>1.997358</v>
      </c>
      <c r="G4" s="31">
        <f t="shared" si="1"/>
        <v>63.4842</v>
      </c>
      <c r="H4" s="31">
        <f t="shared" si="2"/>
        <v>-31.5158</v>
      </c>
      <c r="I4" s="41">
        <f t="shared" si="3"/>
        <v>31.5158</v>
      </c>
      <c r="J4" s="42">
        <f t="shared" si="4"/>
        <v>496.6228248</v>
      </c>
      <c r="K4" s="42">
        <f t="shared" si="5"/>
        <v>15.7579</v>
      </c>
      <c r="L4" s="36">
        <f t="shared" si="6"/>
        <v>-0.3317452632</v>
      </c>
      <c r="M4" s="36">
        <f t="shared" si="7"/>
        <v>0.3317452632</v>
      </c>
      <c r="N4" s="36">
        <f t="shared" si="8"/>
        <v>0.3317452632</v>
      </c>
      <c r="O4" s="31">
        <f t="shared" si="9"/>
        <v>-31.5158</v>
      </c>
      <c r="P4" s="23">
        <f t="shared" si="10"/>
        <v>-2</v>
      </c>
    </row>
    <row r="5">
      <c r="B5" s="17">
        <f>Demand!A4</f>
        <v>3</v>
      </c>
      <c r="C5" s="1">
        <v>3.0</v>
      </c>
      <c r="D5" s="17">
        <f>Demand!B4</f>
        <v>129</v>
      </c>
      <c r="E5" s="35">
        <f>'smooth varible test page'!$B$1*D5+(1-'smooth varible test page'!$B$1)*(E4+F4)</f>
        <v>74.6698242</v>
      </c>
      <c r="F5" s="31">
        <f>'smooth varible test page'!$B$2*(E5-E4)+(1-'smooth varible test page'!$B$2)*F4</f>
        <v>2.60102662</v>
      </c>
      <c r="G5" s="31">
        <f t="shared" si="1"/>
        <v>68.633138</v>
      </c>
      <c r="H5" s="31">
        <f t="shared" si="2"/>
        <v>-60.366862</v>
      </c>
      <c r="I5" s="41">
        <f t="shared" si="3"/>
        <v>60.366862</v>
      </c>
      <c r="J5" s="42">
        <f t="shared" si="4"/>
        <v>1545.801226</v>
      </c>
      <c r="K5" s="42">
        <f t="shared" si="5"/>
        <v>30.627554</v>
      </c>
      <c r="L5" s="36">
        <f t="shared" si="6"/>
        <v>-0.4679601705</v>
      </c>
      <c r="M5" s="36">
        <f t="shared" si="7"/>
        <v>0.4679601705</v>
      </c>
      <c r="N5" s="36">
        <f t="shared" si="8"/>
        <v>0.3998527169</v>
      </c>
      <c r="O5" s="31">
        <f t="shared" si="9"/>
        <v>-91.882662</v>
      </c>
      <c r="P5" s="23">
        <f t="shared" si="10"/>
        <v>-3</v>
      </c>
    </row>
    <row r="6">
      <c r="B6" s="17">
        <f>Demand!A5</f>
        <v>4</v>
      </c>
      <c r="C6" s="1">
        <v>4.0</v>
      </c>
      <c r="D6" s="17">
        <f>Demand!B5</f>
        <v>82</v>
      </c>
      <c r="E6" s="35">
        <f>'smooth varible test page'!$B$1*D6+(1-'smooth varible test page'!$B$1)*(E5+F5)</f>
        <v>77.74376574</v>
      </c>
      <c r="F6" s="31">
        <f>'smooth varible test page'!$B$2*(E6-E5)+(1-'smooth varible test page'!$B$2)*F5</f>
        <v>2.648318112</v>
      </c>
      <c r="G6" s="31">
        <f t="shared" si="1"/>
        <v>77.27085082</v>
      </c>
      <c r="H6" s="31">
        <f t="shared" si="2"/>
        <v>-4.72914918</v>
      </c>
      <c r="I6" s="41">
        <f t="shared" si="3"/>
        <v>4.72914918</v>
      </c>
      <c r="J6" s="42">
        <f t="shared" si="4"/>
        <v>1164.942132</v>
      </c>
      <c r="K6" s="42">
        <f t="shared" si="5"/>
        <v>24.1529528</v>
      </c>
      <c r="L6" s="36">
        <f t="shared" si="6"/>
        <v>-0.05767255098</v>
      </c>
      <c r="M6" s="36">
        <f t="shared" si="7"/>
        <v>0.05767255098</v>
      </c>
      <c r="N6" s="36">
        <f t="shared" si="8"/>
        <v>0.2857926616</v>
      </c>
      <c r="O6" s="31">
        <f t="shared" si="9"/>
        <v>-96.61181118</v>
      </c>
      <c r="P6" s="23">
        <f t="shared" si="10"/>
        <v>-4</v>
      </c>
    </row>
    <row r="7">
      <c r="A7" s="1">
        <v>2.0</v>
      </c>
      <c r="B7" s="1">
        <v>1.0</v>
      </c>
      <c r="C7" s="1">
        <v>5.0</v>
      </c>
      <c r="D7" s="17">
        <f>Demand!B6</f>
        <v>40</v>
      </c>
      <c r="E7" s="35">
        <f>'smooth varible test page'!$B$1*D7+(1-'smooth varible test page'!$B$1)*(E6+F6)</f>
        <v>76.35287546</v>
      </c>
      <c r="F7" s="31">
        <f>'smooth varible test page'!$B$2*(E7-E6)+(1-'smooth varible test page'!$B$2)*F6</f>
        <v>2.244397273</v>
      </c>
      <c r="G7" s="31">
        <f t="shared" si="1"/>
        <v>80.39208385</v>
      </c>
      <c r="H7" s="31">
        <f t="shared" si="2"/>
        <v>40.39208385</v>
      </c>
      <c r="I7" s="41">
        <f t="shared" si="3"/>
        <v>40.39208385</v>
      </c>
      <c r="J7" s="42">
        <f t="shared" si="4"/>
        <v>1258.257793</v>
      </c>
      <c r="K7" s="42">
        <f t="shared" si="5"/>
        <v>27.40077901</v>
      </c>
      <c r="L7" s="36">
        <f t="shared" si="6"/>
        <v>1.009802096</v>
      </c>
      <c r="M7" s="36">
        <f t="shared" si="7"/>
        <v>1.009802096</v>
      </c>
      <c r="N7" s="36">
        <f t="shared" si="8"/>
        <v>0.4667950202</v>
      </c>
      <c r="O7" s="31">
        <f t="shared" si="9"/>
        <v>-56.21972733</v>
      </c>
      <c r="P7" s="23">
        <f t="shared" si="10"/>
        <v>-2.051756533</v>
      </c>
    </row>
    <row r="8">
      <c r="B8" s="1">
        <v>2.0</v>
      </c>
      <c r="C8" s="1">
        <v>6.0</v>
      </c>
      <c r="D8" s="17">
        <f>Demand!B7</f>
        <v>60</v>
      </c>
      <c r="E8" s="35">
        <f>'smooth varible test page'!$B$1*D8+(1-'smooth varible test page'!$B$1)*(E7+F7)</f>
        <v>76.73754546</v>
      </c>
      <c r="F8" s="31">
        <f>'smooth varible test page'!$B$2*(E8-E7)+(1-'smooth varible test page'!$B$2)*F7</f>
        <v>2.058424546</v>
      </c>
      <c r="G8" s="31">
        <f t="shared" si="1"/>
        <v>78.59727274</v>
      </c>
      <c r="H8" s="31">
        <f t="shared" si="2"/>
        <v>18.59727274</v>
      </c>
      <c r="I8" s="41">
        <f t="shared" si="3"/>
        <v>18.59727274</v>
      </c>
      <c r="J8" s="42">
        <f t="shared" si="4"/>
        <v>1106.191253</v>
      </c>
      <c r="K8" s="42">
        <f t="shared" si="5"/>
        <v>25.93352796</v>
      </c>
      <c r="L8" s="36">
        <f t="shared" si="6"/>
        <v>0.3099545456</v>
      </c>
      <c r="M8" s="36">
        <f t="shared" si="7"/>
        <v>0.3099545456</v>
      </c>
      <c r="N8" s="36">
        <f t="shared" si="8"/>
        <v>0.4354269253</v>
      </c>
      <c r="O8" s="31">
        <f t="shared" si="9"/>
        <v>-37.62245459</v>
      </c>
      <c r="P8" s="23">
        <f t="shared" si="10"/>
        <v>-1.450726436</v>
      </c>
    </row>
    <row r="9">
      <c r="B9" s="1">
        <v>3.0</v>
      </c>
      <c r="C9" s="1">
        <v>7.0</v>
      </c>
      <c r="D9" s="17">
        <f>Demand!B8</f>
        <v>82</v>
      </c>
      <c r="E9" s="35">
        <f>'smooth varible test page'!$B$1*D9+(1-'smooth varible test page'!$B$1)*(E8+F8)</f>
        <v>79.11637301</v>
      </c>
      <c r="F9" s="31">
        <f>'smooth varible test page'!$B$2*(E9-E8)+(1-'smooth varible test page'!$B$2)*F8</f>
        <v>2.090464846</v>
      </c>
      <c r="G9" s="31">
        <f t="shared" si="1"/>
        <v>78.79597001</v>
      </c>
      <c r="H9" s="31">
        <f t="shared" si="2"/>
        <v>-3.20402999</v>
      </c>
      <c r="I9" s="41">
        <f t="shared" si="3"/>
        <v>3.20402999</v>
      </c>
      <c r="J9" s="42">
        <f t="shared" si="4"/>
        <v>949.6304755</v>
      </c>
      <c r="K9" s="42">
        <f t="shared" si="5"/>
        <v>22.68645682</v>
      </c>
      <c r="L9" s="36">
        <f t="shared" si="6"/>
        <v>-0.03907353646</v>
      </c>
      <c r="M9" s="36">
        <f t="shared" si="7"/>
        <v>0.03907353646</v>
      </c>
      <c r="N9" s="36">
        <f t="shared" si="8"/>
        <v>0.3693680272</v>
      </c>
      <c r="O9" s="31">
        <f t="shared" si="9"/>
        <v>-40.82648458</v>
      </c>
      <c r="P9" s="23">
        <f t="shared" si="10"/>
        <v>-1.799597218</v>
      </c>
    </row>
    <row r="10">
      <c r="B10" s="1">
        <v>4.0</v>
      </c>
      <c r="C10" s="1">
        <v>8.0</v>
      </c>
      <c r="D10" s="17">
        <f>Demand!B9</f>
        <v>106</v>
      </c>
      <c r="E10" s="35">
        <f>'smooth varible test page'!$B$1*D10+(1-'smooth varible test page'!$B$1)*(E9+F9)</f>
        <v>83.68615407</v>
      </c>
      <c r="F10" s="31">
        <f>'smooth varible test page'!$B$2*(E10-E9)+(1-'smooth varible test page'!$B$2)*F9</f>
        <v>2.338396467</v>
      </c>
      <c r="G10" s="31">
        <f t="shared" si="1"/>
        <v>81.20683786</v>
      </c>
      <c r="H10" s="31">
        <f t="shared" si="2"/>
        <v>-24.79316214</v>
      </c>
      <c r="I10" s="41">
        <f t="shared" si="3"/>
        <v>24.79316214</v>
      </c>
      <c r="J10" s="42">
        <f t="shared" si="4"/>
        <v>907.7642772</v>
      </c>
      <c r="K10" s="42">
        <f t="shared" si="5"/>
        <v>22.94979499</v>
      </c>
      <c r="L10" s="36">
        <f t="shared" si="6"/>
        <v>-0.2338977561</v>
      </c>
      <c r="M10" s="36">
        <f t="shared" si="7"/>
        <v>0.2338977561</v>
      </c>
      <c r="N10" s="36">
        <f t="shared" si="8"/>
        <v>0.3500151313</v>
      </c>
      <c r="O10" s="31">
        <f t="shared" si="9"/>
        <v>-65.61964673</v>
      </c>
      <c r="P10" s="23">
        <f t="shared" si="10"/>
        <v>-2.859269408</v>
      </c>
    </row>
    <row r="11">
      <c r="A11" s="22">
        <v>3.0</v>
      </c>
      <c r="B11" s="23">
        <v>1.0</v>
      </c>
      <c r="C11" s="23">
        <f t="shared" ref="C11:C18" si="11">C10+1</f>
        <v>9</v>
      </c>
      <c r="D11" s="23"/>
      <c r="E11" s="35"/>
      <c r="F11" s="31"/>
      <c r="G11" s="31">
        <f t="shared" ref="G11:G18" si="12">$E$10+$F$10*(C11-8)</f>
        <v>86.02455054</v>
      </c>
      <c r="H11" s="31"/>
      <c r="I11" s="41"/>
      <c r="J11" s="43"/>
      <c r="K11" s="43"/>
      <c r="L11" s="36"/>
      <c r="M11" s="36"/>
      <c r="O11" s="31"/>
      <c r="P11" s="23"/>
    </row>
    <row r="12">
      <c r="A12" s="24"/>
      <c r="B12" s="23">
        <v>2.0</v>
      </c>
      <c r="C12" s="23">
        <f t="shared" si="11"/>
        <v>10</v>
      </c>
      <c r="D12" s="23"/>
      <c r="E12" s="35"/>
      <c r="F12" s="31"/>
      <c r="G12" s="31">
        <f t="shared" si="12"/>
        <v>88.362947</v>
      </c>
      <c r="H12" s="31"/>
      <c r="I12" s="41"/>
      <c r="J12" s="43"/>
      <c r="K12" s="43"/>
      <c r="L12" s="36"/>
      <c r="M12" s="36"/>
      <c r="N12" s="36"/>
      <c r="O12" s="31"/>
      <c r="P12" s="23"/>
    </row>
    <row r="13">
      <c r="A13" s="24"/>
      <c r="B13" s="23">
        <v>3.0</v>
      </c>
      <c r="C13" s="23">
        <f t="shared" si="11"/>
        <v>11</v>
      </c>
      <c r="D13" s="23"/>
      <c r="E13" s="35"/>
      <c r="F13" s="31"/>
      <c r="G13" s="31">
        <f t="shared" si="12"/>
        <v>90.70134347</v>
      </c>
      <c r="H13" s="31"/>
      <c r="I13" s="31"/>
      <c r="J13" s="44"/>
      <c r="K13" s="44"/>
      <c r="L13" s="36"/>
      <c r="M13" s="36"/>
      <c r="N13" s="36"/>
      <c r="O13" s="31"/>
      <c r="P13" s="23"/>
    </row>
    <row r="14">
      <c r="A14" s="24"/>
      <c r="B14" s="23">
        <v>4.0</v>
      </c>
      <c r="C14" s="23">
        <f t="shared" si="11"/>
        <v>12</v>
      </c>
      <c r="D14" s="23"/>
      <c r="E14" s="35"/>
      <c r="F14" s="31"/>
      <c r="G14" s="31">
        <f t="shared" si="12"/>
        <v>93.03973994</v>
      </c>
      <c r="H14" s="31"/>
      <c r="I14" s="31"/>
      <c r="J14" s="44"/>
      <c r="K14" s="44"/>
      <c r="L14" s="36"/>
      <c r="M14" s="36"/>
      <c r="N14" s="36"/>
      <c r="O14" s="31"/>
      <c r="P14" s="23"/>
    </row>
    <row r="15">
      <c r="A15" s="22">
        <v>4.0</v>
      </c>
      <c r="B15" s="23">
        <v>1.0</v>
      </c>
      <c r="C15" s="23">
        <f t="shared" si="11"/>
        <v>13</v>
      </c>
      <c r="D15" s="23"/>
      <c r="E15" s="35"/>
      <c r="F15" s="31"/>
      <c r="G15" s="31">
        <f t="shared" si="12"/>
        <v>95.37813641</v>
      </c>
      <c r="H15" s="31"/>
      <c r="I15" s="31"/>
      <c r="J15" s="44"/>
      <c r="K15" s="44"/>
      <c r="L15" s="36"/>
      <c r="M15" s="36"/>
      <c r="N15" s="36"/>
      <c r="O15" s="31"/>
      <c r="P15" s="23"/>
    </row>
    <row r="16">
      <c r="A16" s="24"/>
      <c r="B16" s="23">
        <v>2.0</v>
      </c>
      <c r="C16" s="23">
        <f t="shared" si="11"/>
        <v>14</v>
      </c>
      <c r="D16" s="23"/>
      <c r="E16" s="35"/>
      <c r="F16" s="31"/>
      <c r="G16" s="31">
        <f t="shared" si="12"/>
        <v>97.71653287</v>
      </c>
      <c r="H16" s="31"/>
      <c r="I16" s="31"/>
      <c r="J16" s="44"/>
      <c r="K16" s="44"/>
      <c r="L16" s="36"/>
      <c r="M16" s="36"/>
      <c r="N16" s="36"/>
      <c r="O16" s="31"/>
      <c r="P16" s="23"/>
    </row>
    <row r="17">
      <c r="A17" s="24"/>
      <c r="B17" s="23">
        <v>3.0</v>
      </c>
      <c r="C17" s="23">
        <f t="shared" si="11"/>
        <v>15</v>
      </c>
      <c r="D17" s="23"/>
      <c r="E17" s="35"/>
      <c r="F17" s="31"/>
      <c r="G17" s="31">
        <f t="shared" si="12"/>
        <v>100.0549293</v>
      </c>
      <c r="H17" s="31"/>
      <c r="I17" s="31"/>
      <c r="J17" s="44"/>
      <c r="K17" s="44"/>
      <c r="L17" s="36"/>
      <c r="M17" s="36"/>
      <c r="N17" s="36"/>
      <c r="O17" s="31"/>
      <c r="P17" s="23"/>
    </row>
    <row r="18">
      <c r="A18" s="24"/>
      <c r="B18" s="23">
        <v>4.0</v>
      </c>
      <c r="C18" s="23">
        <f t="shared" si="11"/>
        <v>16</v>
      </c>
      <c r="D18" s="23"/>
      <c r="E18" s="35"/>
      <c r="F18" s="31"/>
      <c r="G18" s="31">
        <f t="shared" si="12"/>
        <v>102.3933258</v>
      </c>
      <c r="H18" s="31"/>
      <c r="I18" s="31"/>
      <c r="J18" s="44"/>
      <c r="K18" s="44"/>
      <c r="L18" s="36"/>
      <c r="M18" s="36"/>
      <c r="N18" s="36"/>
      <c r="O18" s="31"/>
      <c r="P18" s="2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9.25"/>
  </cols>
  <sheetData>
    <row r="1">
      <c r="A1" s="1"/>
      <c r="C1" s="1"/>
      <c r="E1" s="1"/>
      <c r="F1" s="1"/>
      <c r="G1" s="1"/>
      <c r="H1" s="1"/>
      <c r="I1" s="24"/>
      <c r="J1" s="24"/>
      <c r="K1" s="24"/>
      <c r="L1" s="24"/>
      <c r="M1" s="24"/>
      <c r="N1" s="24"/>
      <c r="O1" s="24"/>
      <c r="P1" s="24"/>
      <c r="Q1" s="24"/>
      <c r="S1" s="1"/>
    </row>
    <row r="2">
      <c r="A2" s="1" t="s">
        <v>9</v>
      </c>
      <c r="B2" s="17" t="str">
        <f>Demand!A1</f>
        <v>Quarter</v>
      </c>
      <c r="C2" s="1" t="s">
        <v>10</v>
      </c>
      <c r="D2" s="17" t="str">
        <f>Demand!B1</f>
        <v>Demand</v>
      </c>
      <c r="E2" s="1" t="s">
        <v>24</v>
      </c>
      <c r="F2" s="1" t="s">
        <v>26</v>
      </c>
      <c r="G2" s="1" t="s">
        <v>47</v>
      </c>
      <c r="H2" s="1" t="s">
        <v>15</v>
      </c>
      <c r="I2" s="24" t="s">
        <v>16</v>
      </c>
      <c r="J2" s="24" t="s">
        <v>17</v>
      </c>
      <c r="K2" s="24" t="s">
        <v>45</v>
      </c>
      <c r="L2" s="24" t="s">
        <v>19</v>
      </c>
      <c r="M2" s="24" t="s">
        <v>20</v>
      </c>
      <c r="N2" s="24" t="s">
        <v>46</v>
      </c>
      <c r="O2" s="24" t="s">
        <v>7</v>
      </c>
      <c r="P2" s="24" t="s">
        <v>44</v>
      </c>
      <c r="Q2" s="24" t="s">
        <v>23</v>
      </c>
      <c r="S2" s="1" t="s">
        <v>48</v>
      </c>
    </row>
    <row r="3">
      <c r="A3" s="1"/>
      <c r="B3" s="1">
        <v>0.0</v>
      </c>
      <c r="C3" s="1"/>
      <c r="E3" s="39">
        <f>Static!C21</f>
        <v>110.0125</v>
      </c>
      <c r="F3" s="1">
        <f>Static!C22</f>
        <v>-7.1</v>
      </c>
      <c r="S3" s="1" t="s">
        <v>49</v>
      </c>
      <c r="T3" s="1" t="s">
        <v>23</v>
      </c>
    </row>
    <row r="4">
      <c r="A4" s="1">
        <v>1.0</v>
      </c>
      <c r="B4" s="17">
        <f>Demand!A2</f>
        <v>1</v>
      </c>
      <c r="C4" s="1">
        <v>1.0</v>
      </c>
      <c r="D4" s="17">
        <f>Demand!B2</f>
        <v>62</v>
      </c>
      <c r="E4" s="19">
        <f>'smooth varible test page'!$B$1*(D4/G4)+(1-'smooth varible test page'!$B$1)*(E3+F3)</f>
        <v>103.5053532</v>
      </c>
      <c r="F4" s="19">
        <f>'smooth varible test page'!$B$2*(E4-E3)+(1-'smooth varible test page'!$B$2)*F3</f>
        <v>-7.040714677</v>
      </c>
      <c r="G4" s="19">
        <f>Static!H2</f>
        <v>0.5696381107</v>
      </c>
      <c r="H4" s="19">
        <f t="shared" ref="H4:H11" si="1">(E3+F3)*G4</f>
        <v>58.62288207</v>
      </c>
      <c r="I4" s="19">
        <f t="shared" ref="I4:I11" si="2">H4-D4</f>
        <v>-3.377117933</v>
      </c>
      <c r="J4" s="19">
        <f t="shared" ref="J4:J11" si="3">abs(I4)</f>
        <v>3.377117933</v>
      </c>
      <c r="K4" s="19">
        <f t="shared" ref="K4:K11" si="4">SUMSQ($I$4:I4)/C4</f>
        <v>11.40492553</v>
      </c>
      <c r="L4" s="19">
        <f t="shared" ref="L4:L11" si="5">SUM($J$4:J4)/C4</f>
        <v>3.377117933</v>
      </c>
      <c r="M4" s="20">
        <f t="shared" ref="M4:M11" si="6">I4/D4</f>
        <v>-0.05446964408</v>
      </c>
      <c r="N4" s="20">
        <f t="shared" ref="N4:N11" si="7">abs(M4)</f>
        <v>0.05446964408</v>
      </c>
      <c r="O4" s="20">
        <f t="shared" ref="O4:O10" si="8">AVERAGE($N$4:N4)</f>
        <v>0.05446964408</v>
      </c>
      <c r="P4" s="19">
        <f t="shared" ref="P4:P11" si="9">SUM($I$4:I4)</f>
        <v>-3.377117933</v>
      </c>
      <c r="Q4" s="19">
        <f t="shared" ref="Q4:Q11" si="10">P4/L4</f>
        <v>-1</v>
      </c>
      <c r="S4" s="20">
        <f>Static!P2</f>
        <v>0.05446964408</v>
      </c>
      <c r="T4" s="19">
        <f>Static!R2</f>
        <v>-1</v>
      </c>
    </row>
    <row r="5">
      <c r="B5" s="17">
        <f>Demand!A3</f>
        <v>2</v>
      </c>
      <c r="C5" s="1">
        <v>2.0</v>
      </c>
      <c r="D5" s="17">
        <f>Demand!B3</f>
        <v>95</v>
      </c>
      <c r="E5" s="19">
        <f>'smooth varible test page'!$B$1*(D5/G5)+(1-'smooth varible test page'!$B$1)*(E4+F4)</f>
        <v>96.91616483</v>
      </c>
      <c r="F5" s="19">
        <f>'smooth varible test page'!$B$2*(E5-E4)+(1-'smooth varible test page'!$B$2)*F4</f>
        <v>-6.995562049</v>
      </c>
      <c r="G5" s="19">
        <f>Static!H3</f>
        <v>0.9407812718</v>
      </c>
      <c r="H5" s="19">
        <f t="shared" si="1"/>
        <v>90.75212534</v>
      </c>
      <c r="I5" s="19">
        <f t="shared" si="2"/>
        <v>-4.247874664</v>
      </c>
      <c r="J5" s="19">
        <f t="shared" si="3"/>
        <v>4.247874664</v>
      </c>
      <c r="K5" s="19">
        <f t="shared" si="4"/>
        <v>14.72468235</v>
      </c>
      <c r="L5" s="19">
        <f t="shared" si="5"/>
        <v>3.812496299</v>
      </c>
      <c r="M5" s="20">
        <f t="shared" si="6"/>
        <v>-0.04471447015</v>
      </c>
      <c r="N5" s="20">
        <f t="shared" si="7"/>
        <v>0.04471447015</v>
      </c>
      <c r="O5" s="20">
        <f t="shared" si="8"/>
        <v>0.04959205712</v>
      </c>
      <c r="P5" s="19">
        <f t="shared" si="9"/>
        <v>-7.624992597</v>
      </c>
      <c r="Q5" s="19">
        <f t="shared" si="10"/>
        <v>-2</v>
      </c>
      <c r="S5" s="20">
        <f>Static!P3</f>
        <v>0.05282110836</v>
      </c>
      <c r="T5" s="19">
        <f>Static!R3</f>
        <v>-1</v>
      </c>
    </row>
    <row r="6">
      <c r="B6" s="17">
        <f>Demand!A4</f>
        <v>3</v>
      </c>
      <c r="C6" s="1">
        <v>3.0</v>
      </c>
      <c r="D6" s="17">
        <f>Demand!B4</f>
        <v>129</v>
      </c>
      <c r="E6" s="19">
        <f>'smooth varible test page'!$B$1*(D6/G6)+(1-'smooth varible test page'!$B$1)*(E5+F5)</f>
        <v>90.09789498</v>
      </c>
      <c r="F6" s="19">
        <f>'smooth varible test page'!$B$2*(E6-E5)+(1-'smooth varible test page'!$B$2)*F5</f>
        <v>-6.97783283</v>
      </c>
      <c r="G6" s="19">
        <f>Static!H4</f>
        <v>1.406860521</v>
      </c>
      <c r="H6" s="19">
        <f t="shared" si="1"/>
        <v>126.5057461</v>
      </c>
      <c r="I6" s="19">
        <f t="shared" si="2"/>
        <v>-2.494253902</v>
      </c>
      <c r="J6" s="19">
        <f t="shared" si="3"/>
        <v>2.494253902</v>
      </c>
      <c r="K6" s="19">
        <f t="shared" si="4"/>
        <v>11.89022241</v>
      </c>
      <c r="L6" s="19">
        <f t="shared" si="5"/>
        <v>3.373082166</v>
      </c>
      <c r="M6" s="20">
        <f t="shared" si="6"/>
        <v>-0.01933530157</v>
      </c>
      <c r="N6" s="20">
        <f t="shared" si="7"/>
        <v>0.01933530157</v>
      </c>
      <c r="O6" s="20">
        <f t="shared" si="8"/>
        <v>0.03950647193</v>
      </c>
      <c r="P6" s="19">
        <f t="shared" si="9"/>
        <v>-10.1192465</v>
      </c>
      <c r="Q6" s="19">
        <f t="shared" si="10"/>
        <v>-3</v>
      </c>
      <c r="S6" s="20">
        <f>Static!P4</f>
        <v>0.04605098699</v>
      </c>
      <c r="T6" s="19">
        <f>Static!R4</f>
        <v>-1</v>
      </c>
    </row>
    <row r="7">
      <c r="B7" s="17">
        <f>Demand!A5</f>
        <v>4</v>
      </c>
      <c r="C7" s="1">
        <v>4.0</v>
      </c>
      <c r="D7" s="17">
        <f>Demand!B5</f>
        <v>82</v>
      </c>
      <c r="E7" s="19">
        <f>'smooth varible test page'!$B$1*(D7/G7)+(1-'smooth varible test page'!$B$1)*(E6+F6)</f>
        <v>80.28063079</v>
      </c>
      <c r="F7" s="19">
        <f>'smooth varible test page'!$B$2*(E7-E6)+(1-'smooth varible test page'!$B$2)*F6</f>
        <v>-7.261775966</v>
      </c>
      <c r="G7" s="19">
        <f>Static!H5</f>
        <v>1.498380601</v>
      </c>
      <c r="H7" s="19">
        <f t="shared" si="1"/>
        <v>124.5454887</v>
      </c>
      <c r="I7" s="19">
        <f t="shared" si="2"/>
        <v>42.54548867</v>
      </c>
      <c r="J7" s="19">
        <f t="shared" si="3"/>
        <v>42.54548867</v>
      </c>
      <c r="K7" s="19">
        <f t="shared" si="4"/>
        <v>461.4473184</v>
      </c>
      <c r="L7" s="19">
        <f t="shared" si="5"/>
        <v>13.16618379</v>
      </c>
      <c r="M7" s="20">
        <f t="shared" si="6"/>
        <v>0.5188474228</v>
      </c>
      <c r="N7" s="20">
        <f t="shared" si="7"/>
        <v>0.5188474228</v>
      </c>
      <c r="O7" s="20">
        <f t="shared" si="8"/>
        <v>0.1593417097</v>
      </c>
      <c r="P7" s="19">
        <f t="shared" si="9"/>
        <v>32.42624217</v>
      </c>
      <c r="Q7" s="19">
        <f t="shared" si="10"/>
        <v>2.462842892</v>
      </c>
      <c r="S7" s="20">
        <f>Static!P5</f>
        <v>0.1573632</v>
      </c>
      <c r="T7" s="19">
        <f>Static!R5</f>
        <v>0.5283521369</v>
      </c>
    </row>
    <row r="8">
      <c r="A8" s="1">
        <v>2.0</v>
      </c>
      <c r="B8" s="1">
        <v>1.0</v>
      </c>
      <c r="C8" s="1">
        <v>5.0</v>
      </c>
      <c r="D8" s="17">
        <f>Demand!B6</f>
        <v>40</v>
      </c>
      <c r="E8" s="19">
        <f>'smooth varible test page'!$B$1*(D8/G8)+(1-'smooth varible test page'!$B$1)*(E7+F7)</f>
        <v>72.70295879</v>
      </c>
      <c r="F8" s="19">
        <f>'smooth varible test page'!$B$2*(E8-E7)+(1-'smooth varible test page'!$B$2)*F7</f>
        <v>-7.293365568</v>
      </c>
      <c r="G8" s="18">
        <f>'smooth varible test page'!$B$3*(D4/E4)+(1-'smooth varible test page'!$B$3)*G4</f>
        <v>0.5725745831</v>
      </c>
      <c r="H8" s="19">
        <f t="shared" si="1"/>
        <v>41.80874036</v>
      </c>
      <c r="I8" s="19">
        <f t="shared" si="2"/>
        <v>1.808740358</v>
      </c>
      <c r="J8" s="19">
        <f t="shared" si="3"/>
        <v>1.808740358</v>
      </c>
      <c r="K8" s="19">
        <f t="shared" si="4"/>
        <v>369.8121631</v>
      </c>
      <c r="L8" s="19">
        <f t="shared" si="5"/>
        <v>10.89469511</v>
      </c>
      <c r="M8" s="20">
        <f t="shared" si="6"/>
        <v>0.04521850895</v>
      </c>
      <c r="N8" s="20">
        <f t="shared" si="7"/>
        <v>0.04521850895</v>
      </c>
      <c r="O8" s="20">
        <f t="shared" si="8"/>
        <v>0.1365170695</v>
      </c>
      <c r="P8" s="19">
        <f t="shared" si="9"/>
        <v>34.23498253</v>
      </c>
      <c r="Q8" s="19">
        <f t="shared" si="10"/>
        <v>3.14235343</v>
      </c>
      <c r="S8" s="20">
        <f>Static!P6</f>
        <v>0.1381163586</v>
      </c>
      <c r="T8" s="19">
        <f>Static!R6</f>
        <v>0.5492580054</v>
      </c>
    </row>
    <row r="9">
      <c r="B9" s="1">
        <v>2.0</v>
      </c>
      <c r="C9" s="1">
        <v>6.0</v>
      </c>
      <c r="D9" s="17">
        <f>Demand!B7</f>
        <v>60</v>
      </c>
      <c r="E9" s="19">
        <f>'smooth varible test page'!$B$1*(D9/G9)+(1-'smooth varible test page'!$B$1)*(E8+F8)</f>
        <v>65.21968167</v>
      </c>
      <c r="F9" s="19">
        <f>'smooth varible test page'!$B$2*(E9-E8)+(1-'smooth varible test page'!$B$2)*F8</f>
        <v>-7.312356724</v>
      </c>
      <c r="G9" s="18">
        <f>'smooth varible test page'!$B$3*(D5/E5)+(1-'smooth varible test page'!$B$3)*G5</f>
        <v>0.9447260081</v>
      </c>
      <c r="H9" s="19">
        <f t="shared" si="1"/>
        <v>61.7941439</v>
      </c>
      <c r="I9" s="19">
        <f t="shared" si="2"/>
        <v>1.794143901</v>
      </c>
      <c r="J9" s="19">
        <f t="shared" si="3"/>
        <v>1.794143901</v>
      </c>
      <c r="K9" s="19">
        <f t="shared" si="4"/>
        <v>308.7132946</v>
      </c>
      <c r="L9" s="19">
        <f t="shared" si="5"/>
        <v>9.377936572</v>
      </c>
      <c r="M9" s="20">
        <f t="shared" si="6"/>
        <v>0.02990239835</v>
      </c>
      <c r="N9" s="20">
        <f t="shared" si="7"/>
        <v>0.02990239835</v>
      </c>
      <c r="O9" s="20">
        <f t="shared" si="8"/>
        <v>0.1187479577</v>
      </c>
      <c r="P9" s="19">
        <f t="shared" si="9"/>
        <v>36.02912643</v>
      </c>
      <c r="Q9" s="19">
        <f t="shared" si="10"/>
        <v>3.841903403</v>
      </c>
      <c r="S9" s="20">
        <f>Static!P7</f>
        <v>0.1245981252</v>
      </c>
      <c r="T9" s="19">
        <f>Static!R7</f>
        <v>0.5755742521</v>
      </c>
    </row>
    <row r="10">
      <c r="B10" s="1">
        <v>3.0</v>
      </c>
      <c r="C10" s="1">
        <v>7.0</v>
      </c>
      <c r="D10" s="17">
        <f>Demand!B8</f>
        <v>82</v>
      </c>
      <c r="E10" s="19">
        <f>'smooth varible test page'!$B$1*(D10/G10)+(1-'smooth varible test page'!$B$1)*(E9+F9)</f>
        <v>57.93486895</v>
      </c>
      <c r="F10" s="19">
        <f>'smooth varible test page'!$B$2*(E10-E9)+(1-'smooth varible test page'!$B$2)*F9</f>
        <v>-7.309602324</v>
      </c>
      <c r="G10" s="18">
        <f>'smooth varible test page'!$B$3*(D6/E6)+(1-'smooth varible test page'!$B$3)*G6</f>
        <v>1.409352065</v>
      </c>
      <c r="H10" s="19">
        <f t="shared" si="1"/>
        <v>81.61180799</v>
      </c>
      <c r="I10" s="19">
        <f t="shared" si="2"/>
        <v>-0.3881920136</v>
      </c>
      <c r="J10" s="19">
        <f t="shared" si="3"/>
        <v>0.3881920136</v>
      </c>
      <c r="K10" s="19">
        <f t="shared" si="4"/>
        <v>264.632923</v>
      </c>
      <c r="L10" s="19">
        <f t="shared" si="5"/>
        <v>8.093687349</v>
      </c>
      <c r="M10" s="20">
        <f t="shared" si="6"/>
        <v>-0.004734048947</v>
      </c>
      <c r="N10" s="20">
        <f t="shared" si="7"/>
        <v>0.004734048947</v>
      </c>
      <c r="O10" s="20">
        <f t="shared" si="8"/>
        <v>0.1024602564</v>
      </c>
      <c r="P10" s="19">
        <f t="shared" si="9"/>
        <v>35.64093442</v>
      </c>
      <c r="Q10" s="19">
        <f t="shared" si="10"/>
        <v>4.403547219</v>
      </c>
      <c r="S10" s="20">
        <f>Static!P8</f>
        <v>0.1117657714</v>
      </c>
      <c r="T10" s="19">
        <f>Static!R8</f>
        <v>0.5952721134</v>
      </c>
    </row>
    <row r="11">
      <c r="B11" s="1">
        <v>4.0</v>
      </c>
      <c r="C11" s="1">
        <v>8.0</v>
      </c>
      <c r="D11" s="17">
        <f>Demand!B9</f>
        <v>106</v>
      </c>
      <c r="E11" s="19">
        <f>'smooth varible test page'!$B$1*(D11/G11)+(1-'smooth varible test page'!$B$1)*(E10+F10)</f>
        <v>52.86963674</v>
      </c>
      <c r="F11" s="19">
        <f>'smooth varible test page'!$B$2*(E11-E10)+(1-'smooth varible test page'!$B$2)*F10</f>
        <v>-7.085165312</v>
      </c>
      <c r="G11" s="18">
        <f>'smooth varible test page'!$B$3*(D7/E7)+(1-'smooth varible test page'!$B$3)*G7</f>
        <v>1.45068424</v>
      </c>
      <c r="H11" s="19">
        <f t="shared" si="1"/>
        <v>73.44127641</v>
      </c>
      <c r="I11" s="19">
        <f t="shared" si="2"/>
        <v>-32.55872359</v>
      </c>
      <c r="J11" s="19">
        <f t="shared" si="3"/>
        <v>32.55872359</v>
      </c>
      <c r="K11" s="19">
        <f t="shared" si="4"/>
        <v>364.0626178</v>
      </c>
      <c r="L11" s="19">
        <f t="shared" si="5"/>
        <v>11.15181688</v>
      </c>
      <c r="M11" s="20">
        <f t="shared" si="6"/>
        <v>-0.3071577697</v>
      </c>
      <c r="N11" s="20">
        <f t="shared" si="7"/>
        <v>0.3071577697</v>
      </c>
      <c r="O11" s="20">
        <f>AVERAGE(N4:N11)</f>
        <v>0.1280474456</v>
      </c>
      <c r="P11" s="19">
        <f t="shared" si="9"/>
        <v>3.082210834</v>
      </c>
      <c r="Q11" s="19">
        <f t="shared" si="10"/>
        <v>0.2763864281</v>
      </c>
      <c r="S11" s="20">
        <f>Static!P9</f>
        <v>0.1287707838</v>
      </c>
      <c r="T11" s="19">
        <f>Static!R9</f>
        <v>0.1174827321</v>
      </c>
    </row>
    <row r="12">
      <c r="A12" s="1">
        <v>3.0</v>
      </c>
      <c r="B12" s="1">
        <v>1.0</v>
      </c>
      <c r="C12" s="1">
        <v>9.0</v>
      </c>
      <c r="G12" s="18">
        <f>'smooth varible test page'!$B$3*(D8/E8)+(1-'smooth varible test page'!$B$3)*G8</f>
        <v>0.5703355184</v>
      </c>
      <c r="H12" s="19">
        <f t="shared" ref="H12:H19" si="11">($E$11+$F$11*(B12-8))*G12</f>
        <v>58.43988169</v>
      </c>
      <c r="T12" s="17" t="str">
        <f>Static!R10</f>
        <v/>
      </c>
    </row>
    <row r="13">
      <c r="B13" s="1">
        <v>2.0</v>
      </c>
      <c r="C13" s="1">
        <v>10.0</v>
      </c>
      <c r="G13" s="18">
        <f>'smooth varible test page'!$B$3*(D9/E9)+(1-'smooth varible test page'!$B$3)*G9</f>
        <v>0.9422501765</v>
      </c>
      <c r="H13" s="19">
        <f t="shared" si="11"/>
        <v>89.87241414</v>
      </c>
      <c r="S13" s="17" t="str">
        <f>Static!P11</f>
        <v/>
      </c>
    </row>
    <row r="14">
      <c r="B14" s="1">
        <v>3.0</v>
      </c>
      <c r="C14" s="1">
        <v>11.0</v>
      </c>
      <c r="G14" s="18">
        <f>'smooth varible test page'!$B$3*(D10/E10)+(1-'smooth varible test page'!$B$3)*G10</f>
        <v>1.409955109</v>
      </c>
      <c r="H14" s="19">
        <f t="shared" si="11"/>
        <v>124.4926396</v>
      </c>
    </row>
    <row r="15">
      <c r="B15" s="1">
        <v>4.0</v>
      </c>
      <c r="C15" s="1">
        <v>12.0</v>
      </c>
      <c r="G15" s="18">
        <f>'smooth varible test page'!$B$3*(D11/E11)+(1-'smooth varible test page'!$B$3)*G11</f>
        <v>1.506108965</v>
      </c>
      <c r="H15" s="19">
        <f t="shared" si="11"/>
        <v>122.3115579</v>
      </c>
    </row>
    <row r="16">
      <c r="A16" s="1">
        <v>4.0</v>
      </c>
      <c r="B16" s="1">
        <v>1.0</v>
      </c>
      <c r="C16" s="1">
        <v>13.0</v>
      </c>
      <c r="G16" s="18">
        <f t="shared" ref="G16:G19" si="12">G12</f>
        <v>0.5703355184</v>
      </c>
      <c r="H16" s="19">
        <f t="shared" si="11"/>
        <v>58.43988169</v>
      </c>
    </row>
    <row r="17">
      <c r="B17" s="1">
        <v>2.0</v>
      </c>
      <c r="C17" s="1">
        <v>14.0</v>
      </c>
      <c r="G17" s="18">
        <f t="shared" si="12"/>
        <v>0.9422501765</v>
      </c>
      <c r="H17" s="19">
        <f t="shared" si="11"/>
        <v>89.87241414</v>
      </c>
    </row>
    <row r="18">
      <c r="B18" s="1">
        <v>3.0</v>
      </c>
      <c r="C18" s="1">
        <v>15.0</v>
      </c>
      <c r="G18" s="18">
        <f t="shared" si="12"/>
        <v>1.409955109</v>
      </c>
      <c r="H18" s="19">
        <f t="shared" si="11"/>
        <v>124.4926396</v>
      </c>
    </row>
    <row r="19">
      <c r="B19" s="1">
        <v>4.0</v>
      </c>
      <c r="C19" s="1">
        <v>16.0</v>
      </c>
      <c r="G19" s="18">
        <f t="shared" si="12"/>
        <v>1.506108965</v>
      </c>
      <c r="H19" s="19">
        <f t="shared" si="11"/>
        <v>122.3115579</v>
      </c>
    </row>
    <row r="24">
      <c r="I24" s="45"/>
    </row>
    <row r="25">
      <c r="I25" s="45"/>
    </row>
    <row r="26">
      <c r="I26" s="45"/>
    </row>
    <row r="27">
      <c r="I27" s="45"/>
    </row>
    <row r="28">
      <c r="I28" s="45"/>
    </row>
    <row r="29">
      <c r="I29" s="45"/>
    </row>
    <row r="30">
      <c r="I30" s="45"/>
    </row>
    <row r="31">
      <c r="I31" s="45"/>
    </row>
    <row r="47">
      <c r="E47" s="1" t="s">
        <v>50</v>
      </c>
      <c r="F47" s="17" t="s">
        <v>1</v>
      </c>
    </row>
    <row r="48">
      <c r="E48" s="1" t="s">
        <v>51</v>
      </c>
      <c r="F48" s="17">
        <v>62.0</v>
      </c>
    </row>
    <row r="49">
      <c r="E49" s="1" t="s">
        <v>52</v>
      </c>
      <c r="F49" s="17">
        <v>95.0</v>
      </c>
    </row>
    <row r="50">
      <c r="E50" s="1" t="s">
        <v>53</v>
      </c>
      <c r="F50" s="17">
        <v>129.0</v>
      </c>
    </row>
    <row r="51">
      <c r="E51" s="1" t="s">
        <v>54</v>
      </c>
      <c r="F51" s="17">
        <v>82.0</v>
      </c>
    </row>
    <row r="52">
      <c r="E52" s="1" t="s">
        <v>55</v>
      </c>
      <c r="F52" s="17">
        <v>40.0</v>
      </c>
    </row>
    <row r="53">
      <c r="E53" s="1" t="s">
        <v>56</v>
      </c>
      <c r="F53" s="17">
        <v>60.0</v>
      </c>
    </row>
    <row r="54">
      <c r="E54" s="1" t="s">
        <v>57</v>
      </c>
      <c r="F54" s="17">
        <v>82.0</v>
      </c>
    </row>
    <row r="55">
      <c r="E55" s="1" t="s">
        <v>58</v>
      </c>
      <c r="F55" s="17">
        <v>106.0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59</v>
      </c>
      <c r="B1" s="1">
        <v>0.1</v>
      </c>
      <c r="C1" s="20">
        <f>Winters!O11</f>
        <v>0.1280474456</v>
      </c>
    </row>
    <row r="2">
      <c r="A2" s="1" t="s">
        <v>60</v>
      </c>
      <c r="B2" s="1">
        <v>0.1</v>
      </c>
    </row>
    <row r="3">
      <c r="A3" s="1" t="s">
        <v>61</v>
      </c>
      <c r="B3" s="1">
        <v>0.1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9.38"/>
    <col customWidth="1" min="3" max="4" width="4.25"/>
    <col customWidth="1" min="5" max="5" width="45.38"/>
    <col customWidth="1" min="6" max="26" width="4.25"/>
  </cols>
  <sheetData>
    <row r="1">
      <c r="A1" s="46" t="s">
        <v>62</v>
      </c>
      <c r="B1" s="47"/>
      <c r="E1" s="48"/>
      <c r="F1" s="24"/>
      <c r="G1" s="24"/>
      <c r="H1" s="24"/>
      <c r="I1" s="24"/>
      <c r="J1" s="24"/>
      <c r="K1" s="24"/>
      <c r="L1" s="24"/>
      <c r="M1" s="24"/>
      <c r="N1" s="24"/>
      <c r="O1" s="24"/>
    </row>
    <row r="2">
      <c r="A2" s="49" t="s">
        <v>63</v>
      </c>
      <c r="B2" s="50">
        <v>500000.0</v>
      </c>
      <c r="E2" s="51"/>
      <c r="F2" s="30"/>
      <c r="G2" s="24"/>
      <c r="H2" s="24"/>
      <c r="I2" s="24"/>
      <c r="J2" s="24"/>
      <c r="K2" s="24"/>
      <c r="L2" s="24"/>
      <c r="M2" s="24"/>
      <c r="N2" s="24"/>
      <c r="O2" s="24"/>
    </row>
    <row r="3">
      <c r="A3" s="49" t="s">
        <v>64</v>
      </c>
      <c r="B3" s="50">
        <v>15000.0</v>
      </c>
      <c r="E3" s="51"/>
      <c r="F3" s="30"/>
      <c r="G3" s="24"/>
      <c r="H3" s="24"/>
      <c r="I3" s="24"/>
      <c r="J3" s="24"/>
      <c r="K3" s="24"/>
      <c r="L3" s="24"/>
      <c r="M3" s="24"/>
      <c r="N3" s="24"/>
      <c r="O3" s="24"/>
    </row>
    <row r="4">
      <c r="A4" s="49" t="s">
        <v>65</v>
      </c>
      <c r="B4" s="50">
        <v>2000.0</v>
      </c>
      <c r="E4" s="52"/>
      <c r="F4" s="30"/>
      <c r="G4" s="24"/>
      <c r="H4" s="24"/>
      <c r="I4" s="24"/>
      <c r="J4" s="24"/>
      <c r="K4" s="24"/>
      <c r="L4" s="33"/>
      <c r="M4" s="24"/>
      <c r="N4" s="24"/>
      <c r="O4" s="24"/>
    </row>
    <row r="5">
      <c r="A5" s="49" t="s">
        <v>66</v>
      </c>
      <c r="B5" s="50">
        <v>400000.0</v>
      </c>
      <c r="E5" s="52"/>
      <c r="F5" s="31"/>
      <c r="G5" s="31"/>
      <c r="H5" s="23"/>
      <c r="I5" s="23"/>
      <c r="J5" s="35"/>
      <c r="K5" s="36"/>
      <c r="L5" s="36"/>
      <c r="M5" s="36"/>
      <c r="N5" s="31"/>
      <c r="O5" s="23"/>
    </row>
    <row r="6">
      <c r="A6" s="49" t="s">
        <v>67</v>
      </c>
      <c r="B6" s="50">
        <v>459000.0</v>
      </c>
      <c r="E6" s="52"/>
      <c r="F6" s="31"/>
      <c r="G6" s="31"/>
      <c r="H6" s="23"/>
      <c r="I6" s="23"/>
      <c r="J6" s="35"/>
      <c r="K6" s="36"/>
      <c r="L6" s="36"/>
      <c r="M6" s="36"/>
      <c r="N6" s="31"/>
      <c r="O6" s="23"/>
    </row>
    <row r="7">
      <c r="A7" s="49" t="s">
        <v>68</v>
      </c>
      <c r="B7" s="53">
        <v>0.125</v>
      </c>
      <c r="E7" s="52"/>
      <c r="F7" s="31"/>
      <c r="G7" s="31"/>
      <c r="H7" s="23"/>
      <c r="I7" s="23"/>
      <c r="J7" s="35"/>
      <c r="K7" s="36"/>
      <c r="L7" s="36"/>
      <c r="M7" s="36"/>
      <c r="N7" s="31"/>
      <c r="O7" s="23"/>
    </row>
    <row r="8">
      <c r="E8" s="31"/>
      <c r="F8" s="31"/>
      <c r="G8" s="31"/>
      <c r="H8" s="23"/>
      <c r="I8" s="23"/>
      <c r="J8" s="35"/>
      <c r="K8" s="36"/>
      <c r="L8" s="36"/>
      <c r="M8" s="36"/>
      <c r="N8" s="31"/>
      <c r="O8" s="23"/>
    </row>
    <row r="9">
      <c r="A9" s="22"/>
      <c r="B9" s="23"/>
      <c r="C9" s="23"/>
      <c r="D9" s="23"/>
      <c r="E9" s="31"/>
      <c r="F9" s="37"/>
      <c r="G9" s="31"/>
      <c r="H9" s="23"/>
      <c r="I9" s="23"/>
      <c r="J9" s="35"/>
      <c r="K9" s="36"/>
      <c r="L9" s="36"/>
      <c r="M9" s="36"/>
      <c r="N9" s="31"/>
      <c r="O9" s="23"/>
    </row>
    <row r="10">
      <c r="A10" s="24"/>
      <c r="B10" s="23"/>
      <c r="C10" s="23"/>
      <c r="D10" s="23"/>
      <c r="E10" s="31"/>
      <c r="F10" s="37"/>
      <c r="G10" s="31"/>
      <c r="H10" s="23"/>
      <c r="I10" s="23"/>
      <c r="J10" s="35"/>
      <c r="K10" s="36"/>
      <c r="L10" s="36"/>
      <c r="M10" s="36"/>
      <c r="N10" s="31"/>
      <c r="O10" s="23"/>
    </row>
    <row r="11">
      <c r="A11" s="24"/>
      <c r="B11" s="23"/>
      <c r="C11" s="23"/>
      <c r="D11" s="23"/>
      <c r="E11" s="31"/>
      <c r="F11" s="37"/>
      <c r="G11" s="31"/>
      <c r="H11" s="23"/>
      <c r="I11" s="23"/>
      <c r="J11" s="35"/>
      <c r="K11" s="36"/>
      <c r="L11" s="36"/>
      <c r="M11" s="36"/>
      <c r="N11" s="31"/>
      <c r="O11" s="23"/>
    </row>
    <row r="12">
      <c r="A12" s="24"/>
      <c r="B12" s="23"/>
      <c r="C12" s="23"/>
      <c r="D12" s="23"/>
      <c r="E12" s="31"/>
      <c r="F12" s="37"/>
      <c r="G12" s="31"/>
      <c r="H12" s="23"/>
      <c r="I12" s="23"/>
      <c r="J12" s="35"/>
      <c r="K12" s="36"/>
      <c r="L12" s="36"/>
      <c r="M12" s="36"/>
      <c r="N12" s="31"/>
      <c r="O12" s="23"/>
    </row>
    <row r="13">
      <c r="A13" s="22"/>
      <c r="B13" s="23"/>
      <c r="C13" s="23"/>
      <c r="D13" s="23"/>
      <c r="E13" s="31"/>
      <c r="F13" s="37"/>
      <c r="G13" s="31"/>
      <c r="H13" s="23"/>
      <c r="I13" s="23"/>
      <c r="J13" s="35"/>
      <c r="K13" s="36"/>
      <c r="L13" s="36"/>
      <c r="M13" s="36"/>
      <c r="N13" s="31"/>
      <c r="O13" s="23"/>
    </row>
    <row r="14">
      <c r="A14" s="24"/>
      <c r="B14" s="23"/>
      <c r="C14" s="23"/>
      <c r="D14" s="23"/>
      <c r="E14" s="31"/>
      <c r="F14" s="37"/>
      <c r="G14" s="31"/>
      <c r="H14" s="23"/>
      <c r="I14" s="23"/>
      <c r="J14" s="35"/>
      <c r="K14" s="36"/>
      <c r="L14" s="36"/>
      <c r="M14" s="36"/>
      <c r="N14" s="31"/>
      <c r="O14" s="23"/>
    </row>
    <row r="15">
      <c r="A15" s="24"/>
      <c r="B15" s="23"/>
      <c r="C15" s="23"/>
      <c r="D15" s="23"/>
      <c r="E15" s="31"/>
      <c r="F15" s="37"/>
      <c r="G15" s="31"/>
      <c r="H15" s="23"/>
      <c r="I15" s="23"/>
      <c r="J15" s="35"/>
      <c r="K15" s="36"/>
      <c r="L15" s="36"/>
      <c r="M15" s="36"/>
      <c r="N15" s="31"/>
      <c r="O15" s="23"/>
    </row>
    <row r="16">
      <c r="A16" s="24"/>
      <c r="B16" s="23"/>
      <c r="C16" s="23"/>
      <c r="D16" s="23"/>
      <c r="E16" s="31"/>
      <c r="F16" s="37"/>
      <c r="G16" s="31"/>
      <c r="H16" s="23"/>
      <c r="I16" s="23"/>
      <c r="J16" s="35"/>
      <c r="K16" s="36"/>
      <c r="L16" s="36"/>
      <c r="M16" s="36"/>
      <c r="N16" s="31"/>
      <c r="O16" s="23"/>
    </row>
    <row r="17">
      <c r="E17" s="31"/>
      <c r="F17" s="31"/>
      <c r="G17" s="31"/>
      <c r="H17" s="23"/>
      <c r="I17" s="23"/>
      <c r="J17" s="35"/>
      <c r="K17" s="36"/>
      <c r="L17" s="36"/>
      <c r="M17" s="36"/>
      <c r="N17" s="31"/>
      <c r="O17" s="23"/>
    </row>
    <row r="18">
      <c r="E18" s="31"/>
      <c r="F18" s="31"/>
      <c r="G18" s="31"/>
      <c r="H18" s="23"/>
      <c r="I18" s="23"/>
      <c r="J18" s="35"/>
      <c r="K18" s="36"/>
      <c r="L18" s="36"/>
      <c r="M18" s="36"/>
      <c r="N18" s="31"/>
      <c r="O18" s="23"/>
    </row>
    <row r="19">
      <c r="E19" s="31"/>
      <c r="F19" s="31"/>
      <c r="G19" s="31"/>
      <c r="H19" s="23"/>
      <c r="I19" s="23"/>
      <c r="J19" s="35"/>
      <c r="K19" s="36"/>
      <c r="L19" s="36"/>
      <c r="M19" s="36"/>
      <c r="N19" s="31"/>
      <c r="O19" s="23"/>
    </row>
    <row r="20">
      <c r="E20" s="31"/>
      <c r="F20" s="31"/>
      <c r="G20" s="31"/>
      <c r="H20" s="23"/>
      <c r="I20" s="23"/>
      <c r="J20" s="35"/>
      <c r="K20" s="36"/>
      <c r="L20" s="36"/>
      <c r="M20" s="36"/>
      <c r="N20" s="31"/>
      <c r="O20" s="23"/>
    </row>
  </sheetData>
  <mergeCells count="1">
    <mergeCell ref="A1:B1"/>
  </mergeCells>
  <drawing r:id="rId1"/>
</worksheet>
</file>