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227"/>
  <workbookPr/>
  <mc:AlternateContent xmlns:mc="http://schemas.openxmlformats.org/markup-compatibility/2006">
    <mc:Choice Requires="x15">
      <x15ac:absPath xmlns:x15ac="http://schemas.microsoft.com/office/spreadsheetml/2010/11/ac" url="H:\Projekte\endemo_Projects\endemo_v2.0.0\"/>
    </mc:Choice>
  </mc:AlternateContent>
  <xr:revisionPtr revIDLastSave="0" documentId="8_{8AB87466-3A39-48FA-80F9-D8B2FC6A4209}" xr6:coauthVersionLast="47" xr6:coauthVersionMax="47" xr10:uidLastSave="{00000000-0000-0000-0000-000000000000}"/>
  <bookViews>
    <workbookView xWindow="28690" yWindow="-110" windowWidth="29020" windowHeight="15820" tabRatio="917" xr2:uid="{00000000-000D-0000-FFFF-FFFF00000000}"/>
  </bookViews>
  <sheets>
    <sheet name="PERSON_EARTH_CAR" sheetId="40" r:id="rId1"/>
    <sheet name="PERSON_EARTH_BUS" sheetId="44" r:id="rId2"/>
    <sheet name="PERSON_EARTH_RAIL" sheetId="41" r:id="rId3"/>
    <sheet name="PERSON_AIR" sheetId="45" r:id="rId4"/>
    <sheet name="PERSON (4)" sheetId="43" r:id="rId5"/>
    <sheet name="FREIGHT (4)" sheetId="46" r:id="rId6"/>
    <sheet name="Info" sheetId="4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4" i="40" l="1"/>
  <c r="B2" i="40"/>
  <c r="D10" i="40"/>
  <c r="C4" i="46"/>
  <c r="D4" i="46"/>
  <c r="E4" i="46"/>
  <c r="B6" i="46"/>
  <c r="B2" i="46" s="1"/>
  <c r="D6" i="46"/>
  <c r="D5" i="46" s="1"/>
  <c r="D26" i="46"/>
  <c r="D30" i="46" s="1"/>
  <c r="B4" i="46" l="1"/>
  <c r="B7" i="46"/>
  <c r="B3" i="46"/>
  <c r="D3" i="45" l="1"/>
  <c r="C2" i="45" s="1"/>
  <c r="D4" i="44"/>
  <c r="C3" i="44" s="1"/>
  <c r="B2" i="44" s="1"/>
  <c r="D6" i="43"/>
  <c r="E6" i="40"/>
  <c r="D5" i="40" s="1"/>
  <c r="D20" i="43"/>
  <c r="D13" i="43"/>
  <c r="B7" i="43"/>
  <c r="D4" i="43"/>
  <c r="C6" i="43"/>
  <c r="B6" i="43"/>
  <c r="F5" i="43"/>
  <c r="F4" i="43"/>
  <c r="B4" i="43"/>
  <c r="B3" i="43"/>
  <c r="C2" i="43"/>
  <c r="C4" i="43" s="1"/>
  <c r="B2" i="43"/>
  <c r="D12" i="42"/>
  <c r="D5" i="42"/>
  <c r="B2" i="41"/>
  <c r="C3" i="41" s="1"/>
  <c r="C4" i="40" l="1"/>
  <c r="F3" i="40"/>
  <c r="D4" i="41"/>
  <c r="D2" i="43"/>
</calcChain>
</file>

<file path=xl/sharedStrings.xml><?xml version="1.0" encoding="utf-8"?>
<sst xmlns="http://schemas.openxmlformats.org/spreadsheetml/2006/main" count="330" uniqueCount="142">
  <si>
    <t>A1</t>
  </si>
  <si>
    <t>Source:</t>
  </si>
  <si>
    <t>[1]</t>
  </si>
  <si>
    <t>[2]</t>
  </si>
  <si>
    <t>[3]</t>
  </si>
  <si>
    <t>https://www.forschungsinformationssystem.de/servlet/is/342234/</t>
  </si>
  <si>
    <t>F1</t>
  </si>
  <si>
    <t>Further Info:</t>
  </si>
  <si>
    <t>https://www.chemie.de/lexikon/Kraftstoff.html</t>
  </si>
  <si>
    <t>Diesel MJ/l</t>
  </si>
  <si>
    <t>CF1</t>
  </si>
  <si>
    <t>Conversion factor:</t>
  </si>
  <si>
    <t>ratio of energy consumptions as for the cars</t>
  </si>
  <si>
    <t>Assumption:</t>
  </si>
  <si>
    <t>https://www.dena.de/fileadmin/dena/Dokumente/Pdf/9219_E-FUELS-STUDY_The_potential_of_electricity_based_fuels_for_low_emission_transport_in_the_EU.pdf</t>
  </si>
  <si>
    <t>passenger per car</t>
  </si>
  <si>
    <t>bus places taken</t>
  </si>
  <si>
    <t>[4]</t>
  </si>
  <si>
    <t>https://procitybahn.de/kapazitaet-busmodelle/</t>
  </si>
  <si>
    <t>bus places</t>
  </si>
  <si>
    <t>https://www.aktiv-stuhr.de/studien/pdf/Deiters_Expertise-Bahn-Bus.Stuhr_2009-05.pdf</t>
  </si>
  <si>
    <t>bus consum data</t>
  </si>
  <si>
    <t>https://www.fvv-net.de/fileadmin/Transfer/Downloads/FVV_H1086_Renewables_in_Transport_2050_-_Kraftstoffstudie_II.pdf</t>
  </si>
  <si>
    <t>Unit:</t>
  </si>
  <si>
    <t>Petrol</t>
  </si>
  <si>
    <t>[2,3,4]</t>
  </si>
  <si>
    <t>Diesel</t>
  </si>
  <si>
    <t>Kerosine</t>
  </si>
  <si>
    <t>Hydrogen</t>
  </si>
  <si>
    <t>Plug-in-Hybrid</t>
  </si>
  <si>
    <t>[1],A1</t>
  </si>
  <si>
    <t>Electricity</t>
  </si>
  <si>
    <t>Source flight</t>
  </si>
  <si>
    <t>Source ship</t>
  </si>
  <si>
    <t>Source bus</t>
  </si>
  <si>
    <t>Source rail</t>
  </si>
  <si>
    <t>Source car</t>
  </si>
  <si>
    <t>Source</t>
  </si>
  <si>
    <t>flight</t>
  </si>
  <si>
    <t>ship</t>
  </si>
  <si>
    <t>bus</t>
  </si>
  <si>
    <t>rail</t>
  </si>
  <si>
    <t>car</t>
  </si>
  <si>
    <t>[1 p. 114,5]</t>
  </si>
  <si>
    <t>[1 p.118]</t>
  </si>
  <si>
    <t>[1 p. 116]</t>
  </si>
  <si>
    <t>MJ/pkm</t>
  </si>
  <si>
    <t>Publisher</t>
  </si>
  <si>
    <t>Title</t>
  </si>
  <si>
    <t>Description</t>
  </si>
  <si>
    <t>Web</t>
  </si>
  <si>
    <t>Accessed</t>
  </si>
  <si>
    <t>Year</t>
  </si>
  <si>
    <t>14.11.2023</t>
  </si>
  <si>
    <t>Place</t>
  </si>
  <si>
    <t>Frankfurt am Main</t>
  </si>
  <si>
    <t>Reseach association for combustion engines</t>
  </si>
  <si>
    <t>Autor</t>
  </si>
  <si>
    <t>Schmidt, Patrick R.; Zittel, Werner; Weindorf, Werner; Raksha, Tetyana</t>
  </si>
  <si>
    <t>Straßenbahn oder Bus? Betriebswirtschaftliche Bewertung der Verlängerung der Linie 8 von Bremen nach Stuhr und Weyhe unter besonderer Berücksichtigung des künftigen Fahrgastaufkommens</t>
  </si>
  <si>
    <t>Deiters, Jürgen</t>
  </si>
  <si>
    <t>Osnabrück</t>
  </si>
  <si>
    <t>Übersicht der Kapazitäten gängiger Busmodelle</t>
  </si>
  <si>
    <t>Specification</t>
  </si>
  <si>
    <t>Value</t>
  </si>
  <si>
    <t>01.02.2019</t>
  </si>
  <si>
    <t>p.27 (and p. 149)</t>
  </si>
  <si>
    <t>dena</t>
  </si>
  <si>
    <t>The potential of electricity-based fuels for low-emission transport in the EU</t>
  </si>
  <si>
    <t>Siegemund, Stefan; Schmidt, Patrick; Trommler, Marcus; Kolb, Ole; Zinnecker, Valentin; Weindorf, Werner; Zittel, Werner; Raksha, Tetyana ; Zerhusen, Jan</t>
  </si>
  <si>
    <t>Berlin</t>
  </si>
  <si>
    <t>Renewables in Transport 2050; Empowering a sustainable mobility future with zero emission fuels from renewable electricity</t>
  </si>
  <si>
    <t>ELEC</t>
  </si>
  <si>
    <t>Drive</t>
  </si>
  <si>
    <t>ELEC [MJ/pkm ]</t>
  </si>
  <si>
    <t>H2 [MJ/pkm]</t>
  </si>
  <si>
    <t>DIES</t>
  </si>
  <si>
    <t>KERO</t>
  </si>
  <si>
    <t>PETR</t>
  </si>
  <si>
    <t>PHEV</t>
  </si>
  <si>
    <t>H2</t>
  </si>
  <si>
    <t>DIES [MJ/pkm]</t>
  </si>
  <si>
    <t>KERO [MJ/pkm]</t>
  </si>
  <si>
    <t>https://www.faz.net/aktuell/wissen/die-rechnung-fuer-den-gueterverkehr-fracht-auf-die-schiene-1492289.html</t>
  </si>
  <si>
    <t>1.8l/100tkm</t>
  </si>
  <si>
    <t>F2</t>
  </si>
  <si>
    <t>p. 25</t>
  </si>
  <si>
    <t>https://elib.dlr.de/121388/1/studie-drop-in-kraftstoffe-luftfahrt.pdf</t>
  </si>
  <si>
    <t xml:space="preserve">spezifische Kerosinverbrauch pro Tonnenkilometer von 0,375 kg Treibstoff / Tonnenkilometer (bzw. 16,1 MJ / tkm) im Jahr 2000 auf 0,246 kg Treibstoff / Tonnenkilometer (10,6 MJ / tkm) im Jahr 2030 verbessern wird. </t>
  </si>
  <si>
    <t>CF2</t>
  </si>
  <si>
    <t>https://livebunkers.com/heavy-fuel-oil-hfo</t>
  </si>
  <si>
    <t>Heavy oil MJ/kg</t>
  </si>
  <si>
    <t>ratio of energy consumptions as for the person trafic (cars)</t>
  </si>
  <si>
    <t>A2</t>
  </si>
  <si>
    <t>same consumption regardless of the energy carrier</t>
  </si>
  <si>
    <t>p.124</t>
  </si>
  <si>
    <t>[5]</t>
  </si>
  <si>
    <t>https://www.bussgeld-info.de/zuladung-lkw/</t>
  </si>
  <si>
    <t>Zuladung beim Lkw: Was ist erlaubt?</t>
  </si>
  <si>
    <t>bussgeld-info.de</t>
  </si>
  <si>
    <t>25 t per truck</t>
  </si>
  <si>
    <t>tonnes per truck</t>
  </si>
  <si>
    <t>p. 5</t>
  </si>
  <si>
    <t xml:space="preserve"> Haase, Knut</t>
  </si>
  <si>
    <t>https://www.bwl.uni-hamburg.de/vw/lehre/lehre-frueherer-semester/ws2013-14/vul-zwei-fahrzeugkosten.pdf</t>
  </si>
  <si>
    <t>Einführung in Verkehr und Logistik</t>
  </si>
  <si>
    <t>36l/100km</t>
  </si>
  <si>
    <t>exemplary</t>
  </si>
  <si>
    <t>CO2-Berechnung-Spezial</t>
  </si>
  <si>
    <t>p. 14</t>
  </si>
  <si>
    <t>Munich</t>
  </si>
  <si>
    <t>https://media1.verkehrsrundschau.de/fm/3576/VR-CO2_Spezial_2011_Juni.pdf</t>
  </si>
  <si>
    <t>Energieverbrauch bei Seeschiffstransporten</t>
  </si>
  <si>
    <t xml:space="preserve"> Heinrich Vogel</t>
  </si>
  <si>
    <t>many different values</t>
  </si>
  <si>
    <t>flights</t>
  </si>
  <si>
    <t>railways</t>
  </si>
  <si>
    <t>roads</t>
  </si>
  <si>
    <t>Auszug aus dem Forschungs- Informations-System (FIS) herausgegeben durch das Bundesministerium für Digitales und Verkehr (BMDV)</t>
  </si>
  <si>
    <t>16.02.2011</t>
  </si>
  <si>
    <t>08.11.2019</t>
  </si>
  <si>
    <t>Daten und Fakten zum Energieverbrauch des Schienenverkehrs</t>
  </si>
  <si>
    <t>Forschungsinformationssystem</t>
  </si>
  <si>
    <t>in MJ/tkm</t>
  </si>
  <si>
    <t>For year 2018</t>
  </si>
  <si>
    <t>Note</t>
  </si>
  <si>
    <t>In</t>
  </si>
  <si>
    <t>Last updated</t>
  </si>
  <si>
    <t>MJ/tkm</t>
  </si>
  <si>
    <t>[5]+calc, A2</t>
  </si>
  <si>
    <t>[2], CF1 + see [1]</t>
  </si>
  <si>
    <t>[5],+ see [1], F2</t>
  </si>
  <si>
    <t>[3,4], + see [1]</t>
  </si>
  <si>
    <t>[1], F1</t>
  </si>
  <si>
    <t>[5]+calc</t>
  </si>
  <si>
    <t>Source road</t>
  </si>
  <si>
    <t>Sources</t>
  </si>
  <si>
    <t>road</t>
  </si>
  <si>
    <t>Energy consumption MJ/tkm</t>
  </si>
  <si>
    <t>Region</t>
  </si>
  <si>
    <t>Type</t>
  </si>
  <si>
    <t>default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</si>
</sst>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-* #,##0.00_-;\-* #,##0.00_-;_-* &quot;-&quot;??_-;_-@_-"/>
    <numFmt numFmtId="164" formatCode="0.000"/>
    <numFmt numFmtId="165" formatCode="_-* #,##0.0_-;\-* #,##0.0_-;_-* &quot;-&quot;??_-;_-@_-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2" fillId="0" borderId="0" applyFont="0" applyFill="0" applyBorder="0" applyAlignment="0" applyProtection="0"/>
  </cellStyleXfs>
  <cellXfs count="39">
    <xf numFmtId="0" fontId="0" fillId="0" borderId="0" xfId="0"/>
    <xf numFmtId="0" fontId="1" fillId="0" borderId="0" xfId="1"/>
    <xf numFmtId="0" fontId="3" fillId="0" borderId="0" xfId="0" applyFont="1"/>
    <xf numFmtId="0" fontId="0" fillId="0" borderId="1" xfId="0" applyBorder="1" applyAlignment="1">
      <alignment horizontal="right"/>
    </xf>
    <xf numFmtId="2" fontId="0" fillId="0" borderId="2" xfId="2" applyNumberFormat="1" applyFont="1" applyBorder="1" applyAlignment="1">
      <alignment horizontal="right"/>
    </xf>
    <xf numFmtId="0" fontId="0" fillId="0" borderId="2" xfId="0" applyBorder="1" applyAlignment="1">
      <alignment horizontal="right"/>
    </xf>
    <xf numFmtId="0" fontId="0" fillId="0" borderId="3" xfId="0" applyBorder="1"/>
    <xf numFmtId="0" fontId="0" fillId="0" borderId="1" xfId="0" applyBorder="1"/>
    <xf numFmtId="2" fontId="0" fillId="0" borderId="2" xfId="2" applyNumberFormat="1" applyFont="1" applyBorder="1"/>
    <xf numFmtId="0" fontId="0" fillId="0" borderId="2" xfId="0" applyBorder="1"/>
    <xf numFmtId="164" fontId="0" fillId="0" borderId="2" xfId="0" applyNumberFormat="1" applyBorder="1"/>
    <xf numFmtId="0" fontId="0" fillId="0" borderId="4" xfId="0" applyBorder="1" applyAlignment="1">
      <alignment horizontal="right"/>
    </xf>
    <xf numFmtId="2" fontId="0" fillId="0" borderId="0" xfId="2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0" fillId="0" borderId="5" xfId="0" applyBorder="1"/>
    <xf numFmtId="0" fontId="0" fillId="0" borderId="4" xfId="0" applyBorder="1"/>
    <xf numFmtId="2" fontId="0" fillId="0" borderId="0" xfId="2" applyNumberFormat="1" applyFont="1" applyBorder="1"/>
    <xf numFmtId="2" fontId="0" fillId="0" borderId="0" xfId="0" applyNumberFormat="1"/>
    <xf numFmtId="164" fontId="0" fillId="0" borderId="0" xfId="0" applyNumberFormat="1"/>
    <xf numFmtId="165" fontId="0" fillId="0" borderId="0" xfId="2" applyNumberFormat="1" applyFont="1" applyBorder="1" applyAlignment="1">
      <alignment horizontal="right"/>
    </xf>
    <xf numFmtId="165" fontId="0" fillId="0" borderId="0" xfId="2" applyNumberFormat="1" applyFont="1" applyBorder="1"/>
    <xf numFmtId="43" fontId="0" fillId="0" borderId="0" xfId="2" applyFont="1" applyBorder="1" applyAlignment="1">
      <alignment horizontal="right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2" fontId="0" fillId="0" borderId="13" xfId="0" applyNumberFormat="1" applyBorder="1"/>
    <xf numFmtId="0" fontId="0" fillId="0" borderId="14" xfId="0" applyBorder="1"/>
    <xf numFmtId="0" fontId="0" fillId="0" borderId="15" xfId="0" applyBorder="1"/>
    <xf numFmtId="164" fontId="0" fillId="0" borderId="15" xfId="0" applyNumberFormat="1" applyBorder="1"/>
    <xf numFmtId="0" fontId="0" fillId="0" borderId="16" xfId="0" applyBorder="1"/>
    <xf numFmtId="0" fontId="0" fillId="0" borderId="0" xfId="2" applyNumberFormat="1" applyFont="1" applyBorder="1" applyAlignment="1">
      <alignment horizontal="right"/>
    </xf>
    <xf numFmtId="0" fontId="0" fillId="0" borderId="0" xfId="2" applyNumberFormat="1" applyFont="1" applyBorder="1"/>
    <xf numFmtId="2" fontId="0" fillId="0" borderId="2" xfId="0" applyNumberFormat="1" applyBorder="1"/>
    <xf numFmtId="2" fontId="0" fillId="0" borderId="4" xfId="0" applyNumberFormat="1" applyBorder="1"/>
  </cellXfs>
  <cellStyles count="3">
    <cellStyle name="Komma" xfId="2" builtinId="3"/>
    <cellStyle name="Link" xfId="1" builtinId="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hyperlink" Target="https://procitybahn.de/kapazitaet-busmodelle/" TargetMode="External"/><Relationship Id="rId7" Type="http://schemas.openxmlformats.org/officeDocument/2006/relationships/printerSettings" Target="../printerSettings/printerSettings5.bin"/><Relationship Id="rId2" Type="http://schemas.openxmlformats.org/officeDocument/2006/relationships/hyperlink" Target="https://www.chemie.de/lexikon/Kraftstoff.html" TargetMode="External"/><Relationship Id="rId1" Type="http://schemas.openxmlformats.org/officeDocument/2006/relationships/hyperlink" Target="https://www.forschungsinformationssystem.de/servlet/is/342234/" TargetMode="External"/><Relationship Id="rId6" Type="http://schemas.openxmlformats.org/officeDocument/2006/relationships/hyperlink" Target="https://www.dena.de/fileadmin/dena/Dokumente/Pdf/9219_E-FUELS-STUDY_The_potential_of_electricity_based_fuels_for_low_emission_transport_in_the_EU.pdf" TargetMode="External"/><Relationship Id="rId5" Type="http://schemas.openxmlformats.org/officeDocument/2006/relationships/hyperlink" Target="https://www.fvv-net.de/fileadmin/Transfer/Downloads/FVV_H1086_Renewables_in_Transport_2050_-_Kraftstoffstudie_II.pdf" TargetMode="External"/><Relationship Id="rId4" Type="http://schemas.openxmlformats.org/officeDocument/2006/relationships/hyperlink" Target="https://www.aktiv-stuhr.de/studien/pdf/Deiters_Expertise-Bahn-Bus.Stuhr_2009-05.pdf" TargetMode="External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faz.net/aktuell/wissen/die-rechnung-fuer-den-gueterverkehr-fracht-auf-die-schiene-1492289.html" TargetMode="External"/><Relationship Id="rId3" Type="http://schemas.openxmlformats.org/officeDocument/2006/relationships/hyperlink" Target="https://www.bwl.uni-hamburg.de/vw/lehre/lehre-frueherer-semester/ws2013-14/vul-zwei-fahrzeugkosten.pdf" TargetMode="External"/><Relationship Id="rId7" Type="http://schemas.openxmlformats.org/officeDocument/2006/relationships/hyperlink" Target="https://elib.dlr.de/121388/1/studie-drop-in-kraftstoffe-luftfahrt.pdf" TargetMode="External"/><Relationship Id="rId2" Type="http://schemas.openxmlformats.org/officeDocument/2006/relationships/hyperlink" Target="https://media1.verkehrsrundschau.de/fm/3576/VR-CO2_Spezial_2011_Juni.pdf" TargetMode="External"/><Relationship Id="rId1" Type="http://schemas.openxmlformats.org/officeDocument/2006/relationships/hyperlink" Target="https://www.forschungsinformationssystem.de/servlet/is/342234/" TargetMode="External"/><Relationship Id="rId6" Type="http://schemas.openxmlformats.org/officeDocument/2006/relationships/hyperlink" Target="https://www.chemie.de/lexikon/Kraftstoff.html" TargetMode="External"/><Relationship Id="rId5" Type="http://schemas.openxmlformats.org/officeDocument/2006/relationships/hyperlink" Target="https://livebunkers.com/heavy-fuel-oil-hfo" TargetMode="External"/><Relationship Id="rId10" Type="http://schemas.openxmlformats.org/officeDocument/2006/relationships/printerSettings" Target="../printerSettings/printerSettings6.bin"/><Relationship Id="rId4" Type="http://schemas.openxmlformats.org/officeDocument/2006/relationships/hyperlink" Target="https://www.bussgeld-info.de/zuladung-lkw/" TargetMode="External"/><Relationship Id="rId9" Type="http://schemas.openxmlformats.org/officeDocument/2006/relationships/hyperlink" Target="https://www.fvv-net.de/fileadmin/Transfer/Downloads/FVV_H1086_Renewables_in_Transport_2050_-_Kraftstoffstudie_II.pdf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procitybahn.de/kapazitaet-busmodelle/" TargetMode="External"/><Relationship Id="rId2" Type="http://schemas.openxmlformats.org/officeDocument/2006/relationships/hyperlink" Target="https://www.chemie.de/lexikon/Kraftstoff.html" TargetMode="External"/><Relationship Id="rId1" Type="http://schemas.openxmlformats.org/officeDocument/2006/relationships/hyperlink" Target="https://www.forschungsinformationssystem.de/servlet/is/342234/" TargetMode="External"/><Relationship Id="rId6" Type="http://schemas.openxmlformats.org/officeDocument/2006/relationships/hyperlink" Target="https://www.dena.de/fileadmin/dena/Dokumente/Pdf/9219_E-FUELS-STUDY_The_potential_of_electricity_based_fuels_for_low_emission_transport_in_the_EU.pdf" TargetMode="External"/><Relationship Id="rId5" Type="http://schemas.openxmlformats.org/officeDocument/2006/relationships/hyperlink" Target="https://www.fvv-net.de/fileadmin/Transfer/Downloads/FVV_H1086_Renewables_in_Transport_2050_-_Kraftstoffstudie_II.pdf" TargetMode="External"/><Relationship Id="rId4" Type="http://schemas.openxmlformats.org/officeDocument/2006/relationships/hyperlink" Target="https://www.aktiv-stuhr.de/studien/pdf/Deiters_Expertise-Bahn-Bus.Stuhr_2009-05.pd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0B8555-C875-49CD-A932-054DF72F2740}">
  <dimension ref="A1:R55"/>
  <sheetViews>
    <sheetView tabSelected="1" zoomScaleNormal="100" workbookViewId="0">
      <selection activeCell="D14" sqref="D14"/>
    </sheetView>
  </sheetViews>
  <sheetFormatPr baseColWidth="10" defaultRowHeight="14.5" x14ac:dyDescent="0.35"/>
  <cols>
    <col min="1" max="1" width="6.453125" bestFit="1" customWidth="1"/>
    <col min="2" max="2" width="14.453125" bestFit="1" customWidth="1"/>
    <col min="3" max="3" width="12.26953125" bestFit="1" customWidth="1"/>
    <col min="4" max="4" width="13.81640625" bestFit="1" customWidth="1"/>
    <col min="5" max="6" width="12" bestFit="1" customWidth="1"/>
  </cols>
  <sheetData>
    <row r="1" spans="1:12" x14ac:dyDescent="0.35">
      <c r="A1" s="25" t="s">
        <v>73</v>
      </c>
      <c r="B1" s="26" t="s">
        <v>74</v>
      </c>
      <c r="C1" s="26" t="s">
        <v>75</v>
      </c>
      <c r="D1" s="26" t="s">
        <v>81</v>
      </c>
      <c r="E1" s="26" t="s">
        <v>78</v>
      </c>
      <c r="F1" s="27" t="s">
        <v>79</v>
      </c>
      <c r="H1" t="s">
        <v>37</v>
      </c>
    </row>
    <row r="2" spans="1:12" x14ac:dyDescent="0.35">
      <c r="A2" s="28" t="s">
        <v>72</v>
      </c>
      <c r="B2" s="17">
        <f>0.6/2.17*E6</f>
        <v>0.31994733377221862</v>
      </c>
      <c r="C2">
        <v>0</v>
      </c>
      <c r="D2" s="35">
        <v>0</v>
      </c>
      <c r="E2" s="36">
        <v>0</v>
      </c>
      <c r="F2" s="29">
        <v>0</v>
      </c>
      <c r="H2" s="12" t="s">
        <v>2</v>
      </c>
      <c r="I2" s="12"/>
      <c r="J2" s="19"/>
      <c r="K2" s="12"/>
      <c r="L2" s="13"/>
    </row>
    <row r="3" spans="1:12" x14ac:dyDescent="0.35">
      <c r="A3" s="28" t="s">
        <v>79</v>
      </c>
      <c r="B3">
        <v>0</v>
      </c>
      <c r="C3">
        <v>0</v>
      </c>
      <c r="D3" s="36">
        <v>0</v>
      </c>
      <c r="E3" s="36">
        <v>0</v>
      </c>
      <c r="F3" s="30">
        <f>1.78/2.17*E6</f>
        <v>0.94917709019091512</v>
      </c>
      <c r="H3" s="12" t="s">
        <v>2</v>
      </c>
      <c r="I3" s="12"/>
      <c r="J3" s="19"/>
      <c r="K3" s="12"/>
      <c r="L3" s="13"/>
    </row>
    <row r="4" spans="1:12" x14ac:dyDescent="0.35">
      <c r="A4" s="28" t="s">
        <v>80</v>
      </c>
      <c r="B4">
        <v>0</v>
      </c>
      <c r="C4" s="17">
        <f>1.05/2.17*E6</f>
        <v>0.55990783410138256</v>
      </c>
      <c r="D4">
        <v>0</v>
      </c>
      <c r="E4" s="36">
        <v>0</v>
      </c>
      <c r="F4" s="29">
        <v>0</v>
      </c>
      <c r="H4" s="12" t="s">
        <v>2</v>
      </c>
      <c r="I4" s="12"/>
      <c r="J4" s="12"/>
      <c r="K4" s="12"/>
      <c r="L4" s="13"/>
    </row>
    <row r="5" spans="1:12" x14ac:dyDescent="0.35">
      <c r="A5" s="28" t="s">
        <v>76</v>
      </c>
      <c r="B5">
        <v>0</v>
      </c>
      <c r="C5">
        <v>0</v>
      </c>
      <c r="D5" s="17">
        <f>1.94/2.17*E6</f>
        <v>1.0344963791968402</v>
      </c>
      <c r="E5" s="36">
        <v>0</v>
      </c>
      <c r="F5" s="29">
        <v>0</v>
      </c>
      <c r="H5" s="12" t="s">
        <v>2</v>
      </c>
      <c r="I5" s="12"/>
      <c r="J5" s="13"/>
      <c r="K5" s="12"/>
      <c r="L5" s="13"/>
    </row>
    <row r="6" spans="1:12" x14ac:dyDescent="0.35">
      <c r="A6" s="31" t="s">
        <v>78</v>
      </c>
      <c r="B6" s="32">
        <v>0</v>
      </c>
      <c r="C6" s="32">
        <v>0</v>
      </c>
      <c r="D6" s="32">
        <v>0</v>
      </c>
      <c r="E6" s="33">
        <f>1.62/Info!D7</f>
        <v>1.1571428571428573</v>
      </c>
      <c r="F6" s="34">
        <v>0</v>
      </c>
      <c r="H6" s="13" t="s">
        <v>43</v>
      </c>
      <c r="I6" s="13"/>
      <c r="J6" s="13"/>
      <c r="K6" s="12"/>
      <c r="L6" s="13"/>
    </row>
    <row r="9" spans="1:12" x14ac:dyDescent="0.35">
      <c r="A9" t="s">
        <v>139</v>
      </c>
      <c r="B9" t="s">
        <v>73</v>
      </c>
      <c r="C9" t="s">
        <v>140</v>
      </c>
      <c r="D9">
        <v>2018</v>
      </c>
      <c r="E9" t="s">
        <v>37</v>
      </c>
    </row>
    <row r="10" spans="1:12" x14ac:dyDescent="0.35">
      <c r="A10" t="s">
        <v>141</v>
      </c>
      <c r="B10" t="s">
        <v>72</v>
      </c>
      <c r="C10" t="s">
        <v>72</v>
      </c>
      <c r="D10" s="17">
        <f>0.6/2.17*G14</f>
        <v>0</v>
      </c>
      <c r="E10" s="12" t="s">
        <v>2</v>
      </c>
    </row>
    <row r="11" spans="1:12" x14ac:dyDescent="0.35">
      <c r="A11" t="s">
        <v>141</v>
      </c>
      <c r="B11" s="28" t="s">
        <v>79</v>
      </c>
      <c r="E11" s="12" t="s">
        <v>2</v>
      </c>
    </row>
    <row r="12" spans="1:12" x14ac:dyDescent="0.35">
      <c r="A12" t="s">
        <v>141</v>
      </c>
      <c r="B12" s="28" t="s">
        <v>80</v>
      </c>
      <c r="C12" s="28" t="s">
        <v>80</v>
      </c>
      <c r="E12" s="12" t="s">
        <v>2</v>
      </c>
    </row>
    <row r="13" spans="1:12" x14ac:dyDescent="0.35">
      <c r="A13" t="s">
        <v>141</v>
      </c>
      <c r="B13" s="28" t="s">
        <v>76</v>
      </c>
      <c r="C13" s="28" t="s">
        <v>76</v>
      </c>
      <c r="E13" s="12" t="s">
        <v>2</v>
      </c>
    </row>
    <row r="14" spans="1:12" x14ac:dyDescent="0.35">
      <c r="A14" t="s">
        <v>141</v>
      </c>
      <c r="B14" s="31" t="s">
        <v>78</v>
      </c>
      <c r="C14" s="31" t="s">
        <v>78</v>
      </c>
      <c r="D14">
        <f>1.62/Info!D7</f>
        <v>1.1571428571428573</v>
      </c>
      <c r="E14" s="13" t="s">
        <v>43</v>
      </c>
    </row>
    <row r="37" spans="18:18" x14ac:dyDescent="0.35">
      <c r="R37" s="1"/>
    </row>
    <row r="55" spans="9:9" x14ac:dyDescent="0.35">
      <c r="I55" s="1"/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063DEC-4DB4-48D8-A770-80B14BCA7010}">
  <dimension ref="A1:L21"/>
  <sheetViews>
    <sheetView zoomScaleNormal="100" workbookViewId="0">
      <selection activeCell="E11" sqref="E11"/>
    </sheetView>
  </sheetViews>
  <sheetFormatPr baseColWidth="10" defaultRowHeight="14.5" x14ac:dyDescent="0.35"/>
  <cols>
    <col min="1" max="1" width="43.1796875" bestFit="1" customWidth="1"/>
    <col min="2" max="2" width="14.453125" bestFit="1" customWidth="1"/>
    <col min="3" max="3" width="12.26953125" bestFit="1" customWidth="1"/>
    <col min="4" max="4" width="13.81640625" bestFit="1" customWidth="1"/>
  </cols>
  <sheetData>
    <row r="1" spans="1:6" x14ac:dyDescent="0.35">
      <c r="A1" s="25" t="s">
        <v>73</v>
      </c>
      <c r="B1" s="26" t="s">
        <v>74</v>
      </c>
      <c r="C1" s="26" t="s">
        <v>75</v>
      </c>
      <c r="D1" s="26" t="s">
        <v>81</v>
      </c>
      <c r="E1" t="s">
        <v>37</v>
      </c>
    </row>
    <row r="2" spans="1:6" x14ac:dyDescent="0.35">
      <c r="A2" s="28" t="s">
        <v>72</v>
      </c>
      <c r="B2" s="21">
        <f>PERSON_EARTH_CAR!B2*C3/PERSON_EARTH_CAR!C4</f>
        <v>0.50721106554275941</v>
      </c>
      <c r="C2" s="18"/>
      <c r="E2" s="19" t="s">
        <v>30</v>
      </c>
      <c r="F2" s="12"/>
    </row>
    <row r="3" spans="1:6" x14ac:dyDescent="0.35">
      <c r="A3" s="28" t="s">
        <v>80</v>
      </c>
      <c r="B3" s="17"/>
      <c r="C3" s="17">
        <f>14/13.6*D4</f>
        <v>0.88761936469982894</v>
      </c>
      <c r="E3" s="12" t="s">
        <v>2</v>
      </c>
      <c r="F3" s="12"/>
    </row>
    <row r="4" spans="1:6" x14ac:dyDescent="0.35">
      <c r="A4" s="28" t="s">
        <v>76</v>
      </c>
      <c r="B4" s="17"/>
      <c r="C4" s="18"/>
      <c r="D4" s="17">
        <f>(40+55)/2/100*Info!D12/(Info!D5*Info!D6)</f>
        <v>0.8622588114226909</v>
      </c>
      <c r="E4" s="13" t="s">
        <v>25</v>
      </c>
      <c r="F4" s="12"/>
    </row>
    <row r="21" spans="12:12" x14ac:dyDescent="0.35">
      <c r="L21" s="1"/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3E9816-ED5E-4753-9801-30B33B487CE1}">
  <dimension ref="A1:K38"/>
  <sheetViews>
    <sheetView zoomScaleNormal="100" workbookViewId="0">
      <selection activeCell="D4" sqref="D4"/>
    </sheetView>
  </sheetViews>
  <sheetFormatPr baseColWidth="10" defaultRowHeight="14.5" x14ac:dyDescent="0.35"/>
  <cols>
    <col min="1" max="1" width="43.1796875" bestFit="1" customWidth="1"/>
    <col min="2" max="2" width="14.453125" bestFit="1" customWidth="1"/>
    <col min="3" max="3" width="12.26953125" bestFit="1" customWidth="1"/>
    <col min="4" max="4" width="13.81640625" bestFit="1" customWidth="1"/>
  </cols>
  <sheetData>
    <row r="1" spans="1:5" x14ac:dyDescent="0.35">
      <c r="A1" s="24" t="s">
        <v>73</v>
      </c>
      <c r="B1" s="26" t="s">
        <v>74</v>
      </c>
      <c r="C1" s="26" t="s">
        <v>75</v>
      </c>
      <c r="D1" s="26" t="s">
        <v>81</v>
      </c>
      <c r="E1" s="23" t="s">
        <v>37</v>
      </c>
    </row>
    <row r="2" spans="1:5" x14ac:dyDescent="0.35">
      <c r="A2" s="28" t="s">
        <v>72</v>
      </c>
      <c r="B2" s="18">
        <f>0.034*3.6</f>
        <v>0.12240000000000001</v>
      </c>
      <c r="C2">
        <v>0</v>
      </c>
      <c r="D2">
        <v>0</v>
      </c>
      <c r="E2" s="12" t="s">
        <v>45</v>
      </c>
    </row>
    <row r="3" spans="1:5" x14ac:dyDescent="0.35">
      <c r="A3" s="28" t="s">
        <v>80</v>
      </c>
      <c r="B3">
        <v>0</v>
      </c>
      <c r="C3" s="18">
        <f>B2*21/13</f>
        <v>0.19772307692307695</v>
      </c>
      <c r="D3">
        <v>0</v>
      </c>
      <c r="E3" s="12" t="s">
        <v>2</v>
      </c>
    </row>
    <row r="4" spans="1:5" x14ac:dyDescent="0.35">
      <c r="A4" s="28" t="s">
        <v>76</v>
      </c>
      <c r="B4">
        <v>0</v>
      </c>
      <c r="C4">
        <v>0</v>
      </c>
      <c r="D4" s="18">
        <f>B2*35/13</f>
        <v>0.32953846153846161</v>
      </c>
      <c r="E4" s="12" t="s">
        <v>2</v>
      </c>
    </row>
    <row r="20" spans="11:11" x14ac:dyDescent="0.35">
      <c r="K20" s="1"/>
    </row>
    <row r="38" spans="5:5" x14ac:dyDescent="0.35">
      <c r="E38" s="1"/>
    </row>
  </sheetData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D6992A-4B40-4F39-A38E-82873C5996B0}">
  <dimension ref="A1:I21"/>
  <sheetViews>
    <sheetView zoomScaleNormal="100" workbookViewId="0">
      <selection activeCell="C7" sqref="C7"/>
    </sheetView>
  </sheetViews>
  <sheetFormatPr baseColWidth="10" defaultRowHeight="14.5" x14ac:dyDescent="0.35"/>
  <cols>
    <col min="1" max="1" width="43.1796875" bestFit="1" customWidth="1"/>
    <col min="2" max="2" width="14.453125" bestFit="1" customWidth="1"/>
    <col min="3" max="3" width="12.26953125" bestFit="1" customWidth="1"/>
    <col min="4" max="4" width="13.81640625" bestFit="1" customWidth="1"/>
  </cols>
  <sheetData>
    <row r="1" spans="1:6" x14ac:dyDescent="0.35">
      <c r="A1" t="s">
        <v>73</v>
      </c>
      <c r="B1" t="s">
        <v>74</v>
      </c>
      <c r="C1" t="s">
        <v>75</v>
      </c>
      <c r="D1" t="s">
        <v>82</v>
      </c>
      <c r="E1" t="s">
        <v>37</v>
      </c>
    </row>
    <row r="2" spans="1:6" x14ac:dyDescent="0.35">
      <c r="A2" t="s">
        <v>80</v>
      </c>
      <c r="B2">
        <v>0</v>
      </c>
      <c r="C2">
        <f>184/206*D3</f>
        <v>1.6776512621359223</v>
      </c>
      <c r="D2">
        <v>0</v>
      </c>
      <c r="E2" s="13" t="s">
        <v>2</v>
      </c>
      <c r="F2" s="12"/>
    </row>
    <row r="3" spans="1:6" x14ac:dyDescent="0.35">
      <c r="A3" t="s">
        <v>77</v>
      </c>
      <c r="B3">
        <v>0</v>
      </c>
      <c r="C3">
        <v>0</v>
      </c>
      <c r="D3">
        <f>5.46/100*34.4</f>
        <v>1.8782399999999999</v>
      </c>
      <c r="E3" s="13" t="s">
        <v>44</v>
      </c>
      <c r="F3" s="12"/>
    </row>
    <row r="4" spans="1:6" x14ac:dyDescent="0.35">
      <c r="A4" s="28"/>
      <c r="B4" s="17"/>
      <c r="C4" s="18"/>
      <c r="D4" s="17"/>
      <c r="E4" s="13"/>
      <c r="F4" s="12"/>
    </row>
    <row r="21" spans="9:9" x14ac:dyDescent="0.35">
      <c r="I21" s="1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099A9E-031F-462A-AFD9-82D76BB8F5A3}">
  <dimension ref="A1:S56"/>
  <sheetViews>
    <sheetView zoomScaleNormal="100" workbookViewId="0">
      <selection activeCell="J30" sqref="J30"/>
    </sheetView>
  </sheetViews>
  <sheetFormatPr baseColWidth="10" defaultRowHeight="14.5" x14ac:dyDescent="0.35"/>
  <cols>
    <col min="1" max="1" width="43.1796875" bestFit="1" customWidth="1"/>
    <col min="5" max="6" width="12" bestFit="1" customWidth="1"/>
  </cols>
  <sheetData>
    <row r="1" spans="1:19" x14ac:dyDescent="0.35">
      <c r="A1" s="24" t="s">
        <v>73</v>
      </c>
      <c r="B1" s="23" t="s">
        <v>42</v>
      </c>
      <c r="C1" s="23" t="s">
        <v>41</v>
      </c>
      <c r="D1" s="23" t="s">
        <v>40</v>
      </c>
      <c r="E1" s="23" t="s">
        <v>39</v>
      </c>
      <c r="F1" s="22" t="s">
        <v>38</v>
      </c>
      <c r="H1" s="24" t="s">
        <v>37</v>
      </c>
      <c r="I1" s="23" t="s">
        <v>36</v>
      </c>
      <c r="J1" s="23" t="s">
        <v>35</v>
      </c>
      <c r="K1" s="23" t="s">
        <v>34</v>
      </c>
      <c r="L1" s="23" t="s">
        <v>33</v>
      </c>
      <c r="M1" s="22" t="s">
        <v>32</v>
      </c>
    </row>
    <row r="2" spans="1:19" x14ac:dyDescent="0.35">
      <c r="A2" s="14" t="s">
        <v>31</v>
      </c>
      <c r="B2" s="17">
        <f>0.6/2.17*B7</f>
        <v>0.31994733377221862</v>
      </c>
      <c r="C2" s="18">
        <f>0.034*3.6</f>
        <v>0.12240000000000001</v>
      </c>
      <c r="D2" s="21">
        <f>B2/B4*D4</f>
        <v>0.50721106554275941</v>
      </c>
      <c r="E2" s="16">
        <v>0</v>
      </c>
      <c r="F2" s="15">
        <v>0</v>
      </c>
      <c r="H2" s="14" t="s">
        <v>31</v>
      </c>
      <c r="I2" s="12" t="s">
        <v>2</v>
      </c>
      <c r="J2" s="12" t="s">
        <v>45</v>
      </c>
      <c r="K2" s="19" t="s">
        <v>30</v>
      </c>
      <c r="L2" s="12"/>
      <c r="M2" s="11"/>
    </row>
    <row r="3" spans="1:19" x14ac:dyDescent="0.35">
      <c r="A3" s="14" t="s">
        <v>29</v>
      </c>
      <c r="B3" s="17">
        <f>1.78/2.17*B7</f>
        <v>0.94917709019091512</v>
      </c>
      <c r="C3" s="17"/>
      <c r="D3" s="20"/>
      <c r="E3" s="16"/>
      <c r="F3" s="15"/>
      <c r="H3" s="14" t="s">
        <v>29</v>
      </c>
      <c r="I3" s="12" t="s">
        <v>2</v>
      </c>
      <c r="J3" s="12"/>
      <c r="K3" s="19"/>
      <c r="L3" s="12"/>
      <c r="M3" s="11"/>
    </row>
    <row r="4" spans="1:19" x14ac:dyDescent="0.35">
      <c r="A4" s="14" t="s">
        <v>28</v>
      </c>
      <c r="B4" s="17">
        <f>1.05/2.17*B7</f>
        <v>0.55990783410138256</v>
      </c>
      <c r="C4" s="18">
        <f>C2*21/13</f>
        <v>0.19772307692307695</v>
      </c>
      <c r="D4" s="17">
        <f>14/13.6*D6</f>
        <v>0.88761936469982894</v>
      </c>
      <c r="E4" s="16">
        <v>0</v>
      </c>
      <c r="F4" s="15">
        <f>184/206*F5</f>
        <v>1.6776512621359223</v>
      </c>
      <c r="H4" s="14" t="s">
        <v>28</v>
      </c>
      <c r="I4" s="12" t="s">
        <v>2</v>
      </c>
      <c r="J4" s="12" t="s">
        <v>2</v>
      </c>
      <c r="K4" s="12" t="s">
        <v>2</v>
      </c>
      <c r="L4" s="12"/>
      <c r="M4" s="11" t="s">
        <v>2</v>
      </c>
    </row>
    <row r="5" spans="1:19" x14ac:dyDescent="0.35">
      <c r="A5" s="14" t="s">
        <v>27</v>
      </c>
      <c r="B5" s="17"/>
      <c r="D5" s="17"/>
      <c r="E5" s="16"/>
      <c r="F5" s="15">
        <f>5.46/100*34.4</f>
        <v>1.8782399999999999</v>
      </c>
      <c r="H5" s="14" t="s">
        <v>27</v>
      </c>
      <c r="I5" s="13"/>
      <c r="J5" s="12"/>
      <c r="K5" s="13"/>
      <c r="L5" s="12"/>
      <c r="M5" s="11" t="s">
        <v>44</v>
      </c>
      <c r="S5" s="1"/>
    </row>
    <row r="6" spans="1:19" x14ac:dyDescent="0.35">
      <c r="A6" s="14" t="s">
        <v>26</v>
      </c>
      <c r="B6" s="17">
        <f>1.94/2.17*B7</f>
        <v>1.0344963791968402</v>
      </c>
      <c r="C6" s="18">
        <f>C2*35/13</f>
        <v>0.32953846153846161</v>
      </c>
      <c r="D6" s="17">
        <f>(40+55)/2/100*D20/(D13*D14)</f>
        <v>0.8622588114226909</v>
      </c>
      <c r="E6" s="16"/>
      <c r="F6" s="15"/>
      <c r="H6" s="14" t="s">
        <v>26</v>
      </c>
      <c r="I6" s="12" t="s">
        <v>2</v>
      </c>
      <c r="J6" s="12" t="s">
        <v>2</v>
      </c>
      <c r="K6" s="13" t="s">
        <v>25</v>
      </c>
      <c r="L6" s="12"/>
      <c r="M6" s="11"/>
    </row>
    <row r="7" spans="1:19" ht="15" thickBot="1" x14ac:dyDescent="0.4">
      <c r="A7" s="6" t="s">
        <v>24</v>
      </c>
      <c r="B7" s="10">
        <f>1.62/D15</f>
        <v>1.1571428571428573</v>
      </c>
      <c r="C7" s="9"/>
      <c r="D7" s="9"/>
      <c r="E7" s="8"/>
      <c r="F7" s="7"/>
      <c r="H7" s="6" t="s">
        <v>24</v>
      </c>
      <c r="I7" s="5" t="s">
        <v>43</v>
      </c>
      <c r="J7" s="5"/>
      <c r="K7" s="5"/>
      <c r="L7" s="4"/>
      <c r="M7" s="3"/>
    </row>
    <row r="9" spans="1:19" x14ac:dyDescent="0.35">
      <c r="A9" s="2" t="s">
        <v>23</v>
      </c>
      <c r="B9" t="s">
        <v>46</v>
      </c>
    </row>
    <row r="10" spans="1:19" x14ac:dyDescent="0.35">
      <c r="A10" s="2"/>
      <c r="C10" t="s">
        <v>49</v>
      </c>
      <c r="D10" t="s">
        <v>64</v>
      </c>
      <c r="E10" t="s">
        <v>47</v>
      </c>
      <c r="F10" t="s">
        <v>48</v>
      </c>
      <c r="G10" t="s">
        <v>50</v>
      </c>
      <c r="H10" t="s">
        <v>51</v>
      </c>
      <c r="I10" t="s">
        <v>52</v>
      </c>
      <c r="J10" t="s">
        <v>54</v>
      </c>
      <c r="K10" t="s">
        <v>57</v>
      </c>
      <c r="L10" t="s">
        <v>63</v>
      </c>
    </row>
    <row r="11" spans="1:19" x14ac:dyDescent="0.35">
      <c r="A11" s="2" t="s">
        <v>1</v>
      </c>
      <c r="B11" t="s">
        <v>2</v>
      </c>
      <c r="E11" t="s">
        <v>56</v>
      </c>
      <c r="F11" t="s">
        <v>71</v>
      </c>
      <c r="G11" s="1" t="s">
        <v>22</v>
      </c>
      <c r="H11" t="s">
        <v>53</v>
      </c>
      <c r="I11">
        <v>2016</v>
      </c>
      <c r="J11" t="s">
        <v>55</v>
      </c>
      <c r="K11" t="s">
        <v>58</v>
      </c>
    </row>
    <row r="12" spans="1:19" x14ac:dyDescent="0.35">
      <c r="A12" s="2"/>
      <c r="B12" t="s">
        <v>3</v>
      </c>
      <c r="C12" t="s">
        <v>21</v>
      </c>
      <c r="F12" t="s">
        <v>59</v>
      </c>
      <c r="G12" s="1" t="s">
        <v>20</v>
      </c>
      <c r="H12" t="s">
        <v>53</v>
      </c>
      <c r="I12">
        <v>2009</v>
      </c>
      <c r="J12" t="s">
        <v>61</v>
      </c>
      <c r="K12" t="s">
        <v>60</v>
      </c>
    </row>
    <row r="13" spans="1:19" x14ac:dyDescent="0.35">
      <c r="A13" s="2"/>
      <c r="B13" t="s">
        <v>4</v>
      </c>
      <c r="C13" t="s">
        <v>19</v>
      </c>
      <c r="D13">
        <f>(70+99)/2</f>
        <v>84.5</v>
      </c>
      <c r="F13" t="s">
        <v>62</v>
      </c>
      <c r="G13" s="1" t="s">
        <v>18</v>
      </c>
      <c r="H13" t="s">
        <v>53</v>
      </c>
      <c r="I13" t="s">
        <v>65</v>
      </c>
    </row>
    <row r="14" spans="1:19" x14ac:dyDescent="0.35">
      <c r="A14" s="2"/>
      <c r="B14" t="s">
        <v>17</v>
      </c>
      <c r="C14" t="s">
        <v>16</v>
      </c>
      <c r="D14">
        <v>0.23</v>
      </c>
      <c r="E14" t="s">
        <v>67</v>
      </c>
      <c r="F14" t="s">
        <v>68</v>
      </c>
      <c r="G14" s="1" t="s">
        <v>14</v>
      </c>
      <c r="H14" t="s">
        <v>53</v>
      </c>
      <c r="I14">
        <v>2017</v>
      </c>
      <c r="J14" t="s">
        <v>70</v>
      </c>
      <c r="K14" t="s">
        <v>69</v>
      </c>
      <c r="L14" t="s">
        <v>66</v>
      </c>
    </row>
    <row r="15" spans="1:19" x14ac:dyDescent="0.35">
      <c r="A15" s="2"/>
      <c r="C15" t="s">
        <v>15</v>
      </c>
      <c r="D15">
        <v>1.4</v>
      </c>
    </row>
    <row r="16" spans="1:19" x14ac:dyDescent="0.35">
      <c r="A16" s="2"/>
    </row>
    <row r="17" spans="1:15" x14ac:dyDescent="0.35">
      <c r="A17" s="2"/>
      <c r="K17" s="1"/>
    </row>
    <row r="18" spans="1:15" x14ac:dyDescent="0.35">
      <c r="A18" s="2" t="s">
        <v>13</v>
      </c>
      <c r="B18" t="s">
        <v>0</v>
      </c>
      <c r="C18" t="s">
        <v>12</v>
      </c>
    </row>
    <row r="19" spans="1:15" x14ac:dyDescent="0.35">
      <c r="A19" s="2"/>
      <c r="O19" s="1"/>
    </row>
    <row r="20" spans="1:15" x14ac:dyDescent="0.35">
      <c r="A20" s="2" t="s">
        <v>11</v>
      </c>
      <c r="B20" t="s">
        <v>10</v>
      </c>
      <c r="C20" t="s">
        <v>9</v>
      </c>
      <c r="D20">
        <f>9.8*3600/1000</f>
        <v>35.28</v>
      </c>
      <c r="G20" s="1" t="s">
        <v>8</v>
      </c>
    </row>
    <row r="21" spans="1:15" x14ac:dyDescent="0.35">
      <c r="A21" s="2"/>
    </row>
    <row r="22" spans="1:15" x14ac:dyDescent="0.35">
      <c r="A22" s="2" t="s">
        <v>7</v>
      </c>
      <c r="B22" t="s">
        <v>6</v>
      </c>
      <c r="G22" s="1" t="s">
        <v>5</v>
      </c>
    </row>
    <row r="38" spans="19:19" x14ac:dyDescent="0.35">
      <c r="S38" s="1"/>
    </row>
    <row r="56" spans="10:10" x14ac:dyDescent="0.35">
      <c r="J56" s="1"/>
    </row>
  </sheetData>
  <hyperlinks>
    <hyperlink ref="G22" r:id="rId1" xr:uid="{FB61ABCB-FAF6-4A5A-9C2C-2334290E48D7}"/>
    <hyperlink ref="G20" r:id="rId2" xr:uid="{5F0976A5-9273-4602-BEA8-D291006DF255}"/>
    <hyperlink ref="G13" r:id="rId3" xr:uid="{C221804D-CDAF-4FB9-A3BE-8E21AF49B2B2}"/>
    <hyperlink ref="G12" r:id="rId4" xr:uid="{660ED4BC-BB6F-483B-AA3B-0E53E41B0C7C}"/>
    <hyperlink ref="G11" r:id="rId5" xr:uid="{ADF392AA-4A73-418E-B1F6-707D227ED88F}"/>
    <hyperlink ref="G14" r:id="rId6" xr:uid="{781545D2-F6BA-4DB5-9C9F-BBD5DFC6A313}"/>
  </hyperlinks>
  <pageMargins left="0.7" right="0.7" top="0.78740157499999996" bottom="0.78740157499999996" header="0.3" footer="0.3"/>
  <pageSetup paperSize="9" orientation="portrait" r:id="rId7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1B08FC-C629-4CEF-89BC-D32DE50D184E}">
  <dimension ref="A1:O36"/>
  <sheetViews>
    <sheetView workbookViewId="0">
      <selection activeCell="I22" sqref="I22"/>
    </sheetView>
  </sheetViews>
  <sheetFormatPr baseColWidth="10" defaultRowHeight="14.5" x14ac:dyDescent="0.35"/>
  <cols>
    <col min="1" max="1" width="26.54296875" bestFit="1" customWidth="1"/>
    <col min="7" max="7" width="26.54296875" bestFit="1" customWidth="1"/>
    <col min="8" max="8" width="13.453125" bestFit="1" customWidth="1"/>
    <col min="9" max="9" width="14.453125" bestFit="1" customWidth="1"/>
    <col min="10" max="10" width="16.54296875" bestFit="1" customWidth="1"/>
    <col min="11" max="11" width="12.1796875" bestFit="1" customWidth="1"/>
  </cols>
  <sheetData>
    <row r="1" spans="1:15" x14ac:dyDescent="0.35">
      <c r="A1" s="24" t="s">
        <v>138</v>
      </c>
      <c r="B1" s="23" t="s">
        <v>137</v>
      </c>
      <c r="C1" s="23" t="s">
        <v>41</v>
      </c>
      <c r="D1" s="23" t="s">
        <v>39</v>
      </c>
      <c r="E1" s="22" t="s">
        <v>38</v>
      </c>
      <c r="G1" s="24" t="s">
        <v>136</v>
      </c>
      <c r="H1" s="23" t="s">
        <v>135</v>
      </c>
      <c r="I1" s="23" t="s">
        <v>35</v>
      </c>
      <c r="J1" s="23" t="s">
        <v>33</v>
      </c>
      <c r="K1" s="22" t="s">
        <v>32</v>
      </c>
    </row>
    <row r="2" spans="1:15" x14ac:dyDescent="0.35">
      <c r="A2" s="14" t="s">
        <v>31</v>
      </c>
      <c r="B2" s="17">
        <f>B6*0.6/1.94</f>
        <v>0.15712329896907218</v>
      </c>
      <c r="C2" s="17">
        <v>0.157</v>
      </c>
      <c r="D2">
        <v>0</v>
      </c>
      <c r="E2" s="15">
        <v>0</v>
      </c>
      <c r="G2" s="14" t="s">
        <v>31</v>
      </c>
      <c r="H2" s="13" t="s">
        <v>129</v>
      </c>
      <c r="I2" s="13" t="s">
        <v>96</v>
      </c>
      <c r="J2" s="13"/>
      <c r="K2" s="11"/>
    </row>
    <row r="3" spans="1:15" x14ac:dyDescent="0.35">
      <c r="A3" s="14" t="s">
        <v>29</v>
      </c>
      <c r="B3" s="17">
        <f>B6*1.66/1.94</f>
        <v>0.43470779381443303</v>
      </c>
      <c r="E3" s="15"/>
      <c r="G3" s="14" t="s">
        <v>29</v>
      </c>
      <c r="H3" s="13" t="s">
        <v>129</v>
      </c>
      <c r="I3" s="13"/>
      <c r="J3" s="13"/>
      <c r="K3" s="11"/>
    </row>
    <row r="4" spans="1:15" x14ac:dyDescent="0.35">
      <c r="A4" s="14" t="s">
        <v>28</v>
      </c>
      <c r="B4" s="17">
        <f>7.2/10*B6</f>
        <v>0.36578304</v>
      </c>
      <c r="C4" s="17">
        <f>92/83*C2</f>
        <v>0.17402409638554217</v>
      </c>
      <c r="D4">
        <f>$D$6</f>
        <v>0.16</v>
      </c>
      <c r="E4" s="38">
        <f>184/206*E5</f>
        <v>8.7533980582524276</v>
      </c>
      <c r="G4" s="14" t="s">
        <v>28</v>
      </c>
      <c r="H4" s="13" t="s">
        <v>134</v>
      </c>
      <c r="I4" s="13" t="s">
        <v>96</v>
      </c>
      <c r="J4" s="13" t="s">
        <v>0</v>
      </c>
      <c r="K4" s="11" t="s">
        <v>96</v>
      </c>
    </row>
    <row r="5" spans="1:15" x14ac:dyDescent="0.35">
      <c r="A5" s="14" t="s">
        <v>27</v>
      </c>
      <c r="D5">
        <f>$D$6</f>
        <v>0.16</v>
      </c>
      <c r="E5" s="15">
        <v>9.8000000000000007</v>
      </c>
      <c r="G5" s="14" t="s">
        <v>27</v>
      </c>
      <c r="H5" s="13"/>
      <c r="I5" s="13"/>
      <c r="J5" s="13" t="s">
        <v>0</v>
      </c>
      <c r="K5" s="11" t="s">
        <v>133</v>
      </c>
    </row>
    <row r="6" spans="1:15" x14ac:dyDescent="0.35">
      <c r="A6" s="14" t="s">
        <v>26</v>
      </c>
      <c r="B6" s="17">
        <f>36/100/25*$D$26</f>
        <v>0.50803200000000004</v>
      </c>
      <c r="C6">
        <v>0.30599999999999999</v>
      </c>
      <c r="D6">
        <f>4/1000*D25</f>
        <v>0.16</v>
      </c>
      <c r="E6" s="15"/>
      <c r="G6" s="14" t="s">
        <v>26</v>
      </c>
      <c r="H6" s="13" t="s">
        <v>132</v>
      </c>
      <c r="I6" s="13" t="s">
        <v>131</v>
      </c>
      <c r="J6" s="13" t="s">
        <v>130</v>
      </c>
      <c r="K6" s="11"/>
    </row>
    <row r="7" spans="1:15" ht="15" thickBot="1" x14ac:dyDescent="0.4">
      <c r="A7" s="6" t="s">
        <v>24</v>
      </c>
      <c r="B7" s="37">
        <f>2.17/1.94*B6</f>
        <v>0.56826259793814438</v>
      </c>
      <c r="C7" s="9"/>
      <c r="D7" s="9"/>
      <c r="E7" s="7"/>
      <c r="G7" s="6" t="s">
        <v>24</v>
      </c>
      <c r="H7" s="5" t="s">
        <v>129</v>
      </c>
      <c r="I7" s="5"/>
      <c r="J7" s="5"/>
      <c r="K7" s="3"/>
    </row>
    <row r="9" spans="1:15" x14ac:dyDescent="0.35">
      <c r="A9" s="2" t="s">
        <v>23</v>
      </c>
      <c r="B9" t="s">
        <v>128</v>
      </c>
    </row>
    <row r="10" spans="1:15" x14ac:dyDescent="0.35">
      <c r="A10" s="2"/>
    </row>
    <row r="11" spans="1:15" x14ac:dyDescent="0.35">
      <c r="C11" t="s">
        <v>49</v>
      </c>
      <c r="D11" t="s">
        <v>64</v>
      </c>
      <c r="E11" t="s">
        <v>47</v>
      </c>
      <c r="F11" t="s">
        <v>48</v>
      </c>
      <c r="G11" t="s">
        <v>50</v>
      </c>
      <c r="H11" t="s">
        <v>51</v>
      </c>
      <c r="I11" t="s">
        <v>127</v>
      </c>
      <c r="J11" t="s">
        <v>52</v>
      </c>
      <c r="K11" t="s">
        <v>54</v>
      </c>
      <c r="L11" t="s">
        <v>57</v>
      </c>
      <c r="M11" t="s">
        <v>63</v>
      </c>
      <c r="N11" t="s">
        <v>126</v>
      </c>
      <c r="O11" t="s">
        <v>125</v>
      </c>
    </row>
    <row r="12" spans="1:15" x14ac:dyDescent="0.35">
      <c r="A12" s="2" t="s">
        <v>1</v>
      </c>
      <c r="B12" t="s">
        <v>2</v>
      </c>
      <c r="C12" t="s">
        <v>124</v>
      </c>
      <c r="D12" t="s">
        <v>123</v>
      </c>
      <c r="E12" t="s">
        <v>122</v>
      </c>
      <c r="F12" t="s">
        <v>121</v>
      </c>
      <c r="G12" s="1" t="s">
        <v>5</v>
      </c>
      <c r="H12" t="s">
        <v>53</v>
      </c>
      <c r="I12" t="s">
        <v>120</v>
      </c>
      <c r="J12" t="s">
        <v>119</v>
      </c>
      <c r="O12" t="s">
        <v>118</v>
      </c>
    </row>
    <row r="13" spans="1:15" x14ac:dyDescent="0.35">
      <c r="A13" s="2"/>
      <c r="C13" t="s">
        <v>117</v>
      </c>
      <c r="D13">
        <v>1.1499999999999999</v>
      </c>
    </row>
    <row r="14" spans="1:15" x14ac:dyDescent="0.35">
      <c r="A14" s="2"/>
      <c r="C14" t="s">
        <v>116</v>
      </c>
      <c r="D14">
        <v>0.35</v>
      </c>
    </row>
    <row r="15" spans="1:15" x14ac:dyDescent="0.35">
      <c r="A15" s="2"/>
      <c r="C15" t="s">
        <v>115</v>
      </c>
      <c r="D15">
        <v>9.8000000000000007</v>
      </c>
    </row>
    <row r="16" spans="1:15" x14ac:dyDescent="0.35">
      <c r="A16" s="2"/>
      <c r="B16" t="s">
        <v>3</v>
      </c>
      <c r="C16" t="s">
        <v>114</v>
      </c>
      <c r="E16" t="s">
        <v>113</v>
      </c>
      <c r="F16" t="s">
        <v>112</v>
      </c>
      <c r="G16" s="1" t="s">
        <v>111</v>
      </c>
      <c r="H16" t="s">
        <v>53</v>
      </c>
      <c r="J16">
        <v>2011</v>
      </c>
      <c r="K16" t="s">
        <v>110</v>
      </c>
      <c r="M16" t="s">
        <v>109</v>
      </c>
      <c r="N16" t="s">
        <v>108</v>
      </c>
    </row>
    <row r="17" spans="1:13" x14ac:dyDescent="0.35">
      <c r="A17" s="2"/>
      <c r="B17" t="s">
        <v>4</v>
      </c>
      <c r="C17" t="s">
        <v>107</v>
      </c>
      <c r="D17" t="s">
        <v>106</v>
      </c>
      <c r="F17" t="s">
        <v>105</v>
      </c>
      <c r="G17" s="1" t="s">
        <v>104</v>
      </c>
      <c r="H17" t="s">
        <v>53</v>
      </c>
      <c r="J17">
        <v>2013</v>
      </c>
      <c r="L17" t="s">
        <v>103</v>
      </c>
      <c r="M17" t="s">
        <v>102</v>
      </c>
    </row>
    <row r="18" spans="1:13" x14ac:dyDescent="0.35">
      <c r="A18" s="2"/>
      <c r="B18" t="s">
        <v>17</v>
      </c>
      <c r="C18" t="s">
        <v>101</v>
      </c>
      <c r="D18" t="s">
        <v>100</v>
      </c>
      <c r="E18" t="s">
        <v>99</v>
      </c>
      <c r="F18" t="s">
        <v>98</v>
      </c>
      <c r="G18" s="1" t="s">
        <v>97</v>
      </c>
      <c r="H18" t="s">
        <v>53</v>
      </c>
    </row>
    <row r="19" spans="1:13" x14ac:dyDescent="0.35">
      <c r="A19" s="2"/>
      <c r="B19" t="s">
        <v>96</v>
      </c>
      <c r="E19" t="s">
        <v>56</v>
      </c>
      <c r="F19" t="s">
        <v>71</v>
      </c>
      <c r="G19" s="1" t="s">
        <v>22</v>
      </c>
      <c r="H19" t="s">
        <v>53</v>
      </c>
      <c r="J19">
        <v>2016</v>
      </c>
      <c r="K19" t="s">
        <v>55</v>
      </c>
      <c r="L19" t="s">
        <v>58</v>
      </c>
      <c r="M19" t="s">
        <v>95</v>
      </c>
    </row>
    <row r="20" spans="1:13" x14ac:dyDescent="0.35">
      <c r="A20" s="2"/>
    </row>
    <row r="21" spans="1:13" x14ac:dyDescent="0.35">
      <c r="A21" s="2"/>
    </row>
    <row r="22" spans="1:13" x14ac:dyDescent="0.35">
      <c r="A22" s="2" t="s">
        <v>13</v>
      </c>
      <c r="B22" t="s">
        <v>0</v>
      </c>
      <c r="C22" t="s">
        <v>94</v>
      </c>
    </row>
    <row r="23" spans="1:13" x14ac:dyDescent="0.35">
      <c r="A23" s="2"/>
      <c r="B23" t="s">
        <v>93</v>
      </c>
      <c r="C23" t="s">
        <v>92</v>
      </c>
    </row>
    <row r="24" spans="1:13" x14ac:dyDescent="0.35">
      <c r="A24" s="2"/>
    </row>
    <row r="25" spans="1:13" x14ac:dyDescent="0.35">
      <c r="A25" s="2" t="s">
        <v>11</v>
      </c>
      <c r="B25" t="s">
        <v>10</v>
      </c>
      <c r="C25" t="s">
        <v>91</v>
      </c>
      <c r="D25">
        <v>40</v>
      </c>
      <c r="F25" s="1" t="s">
        <v>90</v>
      </c>
    </row>
    <row r="26" spans="1:13" x14ac:dyDescent="0.35">
      <c r="A26" s="2"/>
      <c r="B26" t="s">
        <v>89</v>
      </c>
      <c r="C26" t="s">
        <v>9</v>
      </c>
      <c r="D26">
        <f>9.8*3600/1000</f>
        <v>35.28</v>
      </c>
      <c r="F26" s="1" t="s">
        <v>8</v>
      </c>
    </row>
    <row r="27" spans="1:13" x14ac:dyDescent="0.35">
      <c r="A27" s="2"/>
    </row>
    <row r="28" spans="1:13" x14ac:dyDescent="0.35">
      <c r="A28" s="2"/>
    </row>
    <row r="29" spans="1:13" x14ac:dyDescent="0.35">
      <c r="A29" s="2" t="s">
        <v>7</v>
      </c>
      <c r="B29" t="s">
        <v>6</v>
      </c>
      <c r="C29" t="s">
        <v>88</v>
      </c>
      <c r="F29" s="1" t="s">
        <v>87</v>
      </c>
      <c r="M29" t="s">
        <v>86</v>
      </c>
    </row>
    <row r="30" spans="1:13" x14ac:dyDescent="0.35">
      <c r="B30" t="s">
        <v>85</v>
      </c>
      <c r="C30" t="s">
        <v>84</v>
      </c>
      <c r="D30">
        <f>1.8/100*$D$26</f>
        <v>0.63504000000000005</v>
      </c>
      <c r="F30" s="1" t="s">
        <v>83</v>
      </c>
    </row>
    <row r="36" spans="6:6" x14ac:dyDescent="0.35">
      <c r="F36" s="1"/>
    </row>
  </sheetData>
  <hyperlinks>
    <hyperlink ref="G12" r:id="rId1" xr:uid="{B9F07C49-3CB9-4487-AF0B-F3FA1A018604}"/>
    <hyperlink ref="G16" r:id="rId2" xr:uid="{28695F78-0B94-4F32-B60D-E32DF226734E}"/>
    <hyperlink ref="G17" r:id="rId3" xr:uid="{8FB60340-6EDF-4961-811F-6D08F47EA728}"/>
    <hyperlink ref="G18" r:id="rId4" xr:uid="{B7934390-95A7-4A15-AAFD-FD9711AF8D36}"/>
    <hyperlink ref="F25" r:id="rId5" xr:uid="{BE888BAE-E209-479A-9AD0-A446A72290BB}"/>
    <hyperlink ref="F26" r:id="rId6" xr:uid="{DFE16B17-E6F0-46DE-A3EB-D296D2AB4158}"/>
    <hyperlink ref="F29" r:id="rId7" xr:uid="{102487F8-087B-4AF1-909E-4C3880263781}"/>
    <hyperlink ref="F30" r:id="rId8" xr:uid="{EEE5AC40-E1F0-4FD9-B0AE-9858145BED40}"/>
    <hyperlink ref="G19" r:id="rId9" xr:uid="{F1BB0290-AF90-4CB8-9E96-BA0A3357162B}"/>
  </hyperlinks>
  <pageMargins left="0.7" right="0.7" top="0.78740157499999996" bottom="0.78740157499999996" header="0.3" footer="0.3"/>
  <pageSetup paperSize="9" orientation="portrait" r:id="rId1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E7535-0E31-4150-A679-BD2610393B71}">
  <dimension ref="A1:O14"/>
  <sheetViews>
    <sheetView workbookViewId="0">
      <selection activeCell="J28" sqref="J28"/>
    </sheetView>
  </sheetViews>
  <sheetFormatPr baseColWidth="10" defaultRowHeight="14.5" x14ac:dyDescent="0.35"/>
  <sheetData>
    <row r="1" spans="1:15" x14ac:dyDescent="0.35">
      <c r="A1" s="2" t="s">
        <v>23</v>
      </c>
      <c r="B1" t="s">
        <v>46</v>
      </c>
    </row>
    <row r="2" spans="1:15" x14ac:dyDescent="0.35">
      <c r="A2" s="2"/>
      <c r="C2" t="s">
        <v>49</v>
      </c>
      <c r="D2" t="s">
        <v>64</v>
      </c>
      <c r="E2" t="s">
        <v>47</v>
      </c>
      <c r="F2" t="s">
        <v>48</v>
      </c>
      <c r="G2" t="s">
        <v>50</v>
      </c>
      <c r="H2" t="s">
        <v>51</v>
      </c>
      <c r="I2" t="s">
        <v>52</v>
      </c>
      <c r="J2" t="s">
        <v>54</v>
      </c>
      <c r="K2" t="s">
        <v>57</v>
      </c>
      <c r="L2" t="s">
        <v>63</v>
      </c>
    </row>
    <row r="3" spans="1:15" x14ac:dyDescent="0.35">
      <c r="A3" s="2" t="s">
        <v>1</v>
      </c>
      <c r="B3" t="s">
        <v>2</v>
      </c>
      <c r="E3" t="s">
        <v>56</v>
      </c>
      <c r="F3" t="s">
        <v>71</v>
      </c>
      <c r="G3" s="1" t="s">
        <v>22</v>
      </c>
      <c r="H3" t="s">
        <v>53</v>
      </c>
      <c r="I3">
        <v>2016</v>
      </c>
      <c r="J3" t="s">
        <v>55</v>
      </c>
      <c r="K3" t="s">
        <v>58</v>
      </c>
    </row>
    <row r="4" spans="1:15" x14ac:dyDescent="0.35">
      <c r="A4" s="2"/>
      <c r="B4" t="s">
        <v>3</v>
      </c>
      <c r="C4" t="s">
        <v>21</v>
      </c>
      <c r="F4" t="s">
        <v>59</v>
      </c>
      <c r="G4" s="1" t="s">
        <v>20</v>
      </c>
      <c r="H4" t="s">
        <v>53</v>
      </c>
      <c r="I4">
        <v>2009</v>
      </c>
      <c r="J4" t="s">
        <v>61</v>
      </c>
      <c r="K4" t="s">
        <v>60</v>
      </c>
    </row>
    <row r="5" spans="1:15" x14ac:dyDescent="0.35">
      <c r="A5" s="2"/>
      <c r="B5" t="s">
        <v>4</v>
      </c>
      <c r="C5" t="s">
        <v>19</v>
      </c>
      <c r="D5">
        <f>(70+99)/2</f>
        <v>84.5</v>
      </c>
      <c r="F5" t="s">
        <v>62</v>
      </c>
      <c r="G5" s="1" t="s">
        <v>18</v>
      </c>
      <c r="H5" t="s">
        <v>53</v>
      </c>
      <c r="I5" t="s">
        <v>65</v>
      </c>
    </row>
    <row r="6" spans="1:15" x14ac:dyDescent="0.35">
      <c r="A6" s="2"/>
      <c r="B6" t="s">
        <v>17</v>
      </c>
      <c r="C6" t="s">
        <v>16</v>
      </c>
      <c r="D6">
        <v>0.23</v>
      </c>
      <c r="E6" t="s">
        <v>67</v>
      </c>
      <c r="F6" t="s">
        <v>68</v>
      </c>
      <c r="G6" s="1" t="s">
        <v>14</v>
      </c>
      <c r="H6" t="s">
        <v>53</v>
      </c>
      <c r="I6">
        <v>2017</v>
      </c>
      <c r="J6" t="s">
        <v>70</v>
      </c>
      <c r="K6" t="s">
        <v>69</v>
      </c>
      <c r="L6" t="s">
        <v>66</v>
      </c>
    </row>
    <row r="7" spans="1:15" x14ac:dyDescent="0.35">
      <c r="A7" s="2"/>
      <c r="C7" t="s">
        <v>15</v>
      </c>
      <c r="D7">
        <v>1.4</v>
      </c>
    </row>
    <row r="8" spans="1:15" x14ac:dyDescent="0.35">
      <c r="A8" s="2"/>
    </row>
    <row r="9" spans="1:15" x14ac:dyDescent="0.35">
      <c r="A9" s="2"/>
      <c r="K9" s="1"/>
    </row>
    <row r="10" spans="1:15" x14ac:dyDescent="0.35">
      <c r="A10" s="2" t="s">
        <v>13</v>
      </c>
      <c r="B10" t="s">
        <v>0</v>
      </c>
      <c r="C10" t="s">
        <v>12</v>
      </c>
    </row>
    <row r="11" spans="1:15" x14ac:dyDescent="0.35">
      <c r="A11" s="2"/>
      <c r="O11" s="1"/>
    </row>
    <row r="12" spans="1:15" x14ac:dyDescent="0.35">
      <c r="A12" s="2" t="s">
        <v>11</v>
      </c>
      <c r="B12" t="s">
        <v>10</v>
      </c>
      <c r="C12" t="s">
        <v>9</v>
      </c>
      <c r="D12">
        <f>9.8*3600/1000</f>
        <v>35.28</v>
      </c>
      <c r="G12" s="1" t="s">
        <v>8</v>
      </c>
    </row>
    <row r="13" spans="1:15" x14ac:dyDescent="0.35">
      <c r="A13" s="2"/>
    </row>
    <row r="14" spans="1:15" x14ac:dyDescent="0.35">
      <c r="A14" s="2" t="s">
        <v>7</v>
      </c>
      <c r="B14" t="s">
        <v>6</v>
      </c>
      <c r="G14" s="1" t="s">
        <v>5</v>
      </c>
    </row>
  </sheetData>
  <hyperlinks>
    <hyperlink ref="G14" r:id="rId1" xr:uid="{3A6A30C7-3D75-4D72-8BF3-498E130A21CB}"/>
    <hyperlink ref="G12" r:id="rId2" xr:uid="{D2452B70-8D01-47EE-8D8A-27EBF5A5700A}"/>
    <hyperlink ref="G5" r:id="rId3" xr:uid="{81C0D36A-EA77-414A-9A27-071C6C658E71}"/>
    <hyperlink ref="G4" r:id="rId4" xr:uid="{9988327B-9A7A-4F62-A3B8-1FDED2F2F4FE}"/>
    <hyperlink ref="G3" r:id="rId5" xr:uid="{8E5181F1-E5EC-4144-9A36-BA7D1EB35028}"/>
    <hyperlink ref="G6" r:id="rId6" xr:uid="{5234633C-E264-4152-B789-D4C974729D82}"/>
  </hyperlinks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</vt:i4>
      </vt:variant>
    </vt:vector>
  </HeadingPairs>
  <TitlesOfParts>
    <vt:vector size="7" baseType="lpstr">
      <vt:lpstr>PERSON_EARTH_CAR</vt:lpstr>
      <vt:lpstr>PERSON_EARTH_BUS</vt:lpstr>
      <vt:lpstr>PERSON_EARTH_RAIL</vt:lpstr>
      <vt:lpstr>PERSON_AIR</vt:lpstr>
      <vt:lpstr>PERSON (4)</vt:lpstr>
      <vt:lpstr>FREIGHT (4)</vt:lpstr>
      <vt:lpstr>Info</vt:lpstr>
    </vt:vector>
  </TitlesOfParts>
  <Company>Leibniz-Rechenzentrum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Breuning, Larissa</dc:creator>
  <cp:lastModifiedBy>Kerekes, Andelka</cp:lastModifiedBy>
  <dcterms:created xsi:type="dcterms:W3CDTF">2021-01-05T12:57:24Z</dcterms:created>
  <dcterms:modified xsi:type="dcterms:W3CDTF">2025-01-08T14:59:33Z</dcterms:modified>
</cp:coreProperties>
</file>