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filterPrivacy="1" defaultThemeVersion="124226"/>
  <xr:revisionPtr revIDLastSave="0" documentId="13_ncr:1_{77B3D9ED-2C93-1941-8773-0659116CCFD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Valuation" sheetId="1" r:id="rId1"/>
    <sheet name="WACC" sheetId="2" r:id="rId2"/>
    <sheet name="Beta" sheetId="6" r:id="rId3"/>
    <sheet name="ERP" sheetId="8" r:id="rId4"/>
    <sheet name="Backup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M19" i="8"/>
  <c r="B59" i="1"/>
  <c r="Q8" i="1"/>
  <c r="P7" i="1"/>
  <c r="Q9" i="1" l="1"/>
  <c r="M11" i="8"/>
  <c r="M12" i="8"/>
  <c r="M13" i="8"/>
  <c r="M14" i="8"/>
  <c r="M15" i="8"/>
  <c r="L16" i="8"/>
  <c r="M10" i="8" s="1"/>
  <c r="C42" i="1"/>
  <c r="D42" i="1"/>
  <c r="E42" i="1"/>
  <c r="F42" i="1"/>
  <c r="G42" i="1"/>
  <c r="B10" i="6"/>
  <c r="C10" i="6"/>
  <c r="D10" i="6"/>
  <c r="B9" i="6"/>
  <c r="C9" i="6"/>
  <c r="D9" i="6"/>
  <c r="B8" i="6"/>
  <c r="C8" i="6"/>
  <c r="D8" i="6"/>
  <c r="B7" i="6"/>
  <c r="C7" i="6"/>
  <c r="D7" i="6"/>
  <c r="B6" i="6"/>
  <c r="C6" i="6"/>
  <c r="D6" i="6"/>
  <c r="B5" i="6"/>
  <c r="C5" i="6"/>
  <c r="D5" i="6"/>
  <c r="B4" i="6"/>
  <c r="C4" i="6"/>
  <c r="D4" i="6"/>
  <c r="M16" i="8" l="1"/>
  <c r="H33" i="1"/>
  <c r="C35" i="1"/>
  <c r="D35" i="1"/>
  <c r="E35" i="1"/>
  <c r="F35" i="1"/>
  <c r="G35" i="1"/>
  <c r="B8" i="2"/>
  <c r="C14" i="6"/>
  <c r="D14" i="6"/>
  <c r="G25" i="1"/>
  <c r="C23" i="1"/>
  <c r="D23" i="1"/>
  <c r="E23" i="1"/>
  <c r="C8" i="1"/>
  <c r="D8" i="1"/>
  <c r="E8" i="1"/>
  <c r="C6" i="1"/>
  <c r="L4" i="8"/>
  <c r="L6" i="8" s="1"/>
  <c r="L7" i="8" s="1"/>
  <c r="N10" i="8" s="1"/>
  <c r="N15" i="8" s="1"/>
  <c r="E10" i="6"/>
  <c r="G10" i="6" s="1"/>
  <c r="E8" i="6"/>
  <c r="E7" i="6"/>
  <c r="G7" i="6" s="1"/>
  <c r="E5" i="6"/>
  <c r="G5" i="6" s="1"/>
  <c r="B22" i="2"/>
  <c r="B5" i="2"/>
  <c r="B23" i="2" s="1"/>
  <c r="F12" i="6"/>
  <c r="F11" i="6"/>
  <c r="E6" i="6"/>
  <c r="E9" i="6"/>
  <c r="G9" i="6" s="1"/>
  <c r="E4" i="6"/>
  <c r="G4" i="6" s="1"/>
  <c r="B11" i="2" l="1"/>
  <c r="N16" i="8"/>
  <c r="B13" i="2" s="1"/>
  <c r="E14" i="6"/>
  <c r="B26" i="2" s="1"/>
  <c r="B58" i="1" s="1"/>
  <c r="G6" i="6"/>
  <c r="G8" i="6"/>
  <c r="C43" i="1"/>
  <c r="C44" i="1" s="1"/>
  <c r="D43" i="1"/>
  <c r="E43" i="1"/>
  <c r="F43" i="1"/>
  <c r="G43" i="1"/>
  <c r="G44" i="1" s="1"/>
  <c r="C36" i="1"/>
  <c r="D36" i="1"/>
  <c r="D19" i="1"/>
  <c r="D20" i="1" s="1"/>
  <c r="D28" i="1" s="1"/>
  <c r="D30" i="1" s="1"/>
  <c r="E19" i="1"/>
  <c r="E20" i="1" s="1"/>
  <c r="E28" i="1" s="1"/>
  <c r="E30" i="1" s="1"/>
  <c r="F19" i="1"/>
  <c r="F20" i="1" s="1"/>
  <c r="F28" i="1" s="1"/>
  <c r="F30" i="1" s="1"/>
  <c r="G19" i="1"/>
  <c r="G20" i="1" s="1"/>
  <c r="G28" i="1" s="1"/>
  <c r="G30" i="1" s="1"/>
  <c r="B19" i="2" s="1"/>
  <c r="C19" i="1"/>
  <c r="C20" i="1" s="1"/>
  <c r="C30" i="1" s="1"/>
  <c r="C38" i="1"/>
  <c r="D38" i="1"/>
  <c r="D6" i="1"/>
  <c r="E6" i="1"/>
  <c r="F31" i="1" l="1"/>
  <c r="F22" i="1"/>
  <c r="C22" i="1"/>
  <c r="D22" i="1"/>
  <c r="E22" i="1"/>
  <c r="G22" i="1"/>
  <c r="G39" i="1"/>
  <c r="F39" i="1"/>
  <c r="E39" i="1"/>
  <c r="G11" i="6"/>
  <c r="I11" i="6" s="1"/>
  <c r="G12" i="6"/>
  <c r="I12" i="6" s="1"/>
  <c r="D39" i="1"/>
  <c r="D44" i="1"/>
  <c r="E44" i="1"/>
  <c r="F44" i="1"/>
  <c r="D29" i="1"/>
  <c r="G29" i="1"/>
  <c r="E29" i="1" l="1"/>
  <c r="F29" i="1"/>
  <c r="D24" i="1"/>
  <c r="F24" i="1"/>
  <c r="D31" i="1"/>
  <c r="G24" i="1"/>
  <c r="E31" i="1"/>
  <c r="E24" i="1"/>
  <c r="C24" i="1"/>
  <c r="G31" i="1"/>
  <c r="C31" i="1"/>
  <c r="E36" i="1"/>
  <c r="F36" i="1"/>
  <c r="G36" i="1"/>
  <c r="E38" i="1"/>
  <c r="F38" i="1"/>
  <c r="G38" i="1"/>
  <c r="F6" i="1"/>
  <c r="G6" i="1"/>
  <c r="B15" i="2"/>
  <c r="B62" i="1"/>
  <c r="P6" i="1" l="1"/>
  <c r="P9" i="1" s="1"/>
  <c r="H6" i="1" s="1"/>
  <c r="H29" i="1"/>
  <c r="I29" i="1" s="1"/>
  <c r="J29" i="1" s="1"/>
  <c r="K29" i="1" s="1"/>
  <c r="L29" i="1" s="1"/>
  <c r="G26" i="1"/>
  <c r="G33" i="1"/>
  <c r="G34" i="1" s="1"/>
  <c r="E26" i="1"/>
  <c r="E33" i="1"/>
  <c r="E34" i="1" s="1"/>
  <c r="D26" i="1"/>
  <c r="D33" i="1"/>
  <c r="D34" i="1" s="1"/>
  <c r="F26" i="1"/>
  <c r="F33" i="1"/>
  <c r="F34" i="1" s="1"/>
  <c r="C26" i="1"/>
  <c r="C33" i="1"/>
  <c r="C34" i="1" s="1"/>
  <c r="B14" i="6"/>
  <c r="G14" i="6" s="1"/>
  <c r="F14" i="6" s="1"/>
  <c r="B12" i="2" s="1"/>
  <c r="I6" i="1"/>
  <c r="J6" i="1" s="1"/>
  <c r="K6" i="1" s="1"/>
  <c r="L6" i="1" s="1"/>
  <c r="H31" i="1"/>
  <c r="I31" i="1" s="1"/>
  <c r="J31" i="1" s="1"/>
  <c r="K31" i="1" s="1"/>
  <c r="L31" i="1" s="1"/>
  <c r="H38" i="1"/>
  <c r="I38" i="1" s="1"/>
  <c r="J38" i="1" s="1"/>
  <c r="K38" i="1" s="1"/>
  <c r="L38" i="1" s="1"/>
  <c r="H36" i="1"/>
  <c r="I36" i="1" s="1"/>
  <c r="J36" i="1" s="1"/>
  <c r="K36" i="1" s="1"/>
  <c r="L36" i="1" s="1"/>
  <c r="H44" i="1"/>
  <c r="B14" i="2" l="1"/>
  <c r="I33" i="1"/>
  <c r="J33" i="1" s="1"/>
  <c r="K33" i="1" s="1"/>
  <c r="L33" i="1" s="1"/>
  <c r="H5" i="1"/>
  <c r="H35" i="1" s="1"/>
  <c r="B25" i="2"/>
  <c r="L44" i="1"/>
  <c r="K44" i="1"/>
  <c r="J44" i="1"/>
  <c r="I44" i="1"/>
  <c r="H37" i="1" l="1"/>
  <c r="H28" i="1"/>
  <c r="H43" i="1"/>
  <c r="H39" i="1" s="1"/>
  <c r="H30" i="1"/>
  <c r="H34" i="1" s="1"/>
  <c r="I5" i="1"/>
  <c r="I43" i="1" s="1"/>
  <c r="I35" i="1" l="1"/>
  <c r="J5" i="1"/>
  <c r="J43" i="1" s="1"/>
  <c r="J39" i="1" s="1"/>
  <c r="I37" i="1"/>
  <c r="I28" i="1"/>
  <c r="I30" i="1"/>
  <c r="I34" i="1" s="1"/>
  <c r="I39" i="1"/>
  <c r="H45" i="1"/>
  <c r="B28" i="2"/>
  <c r="J35" i="1" l="1"/>
  <c r="J28" i="1"/>
  <c r="J30" i="1"/>
  <c r="J34" i="1" s="1"/>
  <c r="J37" i="1"/>
  <c r="K5" i="1"/>
  <c r="K43" i="1" s="1"/>
  <c r="K39" i="1" s="1"/>
  <c r="I45" i="1"/>
  <c r="J47" i="1"/>
  <c r="J48" i="1" s="1"/>
  <c r="I47" i="1"/>
  <c r="I48" i="1" s="1"/>
  <c r="K47" i="1"/>
  <c r="K48" i="1" s="1"/>
  <c r="L47" i="1"/>
  <c r="L48" i="1" s="1"/>
  <c r="M47" i="1"/>
  <c r="H47" i="1"/>
  <c r="K28" i="1"/>
  <c r="L5" i="1"/>
  <c r="L43" i="1" s="1"/>
  <c r="L39" i="1" s="1"/>
  <c r="K35" i="1"/>
  <c r="K37" i="1"/>
  <c r="J45" i="1" l="1"/>
  <c r="K30" i="1"/>
  <c r="K34" i="1" s="1"/>
  <c r="K45" i="1" s="1"/>
  <c r="H48" i="1"/>
  <c r="H49" i="1" s="1"/>
  <c r="L35" i="1"/>
  <c r="L28" i="1"/>
  <c r="L30" i="1"/>
  <c r="L34" i="1" s="1"/>
  <c r="L37" i="1"/>
  <c r="B53" i="1"/>
  <c r="L45" i="1" l="1"/>
  <c r="I49" i="1"/>
  <c r="M45" i="1" l="1"/>
  <c r="B52" i="1" s="1"/>
  <c r="B54" i="1" s="1"/>
  <c r="J49" i="1"/>
  <c r="K49" i="1" l="1"/>
  <c r="L49" i="1" l="1"/>
  <c r="B56" i="1" s="1"/>
  <c r="B55" i="1"/>
  <c r="B57" i="1" l="1"/>
  <c r="B61" i="1" l="1"/>
  <c r="B6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https://www.statista.com/outlook/mmo/passenger-cars/india#revenue</t>
        </r>
      </text>
    </comment>
    <comment ref="P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Range of 3.9% - 6.8%
https://simplywall.st/stocks/in/automobiles/nse-tatamotors/tata-motors-shares/future#:~:text=Tata%20Motors%20Future%20Growth&amp;text=Tata%20Motors%20is%20forecast%20to,be%2020.5%25%20in%203%20years.
https://trendlyne.com/equity/consensus-estimates/1362/TATAMOTORS/tata-motors-ltd/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https://in.investing.com/rates-bonds/india-10-year-bond-yield-historical-data</t>
        </r>
      </text>
    </comment>
    <comment ref="B4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https://pages.stern.nyu.edu/~adamodar/New_Home_Page/datafile/ctryprem.html</t>
        </r>
      </text>
    </comment>
    <comment ref="B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Diluted shared</t>
        </r>
      </text>
    </comment>
    <comment ref="B2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To be added only in case synthetic ratings are used, not to be added if the company is already rated from one or more of Moody's, S&amp;P Global and Fitch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https://pages.stern.nyu.edu/~adamodar/New_Home_Page/datafile/ctryprem.html</t>
        </r>
      </text>
    </comment>
    <comment ref="N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https://pages.stern.nyu.edu/~adamodar/New_Home_Page/datafile/ctryprem.html</t>
        </r>
      </text>
    </comment>
  </commentList>
</comments>
</file>

<file path=xl/sharedStrings.xml><?xml version="1.0" encoding="utf-8"?>
<sst xmlns="http://schemas.openxmlformats.org/spreadsheetml/2006/main" count="153" uniqueCount="146">
  <si>
    <t>Terminal year</t>
  </si>
  <si>
    <t>Revenue growth rate</t>
  </si>
  <si>
    <t>Revenues</t>
  </si>
  <si>
    <t>EBIT</t>
  </si>
  <si>
    <t>Tax rate</t>
  </si>
  <si>
    <t>FCFF</t>
  </si>
  <si>
    <t>Risk free rate</t>
  </si>
  <si>
    <t>Beta</t>
  </si>
  <si>
    <t>ERP</t>
  </si>
  <si>
    <t>Cost of Equity</t>
  </si>
  <si>
    <t>Interest coverage ratio</t>
  </si>
  <si>
    <t>Estimated bond rating</t>
  </si>
  <si>
    <t>Estimated company default spread</t>
  </si>
  <si>
    <t>Pre-tax Cost of Debt</t>
  </si>
  <si>
    <t>After-tax Cost of Debt</t>
  </si>
  <si>
    <t>Equity</t>
  </si>
  <si>
    <t>Debt</t>
  </si>
  <si>
    <t>Market Value of Equity</t>
  </si>
  <si>
    <t>WACC</t>
  </si>
  <si>
    <t>Cost of Capital</t>
  </si>
  <si>
    <t>PV (FCFF)</t>
  </si>
  <si>
    <t>Terminal cash flow</t>
  </si>
  <si>
    <t>Terminal cost of capital</t>
  </si>
  <si>
    <t>Terminal value</t>
  </si>
  <si>
    <t>PV (Terminal value)</t>
  </si>
  <si>
    <t>Value of Operating Assets</t>
  </si>
  <si>
    <t xml:space="preserve"> - Debt</t>
  </si>
  <si>
    <t xml:space="preserve"> - Minority Interests</t>
  </si>
  <si>
    <t xml:space="preserve"> + Cash</t>
  </si>
  <si>
    <t>Value of Equity</t>
  </si>
  <si>
    <t>Number of shares</t>
  </si>
  <si>
    <t>Estimated value per share</t>
  </si>
  <si>
    <r>
      <t xml:space="preserve"> + </t>
    </r>
    <r>
      <rPr>
        <i/>
        <sz val="10"/>
        <color theme="1"/>
        <rFont val="Arial"/>
        <family val="2"/>
      </rPr>
      <t>Depreciation</t>
    </r>
  </si>
  <si>
    <r>
      <t xml:space="preserve"> - </t>
    </r>
    <r>
      <rPr>
        <i/>
        <sz val="10"/>
        <color theme="1"/>
        <rFont val="Arial"/>
        <family val="2"/>
      </rPr>
      <t>Capex</t>
    </r>
  </si>
  <si>
    <r>
      <t xml:space="preserve"> - </t>
    </r>
    <r>
      <rPr>
        <i/>
        <sz val="10"/>
        <color theme="1"/>
        <rFont val="Arial"/>
        <family val="2"/>
      </rPr>
      <t>Change in WC</t>
    </r>
  </si>
  <si>
    <t xml:space="preserve"> as % or revenues</t>
  </si>
  <si>
    <t>PV (CF over next 5 years)</t>
  </si>
  <si>
    <t>All values in Rs crore, except per share data</t>
  </si>
  <si>
    <t>2025E</t>
  </si>
  <si>
    <t>2026E</t>
  </si>
  <si>
    <t>2027E</t>
  </si>
  <si>
    <t>2028E</t>
  </si>
  <si>
    <t>2029E</t>
  </si>
  <si>
    <t>2020A</t>
  </si>
  <si>
    <t>2021A</t>
  </si>
  <si>
    <t>2022A</t>
  </si>
  <si>
    <t>2023A</t>
  </si>
  <si>
    <t>2024A</t>
  </si>
  <si>
    <t>Expenses</t>
  </si>
  <si>
    <t>Cost of materials consumed</t>
  </si>
  <si>
    <t>Employee benefits expense</t>
  </si>
  <si>
    <t>Finance costs</t>
  </si>
  <si>
    <t>Depreciation and amortisation expense</t>
  </si>
  <si>
    <t>Other expenses</t>
  </si>
  <si>
    <t>Total Expenses</t>
  </si>
  <si>
    <t>Profit before exceptional items and tax</t>
  </si>
  <si>
    <t>Exceptional items</t>
  </si>
  <si>
    <t>Profit before tax</t>
  </si>
  <si>
    <t>Tax</t>
  </si>
  <si>
    <t>Profit after tax (PAT)</t>
  </si>
  <si>
    <t>EBITDA</t>
  </si>
  <si>
    <t>EBITDA margin</t>
  </si>
  <si>
    <t>EBIT margin</t>
  </si>
  <si>
    <t>Inventories</t>
  </si>
  <si>
    <t>Trade Receivables</t>
  </si>
  <si>
    <t>Trade Payables</t>
  </si>
  <si>
    <t>Working Capital</t>
  </si>
  <si>
    <t>Number of shares outstanding (crore)</t>
  </si>
  <si>
    <r>
      <rPr>
        <b/>
        <sz val="10"/>
        <color theme="4"/>
        <rFont val="Arial"/>
        <family val="2"/>
      </rPr>
      <t>Blue</t>
    </r>
    <r>
      <rPr>
        <sz val="10"/>
        <color theme="1"/>
        <rFont val="Arial"/>
        <family val="2"/>
      </rPr>
      <t xml:space="preserve"> - Actual data, </t>
    </r>
    <r>
      <rPr>
        <b/>
        <sz val="10"/>
        <color theme="1"/>
        <rFont val="Arial"/>
        <family val="2"/>
      </rPr>
      <t>Black</t>
    </r>
    <r>
      <rPr>
        <sz val="10"/>
        <color theme="1"/>
        <rFont val="Arial"/>
        <family val="2"/>
      </rPr>
      <t xml:space="preserve"> - Calculations, </t>
    </r>
    <r>
      <rPr>
        <b/>
        <sz val="10"/>
        <color rgb="FF00B050"/>
        <rFont val="Arial"/>
        <family val="2"/>
      </rPr>
      <t>Green</t>
    </r>
    <r>
      <rPr>
        <sz val="10"/>
        <color theme="1"/>
        <rFont val="Arial"/>
        <family val="2"/>
      </rPr>
      <t xml:space="preserve"> - Linkages</t>
    </r>
  </si>
  <si>
    <t>Forecast Year</t>
  </si>
  <si>
    <t>Comparables</t>
  </si>
  <si>
    <t>D/E</t>
  </si>
  <si>
    <t>Unlevered beta</t>
  </si>
  <si>
    <t>Average</t>
  </si>
  <si>
    <t>Levered Beta</t>
  </si>
  <si>
    <t>Total Debt</t>
  </si>
  <si>
    <t>Median</t>
  </si>
  <si>
    <t>Step 1: US (Mature Market Premium)</t>
  </si>
  <si>
    <t>as on Jan 1, 2025</t>
  </si>
  <si>
    <t>Step 2: Add India default spread</t>
  </si>
  <si>
    <t>Based on Baa3 rating for India; Emerging market (EM) countries are riskier than mature markets</t>
  </si>
  <si>
    <t>Step 3: Adjust for Equity Volatility</t>
  </si>
  <si>
    <t>EM Equity SD/ EM Country Bond SD</t>
  </si>
  <si>
    <t>Adjusted India default spread</t>
  </si>
  <si>
    <t>Scale up base India default spread</t>
  </si>
  <si>
    <t>India ERP</t>
  </si>
  <si>
    <t>Add India default spread to US ERP</t>
  </si>
  <si>
    <t>India 10-year Rupee Bond YTM</t>
  </si>
  <si>
    <t>India default spread (country risk premium)</t>
  </si>
  <si>
    <t>Based on Baa3 rating for India</t>
  </si>
  <si>
    <t>Estimated country default spread</t>
  </si>
  <si>
    <t>Mkt Cap (Rc. Cr.)</t>
  </si>
  <si>
    <t>Short-term Debt (Rs. Cr.)</t>
  </si>
  <si>
    <t>Long-term Debt (Rs. Cr.)</t>
  </si>
  <si>
    <t>Total Debt (Rs. Cr.)</t>
  </si>
  <si>
    <t>Discount factor</t>
  </si>
  <si>
    <t>Risk Free Rate (INR)</t>
  </si>
  <si>
    <t>Based on 1) Company rating from S&amp;P, Moody's or Fitch, or 2) Synthetic rating of the company</t>
  </si>
  <si>
    <t>Steps:</t>
  </si>
  <si>
    <r>
      <t>1. Calculate Risk free rate (R</t>
    </r>
    <r>
      <rPr>
        <sz val="8"/>
        <color theme="1"/>
        <rFont val="Arial"/>
        <family val="2"/>
      </rPr>
      <t>f</t>
    </r>
    <r>
      <rPr>
        <sz val="10"/>
        <color theme="1"/>
        <rFont val="Arial"/>
        <family val="2"/>
      </rPr>
      <t>) in INR</t>
    </r>
  </si>
  <si>
    <t>2. Calculate ERP</t>
  </si>
  <si>
    <r>
      <t>3. Calculate Levered Beta (</t>
    </r>
    <r>
      <rPr>
        <sz val="10"/>
        <color theme="1"/>
        <rFont val="Calibri"/>
        <family val="2"/>
      </rPr>
      <t>β</t>
    </r>
    <r>
      <rPr>
        <sz val="10"/>
        <color theme="1"/>
        <rFont val="Arial"/>
        <family val="2"/>
      </rPr>
      <t>)</t>
    </r>
  </si>
  <si>
    <r>
      <t>-&gt; Cost of Equity = R</t>
    </r>
    <r>
      <rPr>
        <sz val="8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Calibri"/>
        <family val="2"/>
      </rPr>
      <t>β</t>
    </r>
    <r>
      <rPr>
        <sz val="10"/>
        <color theme="1"/>
        <rFont val="Arial"/>
        <family val="2"/>
      </rPr>
      <t>*ERP</t>
    </r>
  </si>
  <si>
    <r>
      <t>-&gt; Cost of Debt = R</t>
    </r>
    <r>
      <rPr>
        <sz val="8"/>
        <color theme="1"/>
        <rFont val="Arial"/>
        <family val="2"/>
      </rPr>
      <t>f</t>
    </r>
    <r>
      <rPr>
        <sz val="10"/>
        <color theme="1"/>
        <rFont val="Arial"/>
        <family val="2"/>
      </rPr>
      <t xml:space="preserve"> + Company default spread + country default spread</t>
    </r>
  </si>
  <si>
    <t>Purchase of products for sale</t>
  </si>
  <si>
    <t>Changes in inventories of finished goods, work-in-progress and products for sale</t>
  </si>
  <si>
    <t>Compulsorily convertible preference share measured at Fair Value</t>
  </si>
  <si>
    <t>Foreign exchange loss/(gain) (net)</t>
  </si>
  <si>
    <t>Product development/engineering expenses</t>
  </si>
  <si>
    <t>Amount transferred to capital and other account</t>
  </si>
  <si>
    <t>Profit before share of profit in equity accounted investees, exceptional items and tax</t>
  </si>
  <si>
    <t>Share of profit in equity accounted investees (net)</t>
  </si>
  <si>
    <t>Tata Motors</t>
  </si>
  <si>
    <t>Current market price per share (Feb 10th 2025)</t>
  </si>
  <si>
    <t>BB+</t>
  </si>
  <si>
    <t>Maruti Suzuki</t>
  </si>
  <si>
    <t>Mahindra &amp; Mahindra</t>
  </si>
  <si>
    <t>Hyundai Motor India</t>
  </si>
  <si>
    <t>Hero Motocorp</t>
  </si>
  <si>
    <t>Bajaj Auto</t>
  </si>
  <si>
    <t>TVS Motor</t>
  </si>
  <si>
    <t>Ashok Leyland</t>
  </si>
  <si>
    <t>Revenue by Geography:</t>
  </si>
  <si>
    <t>India</t>
  </si>
  <si>
    <t>US</t>
  </si>
  <si>
    <t>UK</t>
  </si>
  <si>
    <t>Rest of Europe</t>
  </si>
  <si>
    <t>China</t>
  </si>
  <si>
    <t>Rest of the world</t>
  </si>
  <si>
    <t>Total</t>
  </si>
  <si>
    <t>Revenue %</t>
  </si>
  <si>
    <t xml:space="preserve">Average historical: </t>
  </si>
  <si>
    <t xml:space="preserve">Industry estimate: </t>
  </si>
  <si>
    <t>Analysts estimate</t>
  </si>
  <si>
    <t>Weight</t>
  </si>
  <si>
    <t>EBIT (1-t) / Net Operating Profit After Tax (NOPAT)</t>
  </si>
  <si>
    <t>SD for India Equity</t>
  </si>
  <si>
    <t>SD for India Bond</t>
  </si>
  <si>
    <t>=EBIT/I</t>
  </si>
  <si>
    <t>=Terminal year CF/(r-g)</t>
  </si>
  <si>
    <t>Enterprise Value</t>
  </si>
  <si>
    <t>Equity Value = Enterprise Value - Net Debt</t>
  </si>
  <si>
    <t>Equity Value = Enterprise Value - (Total Debt - Cash)</t>
  </si>
  <si>
    <t>Gordon Growth Model</t>
  </si>
  <si>
    <t>r = WACC</t>
  </si>
  <si>
    <t>g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</si>
</sst>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0.0%"/>
    <numFmt numFmtId="166" formatCode="0.0"/>
    <numFmt numFmtId="167" formatCode="0.000%"/>
    <numFmt numFmtId="168" formatCode="0.000000000000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Genev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rgb="FF00B0F0"/>
      <name val="Arial"/>
      <family val="2"/>
    </font>
    <font>
      <b/>
      <sz val="10"/>
      <color rgb="FF00B05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rgb="FF00B0F0"/>
      <name val="Arial"/>
      <family val="2"/>
    </font>
    <font>
      <i/>
      <sz val="10"/>
      <name val="Arial"/>
      <family val="2"/>
    </font>
    <font>
      <sz val="10"/>
      <color theme="4"/>
      <name val="Arial"/>
      <family val="2"/>
    </font>
    <font>
      <b/>
      <sz val="9"/>
      <color theme="4"/>
      <name val="Arial"/>
      <family val="2"/>
    </font>
    <font>
      <b/>
      <sz val="10"/>
      <color theme="4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color rgb="FF00B05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</font>
    <font>
      <i/>
      <sz val="10"/>
      <color rgb="FF00B050"/>
      <name val="Arial"/>
      <family val="2"/>
    </font>
    <font>
      <sz val="10"/>
      <color theme="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0" fontId="4" fillId="0" borderId="0" xfId="0" applyFont="1"/>
    <xf numFmtId="165" fontId="5" fillId="0" borderId="0" xfId="1" applyNumberFormat="1" applyFont="1"/>
    <xf numFmtId="165" fontId="4" fillId="0" borderId="0" xfId="1" applyNumberFormat="1" applyFont="1"/>
    <xf numFmtId="166" fontId="5" fillId="0" borderId="0" xfId="0" applyNumberFormat="1" applyFont="1"/>
    <xf numFmtId="166" fontId="4" fillId="0" borderId="0" xfId="0" applyNumberFormat="1" applyFont="1"/>
    <xf numFmtId="166" fontId="6" fillId="0" borderId="0" xfId="0" applyNumberFormat="1" applyFont="1"/>
    <xf numFmtId="0" fontId="8" fillId="0" borderId="0" xfId="0" applyFont="1"/>
    <xf numFmtId="165" fontId="10" fillId="0" borderId="0" xfId="1" applyNumberFormat="1" applyFont="1"/>
    <xf numFmtId="2" fontId="4" fillId="0" borderId="0" xfId="0" applyNumberFormat="1" applyFont="1"/>
    <xf numFmtId="2" fontId="6" fillId="0" borderId="0" xfId="0" applyNumberFormat="1" applyFont="1"/>
    <xf numFmtId="9" fontId="4" fillId="0" borderId="0" xfId="1" applyFont="1"/>
    <xf numFmtId="10" fontId="4" fillId="0" borderId="0" xfId="1" applyNumberFormat="1" applyFont="1"/>
    <xf numFmtId="0" fontId="5" fillId="0" borderId="0" xfId="0" applyFont="1"/>
    <xf numFmtId="10" fontId="5" fillId="0" borderId="0" xfId="1" applyNumberFormat="1" applyFont="1"/>
    <xf numFmtId="167" fontId="4" fillId="0" borderId="0" xfId="1" applyNumberFormat="1" applyFont="1"/>
    <xf numFmtId="0" fontId="4" fillId="0" borderId="2" xfId="0" applyFont="1" applyBorder="1"/>
    <xf numFmtId="0" fontId="7" fillId="0" borderId="0" xfId="0" applyFont="1"/>
    <xf numFmtId="0" fontId="9" fillId="2" borderId="0" xfId="0" applyFont="1" applyFill="1"/>
    <xf numFmtId="2" fontId="9" fillId="2" borderId="0" xfId="0" applyNumberFormat="1" applyFont="1" applyFill="1"/>
    <xf numFmtId="0" fontId="9" fillId="2" borderId="0" xfId="0" applyFont="1" applyFill="1" applyAlignment="1">
      <alignment horizontal="center"/>
    </xf>
    <xf numFmtId="165" fontId="9" fillId="2" borderId="0" xfId="1" applyNumberFormat="1" applyFont="1" applyFill="1"/>
    <xf numFmtId="165" fontId="9" fillId="2" borderId="0" xfId="0" applyNumberFormat="1" applyFont="1" applyFill="1"/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65" fontId="4" fillId="0" borderId="0" xfId="0" applyNumberFormat="1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9" fillId="0" borderId="2" xfId="0" applyFont="1" applyBorder="1"/>
    <xf numFmtId="0" fontId="9" fillId="0" borderId="0" xfId="0" applyFont="1"/>
    <xf numFmtId="10" fontId="4" fillId="0" borderId="0" xfId="1" applyNumberFormat="1" applyFont="1" applyFill="1"/>
    <xf numFmtId="10" fontId="5" fillId="0" borderId="0" xfId="1" applyNumberFormat="1" applyFont="1" applyFill="1"/>
    <xf numFmtId="167" fontId="4" fillId="0" borderId="0" xfId="1" applyNumberFormat="1" applyFont="1" applyFill="1"/>
    <xf numFmtId="9" fontId="9" fillId="0" borderId="0" xfId="1" applyFont="1" applyFill="1"/>
    <xf numFmtId="165" fontId="9" fillId="0" borderId="0" xfId="1" applyNumberFormat="1" applyFont="1" applyFill="1"/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65" fontId="7" fillId="0" borderId="0" xfId="1" applyNumberFormat="1" applyFont="1"/>
    <xf numFmtId="165" fontId="12" fillId="0" borderId="0" xfId="1" applyNumberFormat="1" applyFont="1"/>
    <xf numFmtId="165" fontId="11" fillId="0" borderId="0" xfId="1" applyNumberFormat="1" applyFont="1"/>
    <xf numFmtId="0" fontId="4" fillId="0" borderId="0" xfId="0" applyFont="1" applyAlignment="1">
      <alignment horizontal="left" wrapText="1" indent="1"/>
    </xf>
    <xf numFmtId="166" fontId="10" fillId="0" borderId="0" xfId="0" applyNumberFormat="1" applyFont="1"/>
    <xf numFmtId="166" fontId="13" fillId="0" borderId="0" xfId="0" applyNumberFormat="1" applyFont="1"/>
    <xf numFmtId="0" fontId="4" fillId="0" borderId="0" xfId="0" applyFont="1" applyAlignment="1">
      <alignment horizontal="left" indent="2"/>
    </xf>
    <xf numFmtId="2" fontId="14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/>
    <xf numFmtId="165" fontId="14" fillId="0" borderId="0" xfId="1" applyNumberFormat="1" applyFont="1"/>
    <xf numFmtId="166" fontId="15" fillId="0" borderId="0" xfId="0" applyNumberFormat="1" applyFont="1"/>
    <xf numFmtId="0" fontId="1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/>
    <xf numFmtId="2" fontId="13" fillId="0" borderId="0" xfId="0" applyNumberFormat="1" applyFont="1"/>
    <xf numFmtId="165" fontId="13" fillId="0" borderId="0" xfId="1" applyNumberFormat="1" applyFont="1"/>
    <xf numFmtId="2" fontId="18" fillId="0" borderId="0" xfId="0" applyNumberFormat="1" applyFont="1"/>
    <xf numFmtId="10" fontId="13" fillId="0" borderId="0" xfId="1" applyNumberFormat="1" applyFont="1"/>
    <xf numFmtId="10" fontId="20" fillId="0" borderId="0" xfId="1" applyNumberFormat="1" applyFont="1"/>
    <xf numFmtId="0" fontId="21" fillId="0" borderId="0" xfId="0" applyFont="1"/>
    <xf numFmtId="10" fontId="0" fillId="0" borderId="0" xfId="1" applyNumberFormat="1" applyFont="1"/>
    <xf numFmtId="0" fontId="19" fillId="0" borderId="3" xfId="0" applyFont="1" applyBorder="1"/>
    <xf numFmtId="10" fontId="19" fillId="0" borderId="3" xfId="0" applyNumberFormat="1" applyFont="1" applyBorder="1"/>
    <xf numFmtId="10" fontId="14" fillId="0" borderId="0" xfId="0" applyNumberFormat="1" applyFont="1"/>
    <xf numFmtId="10" fontId="24" fillId="0" borderId="0" xfId="0" applyNumberFormat="1" applyFont="1"/>
    <xf numFmtId="10" fontId="24" fillId="0" borderId="0" xfId="1" applyNumberFormat="1" applyFont="1" applyFill="1"/>
    <xf numFmtId="10" fontId="18" fillId="0" borderId="0" xfId="0" applyNumberFormat="1" applyFont="1"/>
    <xf numFmtId="0" fontId="25" fillId="4" borderId="0" xfId="0" applyFont="1" applyFill="1"/>
    <xf numFmtId="166" fontId="25" fillId="4" borderId="0" xfId="0" applyNumberFormat="1" applyFont="1" applyFill="1"/>
    <xf numFmtId="10" fontId="25" fillId="4" borderId="0" xfId="0" applyNumberFormat="1" applyFont="1" applyFill="1"/>
    <xf numFmtId="10" fontId="14" fillId="0" borderId="0" xfId="1" applyNumberFormat="1" applyFont="1"/>
    <xf numFmtId="10" fontId="24" fillId="0" borderId="0" xfId="1" applyNumberFormat="1" applyFont="1"/>
    <xf numFmtId="10" fontId="3" fillId="0" borderId="0" xfId="0" applyNumberFormat="1" applyFont="1"/>
    <xf numFmtId="10" fontId="25" fillId="4" borderId="0" xfId="1" applyNumberFormat="1" applyFont="1" applyFill="1"/>
    <xf numFmtId="10" fontId="9" fillId="2" borderId="0" xfId="1" applyNumberFormat="1" applyFont="1" applyFill="1"/>
    <xf numFmtId="166" fontId="6" fillId="4" borderId="0" xfId="0" applyNumberFormat="1" applyFont="1" applyFill="1"/>
    <xf numFmtId="165" fontId="20" fillId="0" borderId="0" xfId="1" applyNumberFormat="1" applyFont="1"/>
    <xf numFmtId="2" fontId="9" fillId="0" borderId="0" xfId="0" applyNumberFormat="1" applyFont="1"/>
    <xf numFmtId="10" fontId="0" fillId="0" borderId="0" xfId="0" applyNumberFormat="1"/>
    <xf numFmtId="2" fontId="0" fillId="0" borderId="0" xfId="0" applyNumberFormat="1"/>
    <xf numFmtId="10" fontId="26" fillId="0" borderId="0" xfId="0" applyNumberFormat="1" applyFont="1"/>
    <xf numFmtId="0" fontId="4" fillId="0" borderId="0" xfId="0" quotePrefix="1" applyFont="1"/>
    <xf numFmtId="165" fontId="29" fillId="0" borderId="0" xfId="1" applyNumberFormat="1" applyFont="1"/>
    <xf numFmtId="166" fontId="18" fillId="0" borderId="0" xfId="0" applyNumberFormat="1" applyFont="1"/>
    <xf numFmtId="0" fontId="19" fillId="0" borderId="0" xfId="0" applyFont="1"/>
    <xf numFmtId="1" fontId="19" fillId="0" borderId="0" xfId="0" applyNumberFormat="1" applyFont="1"/>
    <xf numFmtId="9" fontId="0" fillId="0" borderId="0" xfId="1" applyFont="1"/>
    <xf numFmtId="9" fontId="19" fillId="0" borderId="0" xfId="1" applyFont="1"/>
    <xf numFmtId="2" fontId="30" fillId="0" borderId="0" xfId="0" applyNumberFormat="1" applyFont="1"/>
    <xf numFmtId="10" fontId="19" fillId="0" borderId="0" xfId="1" applyNumberFormat="1" applyFont="1"/>
    <xf numFmtId="168" fontId="0" fillId="0" borderId="0" xfId="0" applyNumberFormat="1"/>
    <xf numFmtId="9" fontId="13" fillId="0" borderId="0" xfId="1" applyFont="1"/>
    <xf numFmtId="9" fontId="8" fillId="0" borderId="0" xfId="1" applyFont="1"/>
    <xf numFmtId="165" fontId="8" fillId="0" borderId="0" xfId="1" applyNumberFormat="1" applyFont="1"/>
    <xf numFmtId="1" fontId="21" fillId="0" borderId="0" xfId="0" applyNumberFormat="1" applyFont="1"/>
    <xf numFmtId="10" fontId="21" fillId="0" borderId="0" xfId="1" applyNumberFormat="1" applyFont="1"/>
    <xf numFmtId="0" fontId="19" fillId="0" borderId="0" xfId="0" applyFont="1" applyAlignment="1">
      <alignment horizontal="center"/>
    </xf>
    <xf numFmtId="9" fontId="0" fillId="0" borderId="0" xfId="0" applyNumberFormat="1"/>
    <xf numFmtId="166" fontId="4" fillId="0" borderId="0" xfId="0" quotePrefix="1" applyNumberFormat="1" applyFont="1"/>
  </cellXfs>
  <cellStyles count="4">
    <cellStyle name="Currency 2" xfId="3" xr:uid="{00000000-0005-0000-0000-000000000000}"/>
    <cellStyle name="Normal" xfId="0" builtinId="0"/>
    <cellStyle name="Normal 2" xfId="2" xr:uid="{00000000-0005-0000-0000-000002000000}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152400</xdr:rowOff>
    </xdr:from>
    <xdr:to>
      <xdr:col>8</xdr:col>
      <xdr:colOff>457200</xdr:colOff>
      <xdr:row>19</xdr:row>
      <xdr:rowOff>97288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342900"/>
          <a:ext cx="5191125" cy="3373888"/>
        </a:xfrm>
        <a:prstGeom prst="rect">
          <a:avLst/>
        </a:prstGeom>
      </xdr:spPr>
    </xdr:pic>
    <xdr:clientData/>
  </xdr:twoCellAnchor>
  <xdr:twoCellAnchor editAs="oneCell">
    <xdr:from>
      <xdr:col>0</xdr:col>
      <xdr:colOff>17320</xdr:colOff>
      <xdr:row>21</xdr:row>
      <xdr:rowOff>17318</xdr:rowOff>
    </xdr:from>
    <xdr:to>
      <xdr:col>8</xdr:col>
      <xdr:colOff>588818</xdr:colOff>
      <xdr:row>37</xdr:row>
      <xdr:rowOff>176448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20" y="4017818"/>
          <a:ext cx="5448298" cy="3207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9525</xdr:rowOff>
    </xdr:from>
    <xdr:to>
      <xdr:col>11</xdr:col>
      <xdr:colOff>410549</xdr:colOff>
      <xdr:row>31</xdr:row>
      <xdr:rowOff>181797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00025"/>
          <a:ext cx="6973274" cy="5887272"/>
        </a:xfrm>
        <a:prstGeom prst="rect">
          <a:avLst/>
        </a:prstGeom>
      </xdr:spPr>
    </xdr:pic>
    <xdr:clientData/>
  </xdr:twoCellAnchor>
  <xdr:twoCellAnchor editAs="oneCell">
    <xdr:from>
      <xdr:col>17</xdr:col>
      <xdr:colOff>452436</xdr:colOff>
      <xdr:row>5</xdr:row>
      <xdr:rowOff>6366</xdr:rowOff>
    </xdr:from>
    <xdr:to>
      <xdr:col>26</xdr:col>
      <xdr:colOff>566736</xdr:colOff>
      <xdr:row>27</xdr:row>
      <xdr:rowOff>143481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7561" y="958866"/>
          <a:ext cx="5686425" cy="4328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workbookViewId="0">
      <pane xSplit="2" ySplit="4" topLeftCell="C47" activePane="bottomRight" state="frozen"/>
      <selection pane="topRight" activeCell="C1" sqref="C1"/>
      <selection pane="bottomLeft" activeCell="A5" sqref="A5"/>
      <selection pane="bottomRight" activeCell="L48" sqref="L48"/>
    </sheetView>
  </sheetViews>
  <sheetFormatPr baseColWidth="10" defaultColWidth="9.1640625" defaultRowHeight="13" outlineLevelRow="1" x14ac:dyDescent="0.15"/>
  <cols>
    <col min="1" max="1" width="44" style="2" customWidth="1"/>
    <col min="2" max="2" width="10" style="2" bestFit="1" customWidth="1"/>
    <col min="3" max="4" width="10" style="2" customWidth="1"/>
    <col min="5" max="6" width="9.1640625" style="2"/>
    <col min="7" max="7" width="9.33203125" style="2" bestFit="1" customWidth="1"/>
    <col min="8" max="12" width="9.1640625" style="2"/>
    <col min="13" max="13" width="13.33203125" style="2" bestFit="1" customWidth="1"/>
    <col min="14" max="14" width="9.1640625" style="2"/>
    <col min="15" max="15" width="16.83203125" style="2" bestFit="1" customWidth="1"/>
    <col min="16" max="16384" width="9.1640625" style="2"/>
  </cols>
  <sheetData>
    <row r="1" spans="1:17" ht="19.5" customHeight="1" x14ac:dyDescent="0.15">
      <c r="A1" s="29" t="s">
        <v>37</v>
      </c>
      <c r="B1" s="25"/>
      <c r="C1" s="25"/>
      <c r="D1" s="25"/>
      <c r="I1" s="26"/>
    </row>
    <row r="2" spans="1:17" ht="27" customHeight="1" x14ac:dyDescent="0.15">
      <c r="A2" s="28" t="s">
        <v>68</v>
      </c>
      <c r="B2" s="25"/>
      <c r="C2" s="25"/>
      <c r="D2" s="25"/>
      <c r="E2" s="27"/>
      <c r="F2" s="27"/>
      <c r="G2" s="27"/>
      <c r="H2" s="25"/>
      <c r="I2" s="25"/>
      <c r="J2" s="25"/>
      <c r="K2" s="25"/>
      <c r="L2" s="25"/>
      <c r="M2" s="25"/>
    </row>
    <row r="3" spans="1:17" ht="13.5" customHeight="1" x14ac:dyDescent="0.15">
      <c r="A3" s="28" t="s">
        <v>69</v>
      </c>
      <c r="B3" s="25"/>
      <c r="C3" s="25"/>
      <c r="D3" s="25"/>
      <c r="E3" s="27"/>
      <c r="F3" s="27"/>
      <c r="G3" s="27"/>
      <c r="H3" s="51">
        <v>1</v>
      </c>
      <c r="I3" s="51">
        <v>2</v>
      </c>
      <c r="J3" s="51">
        <v>3</v>
      </c>
      <c r="K3" s="51">
        <v>4</v>
      </c>
      <c r="L3" s="51">
        <v>5</v>
      </c>
      <c r="M3" s="25"/>
    </row>
    <row r="4" spans="1:17" x14ac:dyDescent="0.15">
      <c r="A4" s="8"/>
      <c r="B4" s="25"/>
      <c r="C4" s="24" t="s">
        <v>43</v>
      </c>
      <c r="D4" s="24" t="s">
        <v>44</v>
      </c>
      <c r="E4" s="24" t="s">
        <v>45</v>
      </c>
      <c r="F4" s="24" t="s">
        <v>46</v>
      </c>
      <c r="G4" s="24" t="s">
        <v>47</v>
      </c>
      <c r="H4" s="21" t="s">
        <v>38</v>
      </c>
      <c r="I4" s="21" t="s">
        <v>39</v>
      </c>
      <c r="J4" s="21" t="s">
        <v>40</v>
      </c>
      <c r="K4" s="21" t="s">
        <v>41</v>
      </c>
      <c r="L4" s="21" t="s">
        <v>42</v>
      </c>
      <c r="M4" s="21" t="s">
        <v>0</v>
      </c>
    </row>
    <row r="5" spans="1:17" x14ac:dyDescent="0.15">
      <c r="A5" s="2" t="s">
        <v>2</v>
      </c>
      <c r="B5" s="5"/>
      <c r="C5" s="44">
        <v>264041.12</v>
      </c>
      <c r="D5" s="44">
        <v>252437.94</v>
      </c>
      <c r="E5" s="44">
        <v>281507.25</v>
      </c>
      <c r="F5" s="44">
        <v>350600.15</v>
      </c>
      <c r="G5" s="44">
        <v>443877.69</v>
      </c>
      <c r="H5" s="6">
        <f>G5*(1+H6)</f>
        <v>461870.85228099657</v>
      </c>
      <c r="I5" s="6">
        <f>H5*(1+I6)</f>
        <v>480593.39091084787</v>
      </c>
      <c r="J5" s="6">
        <f>I5*(1+J6)</f>
        <v>500074.87211309816</v>
      </c>
      <c r="K5" s="6">
        <f>J5*(1+K6)</f>
        <v>520346.06061680411</v>
      </c>
      <c r="L5" s="6">
        <f>K5*(1+L6)</f>
        <v>541438.96823952207</v>
      </c>
      <c r="M5" s="6"/>
      <c r="Q5" s="2" t="s">
        <v>134</v>
      </c>
    </row>
    <row r="6" spans="1:17" x14ac:dyDescent="0.15">
      <c r="A6" s="38" t="s">
        <v>1</v>
      </c>
      <c r="B6" s="18"/>
      <c r="C6" s="39">
        <f>C5/304903.71-1</f>
        <v>-0.13401801506449373</v>
      </c>
      <c r="D6" s="39">
        <f>D5/C5-1</f>
        <v>-4.3944594690402794E-2</v>
      </c>
      <c r="E6" s="39">
        <f>E5/D5-1</f>
        <v>0.11515428306854347</v>
      </c>
      <c r="F6" s="39">
        <f>F5/E5-1</f>
        <v>0.24543914943576062</v>
      </c>
      <c r="G6" s="39">
        <f>G5/F5-1</f>
        <v>0.26605105559709541</v>
      </c>
      <c r="H6" s="40">
        <f>P9</f>
        <v>4.0536306929498042E-2</v>
      </c>
      <c r="I6" s="40">
        <f>H6</f>
        <v>4.0536306929498042E-2</v>
      </c>
      <c r="J6" s="40">
        <f t="shared" ref="J6:L6" si="0">I6</f>
        <v>4.0536306929498042E-2</v>
      </c>
      <c r="K6" s="40">
        <f t="shared" si="0"/>
        <v>4.0536306929498042E-2</v>
      </c>
      <c r="L6" s="40">
        <f t="shared" si="0"/>
        <v>4.0536306929498042E-2</v>
      </c>
      <c r="M6" s="6"/>
      <c r="O6" s="2" t="s">
        <v>131</v>
      </c>
      <c r="P6" s="26">
        <f>AVERAGE(C6:G6)</f>
        <v>8.9736375669300594E-2</v>
      </c>
      <c r="Q6" s="93">
        <v>0.25</v>
      </c>
    </row>
    <row r="7" spans="1:17" outlineLevel="1" x14ac:dyDescent="0.15">
      <c r="A7" s="2" t="s">
        <v>48</v>
      </c>
      <c r="B7" s="3"/>
      <c r="C7" s="9"/>
      <c r="D7" s="9"/>
      <c r="E7" s="9"/>
      <c r="F7" s="9"/>
      <c r="G7" s="9"/>
      <c r="H7" s="41"/>
      <c r="I7" s="41"/>
      <c r="J7" s="41"/>
      <c r="K7" s="41"/>
      <c r="L7" s="41"/>
      <c r="M7" s="41"/>
      <c r="O7" s="2" t="s">
        <v>132</v>
      </c>
      <c r="P7" s="57">
        <f>((20.3/19.2)^(1/5))-1</f>
        <v>1.1204426024345793E-2</v>
      </c>
      <c r="Q7" s="93">
        <v>0.5</v>
      </c>
    </row>
    <row r="8" spans="1:17" outlineLevel="1" x14ac:dyDescent="0.15">
      <c r="A8" s="37" t="s">
        <v>49</v>
      </c>
      <c r="B8" s="3"/>
      <c r="C8" s="44">
        <f>152968.74-297.27</f>
        <v>152671.47</v>
      </c>
      <c r="D8" s="44">
        <f>141392.43-35.16</f>
        <v>141357.26999999999</v>
      </c>
      <c r="E8" s="44">
        <f>159598.06+1322.5</f>
        <v>160920.56</v>
      </c>
      <c r="F8" s="44">
        <v>208944.31</v>
      </c>
      <c r="G8" s="44">
        <v>249277.79</v>
      </c>
      <c r="H8" s="41"/>
      <c r="I8" s="41"/>
      <c r="J8" s="41"/>
      <c r="K8" s="41"/>
      <c r="L8" s="41"/>
      <c r="M8" s="41"/>
      <c r="O8" s="2" t="s">
        <v>133</v>
      </c>
      <c r="P8" s="57">
        <v>0.05</v>
      </c>
      <c r="Q8" s="93">
        <f>1-SUM(Q6:Q7)</f>
        <v>0.25</v>
      </c>
    </row>
    <row r="9" spans="1:17" outlineLevel="1" x14ac:dyDescent="0.15">
      <c r="A9" s="37" t="s">
        <v>104</v>
      </c>
      <c r="B9" s="3"/>
      <c r="C9" s="44">
        <v>12228.35</v>
      </c>
      <c r="D9" s="44">
        <v>12250.09</v>
      </c>
      <c r="E9" s="44">
        <v>18374.77</v>
      </c>
      <c r="F9" s="44">
        <v>22306.91</v>
      </c>
      <c r="G9" s="44">
        <v>25043.439999999999</v>
      </c>
      <c r="H9" s="41"/>
      <c r="I9" s="41"/>
      <c r="J9" s="41"/>
      <c r="K9" s="41"/>
      <c r="L9" s="41"/>
      <c r="M9" s="41"/>
      <c r="P9" s="95">
        <f>SUMPRODUCT(P6:P8,Q6:Q8)</f>
        <v>4.0536306929498042E-2</v>
      </c>
      <c r="Q9" s="94">
        <f>SUM(Q6:Q8)</f>
        <v>1</v>
      </c>
    </row>
    <row r="10" spans="1:17" ht="28" outlineLevel="1" x14ac:dyDescent="0.15">
      <c r="A10" s="42" t="s">
        <v>105</v>
      </c>
      <c r="B10" s="3"/>
      <c r="C10" s="44">
        <v>2231.19</v>
      </c>
      <c r="D10" s="44">
        <v>4684.16</v>
      </c>
      <c r="E10" s="44">
        <v>1590.49</v>
      </c>
      <c r="F10" s="44">
        <v>-4781.62</v>
      </c>
      <c r="G10" s="44">
        <v>-1565.53</v>
      </c>
      <c r="H10" s="41"/>
      <c r="I10" s="41"/>
      <c r="J10" s="41"/>
      <c r="K10" s="41"/>
      <c r="L10" s="41"/>
      <c r="M10" s="41"/>
    </row>
    <row r="11" spans="1:17" outlineLevel="1" x14ac:dyDescent="0.15">
      <c r="A11" s="37" t="s">
        <v>50</v>
      </c>
      <c r="B11" s="3"/>
      <c r="C11" s="44">
        <v>30438.6</v>
      </c>
      <c r="D11" s="44">
        <v>27648.48</v>
      </c>
      <c r="E11" s="44">
        <v>30808.52</v>
      </c>
      <c r="F11" s="44">
        <v>33654.699999999997</v>
      </c>
      <c r="G11" s="44">
        <v>42486.64</v>
      </c>
      <c r="H11" s="41"/>
      <c r="I11" s="41"/>
      <c r="J11" s="41"/>
      <c r="K11" s="41"/>
      <c r="L11" s="41"/>
      <c r="M11" s="41"/>
    </row>
    <row r="12" spans="1:17" outlineLevel="1" x14ac:dyDescent="0.15">
      <c r="A12" s="37" t="s">
        <v>51</v>
      </c>
      <c r="B12" s="3"/>
      <c r="C12" s="44">
        <v>7243.33</v>
      </c>
      <c r="D12" s="44">
        <v>8097.17</v>
      </c>
      <c r="E12" s="44">
        <v>9311.86</v>
      </c>
      <c r="F12" s="44">
        <v>10225.48</v>
      </c>
      <c r="G12" s="44">
        <v>9985.76</v>
      </c>
      <c r="H12" s="41"/>
      <c r="I12" s="41"/>
      <c r="J12" s="41"/>
      <c r="K12" s="41"/>
      <c r="L12" s="41"/>
      <c r="M12" s="41"/>
    </row>
    <row r="13" spans="1:17" ht="28" outlineLevel="1" x14ac:dyDescent="0.15">
      <c r="A13" s="42" t="s">
        <v>106</v>
      </c>
      <c r="B13" s="3"/>
      <c r="C13" s="44">
        <v>0</v>
      </c>
      <c r="D13" s="44">
        <v>0</v>
      </c>
      <c r="E13" s="44">
        <v>14.45</v>
      </c>
      <c r="F13" s="44">
        <v>13.75</v>
      </c>
      <c r="G13" s="44">
        <v>47.9</v>
      </c>
      <c r="H13" s="41"/>
      <c r="I13" s="41"/>
      <c r="J13" s="41"/>
      <c r="K13" s="41"/>
      <c r="L13" s="41"/>
      <c r="M13" s="41"/>
    </row>
    <row r="14" spans="1:17" outlineLevel="1" x14ac:dyDescent="0.15">
      <c r="A14" s="37" t="s">
        <v>107</v>
      </c>
      <c r="B14" s="3"/>
      <c r="C14" s="44">
        <v>1738.74</v>
      </c>
      <c r="D14" s="44">
        <v>-1732.15</v>
      </c>
      <c r="E14" s="44">
        <v>78.680000000000007</v>
      </c>
      <c r="F14" s="44">
        <v>-103.88</v>
      </c>
      <c r="G14" s="44">
        <v>23.84</v>
      </c>
      <c r="H14" s="41"/>
      <c r="I14" s="41"/>
      <c r="J14" s="41"/>
      <c r="K14" s="41"/>
      <c r="L14" s="41"/>
      <c r="M14" s="41"/>
    </row>
    <row r="15" spans="1:17" outlineLevel="1" x14ac:dyDescent="0.15">
      <c r="A15" s="37" t="s">
        <v>52</v>
      </c>
      <c r="B15" s="3"/>
      <c r="C15" s="44">
        <v>21425.43</v>
      </c>
      <c r="D15" s="44">
        <v>23546.71</v>
      </c>
      <c r="E15" s="44">
        <v>24835.69</v>
      </c>
      <c r="F15" s="44">
        <v>24860.36</v>
      </c>
      <c r="G15" s="44">
        <v>27270.13</v>
      </c>
      <c r="H15" s="41"/>
      <c r="I15" s="41"/>
      <c r="J15" s="41"/>
      <c r="K15" s="41"/>
      <c r="L15" s="41"/>
      <c r="M15" s="41"/>
    </row>
    <row r="16" spans="1:17" outlineLevel="1" x14ac:dyDescent="0.15">
      <c r="A16" s="37" t="s">
        <v>108</v>
      </c>
      <c r="B16" s="3"/>
      <c r="C16" s="44">
        <v>4188.49</v>
      </c>
      <c r="D16" s="44">
        <v>5226.63</v>
      </c>
      <c r="E16" s="44">
        <v>9209.5</v>
      </c>
      <c r="F16" s="44">
        <v>10661.96</v>
      </c>
      <c r="G16" s="44">
        <v>10958.72</v>
      </c>
      <c r="H16" s="41"/>
      <c r="I16" s="41"/>
      <c r="J16" s="41"/>
      <c r="K16" s="41"/>
      <c r="L16" s="41"/>
      <c r="M16" s="41"/>
    </row>
    <row r="17" spans="1:13" outlineLevel="1" x14ac:dyDescent="0.15">
      <c r="A17" s="37" t="s">
        <v>53</v>
      </c>
      <c r="B17" s="3"/>
      <c r="C17" s="44">
        <v>57087.46</v>
      </c>
      <c r="D17" s="44">
        <v>40921.97</v>
      </c>
      <c r="E17" s="44">
        <v>47133.85</v>
      </c>
      <c r="F17" s="44">
        <v>61785.96</v>
      </c>
      <c r="G17" s="44">
        <v>78874.98</v>
      </c>
      <c r="H17" s="41"/>
      <c r="I17" s="41"/>
      <c r="J17" s="41"/>
      <c r="K17" s="41"/>
      <c r="L17" s="41"/>
      <c r="M17" s="41"/>
    </row>
    <row r="18" spans="1:13" outlineLevel="1" x14ac:dyDescent="0.15">
      <c r="A18" s="37" t="s">
        <v>109</v>
      </c>
      <c r="B18" s="3"/>
      <c r="C18" s="44">
        <v>-17503.400000000001</v>
      </c>
      <c r="D18" s="44">
        <v>-12849.13</v>
      </c>
      <c r="E18" s="44">
        <v>-14397.29</v>
      </c>
      <c r="F18" s="44">
        <v>-18434.84</v>
      </c>
      <c r="G18" s="44">
        <v>-26758.35</v>
      </c>
      <c r="H18" s="41"/>
      <c r="I18" s="41"/>
      <c r="J18" s="41"/>
      <c r="K18" s="41"/>
      <c r="L18" s="41"/>
      <c r="M18" s="41"/>
    </row>
    <row r="19" spans="1:13" x14ac:dyDescent="0.15">
      <c r="A19" s="2" t="s">
        <v>54</v>
      </c>
      <c r="B19" s="3"/>
      <c r="C19" s="43">
        <f>SUM(C8:C18)</f>
        <v>271749.65999999997</v>
      </c>
      <c r="D19" s="43">
        <f>SUM(D8:D18)</f>
        <v>249151.2</v>
      </c>
      <c r="E19" s="43">
        <f>SUM(E8:E18)</f>
        <v>287881.07999999996</v>
      </c>
      <c r="F19" s="43">
        <f>SUM(F8:F18)</f>
        <v>349133.08999999997</v>
      </c>
      <c r="G19" s="43">
        <f>SUM(G8:G18)</f>
        <v>415645.32</v>
      </c>
      <c r="H19" s="41"/>
      <c r="I19" s="41"/>
      <c r="J19" s="41"/>
      <c r="K19" s="41"/>
      <c r="L19" s="41"/>
      <c r="M19" s="41"/>
    </row>
    <row r="20" spans="1:13" ht="28" x14ac:dyDescent="0.15">
      <c r="A20" s="28" t="s">
        <v>110</v>
      </c>
      <c r="B20" s="3"/>
      <c r="C20" s="43">
        <f>C5-C19</f>
        <v>-7708.539999999979</v>
      </c>
      <c r="D20" s="43">
        <f>D5-D19</f>
        <v>3286.7399999999907</v>
      </c>
      <c r="E20" s="43">
        <f>E5-E19</f>
        <v>-6373.8299999999581</v>
      </c>
      <c r="F20" s="43">
        <f>F5-F19</f>
        <v>1467.0600000000559</v>
      </c>
      <c r="G20" s="43">
        <f>G5-G19</f>
        <v>28232.369999999995</v>
      </c>
      <c r="H20" s="41"/>
      <c r="I20" s="41"/>
      <c r="J20" s="41"/>
      <c r="K20" s="41"/>
      <c r="L20" s="41"/>
      <c r="M20" s="41"/>
    </row>
    <row r="21" spans="1:13" x14ac:dyDescent="0.15">
      <c r="A21" s="37" t="s">
        <v>111</v>
      </c>
      <c r="B21" s="3"/>
      <c r="C21" s="44">
        <v>0</v>
      </c>
      <c r="D21" s="44">
        <v>0</v>
      </c>
      <c r="E21" s="44">
        <v>0</v>
      </c>
      <c r="F21" s="44">
        <v>336.38</v>
      </c>
      <c r="G21" s="44">
        <v>699.8</v>
      </c>
      <c r="H21" s="41"/>
      <c r="I21" s="41"/>
      <c r="J21" s="41"/>
      <c r="K21" s="41"/>
      <c r="L21" s="41"/>
      <c r="M21" s="41"/>
    </row>
    <row r="22" spans="1:13" x14ac:dyDescent="0.15">
      <c r="A22" s="2" t="s">
        <v>55</v>
      </c>
      <c r="B22" s="3"/>
      <c r="C22" s="43">
        <f>C20+C21</f>
        <v>-7708.539999999979</v>
      </c>
      <c r="D22" s="43">
        <f>D20+D21</f>
        <v>3286.7399999999907</v>
      </c>
      <c r="E22" s="43">
        <f>E20+E21</f>
        <v>-6373.8299999999581</v>
      </c>
      <c r="F22" s="43">
        <f>F20+F21</f>
        <v>1803.440000000056</v>
      </c>
      <c r="G22" s="43">
        <f>G20+G21</f>
        <v>28932.169999999995</v>
      </c>
      <c r="H22" s="41"/>
      <c r="I22" s="41"/>
      <c r="J22" s="41"/>
      <c r="K22" s="41"/>
      <c r="L22" s="41"/>
      <c r="M22" s="41"/>
    </row>
    <row r="23" spans="1:13" x14ac:dyDescent="0.15">
      <c r="A23" s="37" t="s">
        <v>56</v>
      </c>
      <c r="B23" s="3"/>
      <c r="C23" s="44">
        <f>436.14-73.04+1418.64+777-65.62+353.2+25.12</f>
        <v>2871.4399999999996</v>
      </c>
      <c r="D23" s="44">
        <f>84.81+459.9+14994.3+114-1182.41-663-46.58</f>
        <v>13761.019999999999</v>
      </c>
      <c r="E23" s="44">
        <f>9.83-21.47-86.26+301.34+428.66-2.52</f>
        <v>629.58000000000004</v>
      </c>
      <c r="F23" s="44">
        <v>-1590.53</v>
      </c>
      <c r="G23" s="44">
        <v>977.06</v>
      </c>
      <c r="H23" s="41"/>
      <c r="I23" s="41"/>
      <c r="J23" s="41"/>
      <c r="K23" s="41"/>
      <c r="L23" s="41"/>
      <c r="M23" s="41"/>
    </row>
    <row r="24" spans="1:13" x14ac:dyDescent="0.15">
      <c r="A24" s="2" t="s">
        <v>57</v>
      </c>
      <c r="B24" s="3"/>
      <c r="C24" s="43">
        <f>C22-C23</f>
        <v>-10579.979999999978</v>
      </c>
      <c r="D24" s="43">
        <f>D22-D23</f>
        <v>-10474.280000000008</v>
      </c>
      <c r="E24" s="43">
        <f>E22-E23</f>
        <v>-7003.409999999958</v>
      </c>
      <c r="F24" s="43">
        <f>F22-F23</f>
        <v>3393.9700000000557</v>
      </c>
      <c r="G24" s="43">
        <f>G22-G23</f>
        <v>27955.109999999993</v>
      </c>
      <c r="H24" s="41"/>
      <c r="I24" s="41"/>
      <c r="J24" s="41"/>
      <c r="K24" s="41"/>
      <c r="L24" s="41"/>
      <c r="M24" s="41"/>
    </row>
    <row r="25" spans="1:13" x14ac:dyDescent="0.15">
      <c r="A25" s="37" t="s">
        <v>58</v>
      </c>
      <c r="B25" s="3"/>
      <c r="C25" s="43">
        <v>395.25</v>
      </c>
      <c r="D25" s="43">
        <v>2541.86</v>
      </c>
      <c r="E25" s="43">
        <v>4231.29</v>
      </c>
      <c r="F25" s="43">
        <v>704.06</v>
      </c>
      <c r="G25" s="43">
        <f>-3851.64</f>
        <v>-3851.64</v>
      </c>
      <c r="H25" s="41"/>
      <c r="I25" s="41"/>
      <c r="J25" s="41"/>
      <c r="K25" s="41"/>
      <c r="L25" s="41"/>
      <c r="M25" s="41"/>
    </row>
    <row r="26" spans="1:13" x14ac:dyDescent="0.15">
      <c r="A26" s="2" t="s">
        <v>59</v>
      </c>
      <c r="B26" s="3"/>
      <c r="C26" s="43">
        <f>C24-C25</f>
        <v>-10975.229999999978</v>
      </c>
      <c r="D26" s="43">
        <f>D24-D25</f>
        <v>-13016.140000000009</v>
      </c>
      <c r="E26" s="43">
        <f>E24-E25</f>
        <v>-11234.699999999957</v>
      </c>
      <c r="F26" s="43">
        <f>F24-F25</f>
        <v>2689.9100000000558</v>
      </c>
      <c r="G26" s="43">
        <f>G24-G25</f>
        <v>31806.749999999993</v>
      </c>
      <c r="H26" s="41"/>
      <c r="I26" s="41"/>
      <c r="J26" s="41"/>
      <c r="K26" s="41"/>
      <c r="L26" s="41"/>
      <c r="M26" s="41"/>
    </row>
    <row r="27" spans="1:13" x14ac:dyDescent="0.15">
      <c r="B27" s="3"/>
      <c r="C27" s="43"/>
      <c r="D27" s="43"/>
      <c r="E27" s="43"/>
      <c r="F27" s="43"/>
      <c r="G27" s="43"/>
      <c r="H27" s="41"/>
      <c r="I27" s="41"/>
      <c r="J27" s="41"/>
      <c r="K27" s="41"/>
      <c r="L27" s="41"/>
      <c r="M27" s="41"/>
    </row>
    <row r="28" spans="1:13" x14ac:dyDescent="0.15">
      <c r="A28" s="2" t="s">
        <v>60</v>
      </c>
      <c r="B28" s="3"/>
      <c r="C28" s="43">
        <f>C20+C15+C12</f>
        <v>20960.220000000023</v>
      </c>
      <c r="D28" s="43">
        <f>D20+D15+D12</f>
        <v>34930.619999999988</v>
      </c>
      <c r="E28" s="43">
        <f>E20+E15+E12</f>
        <v>27773.720000000041</v>
      </c>
      <c r="F28" s="43">
        <f>F20+F15+F12</f>
        <v>36552.900000000052</v>
      </c>
      <c r="G28" s="43">
        <f>G20+G15+G12</f>
        <v>65488.26</v>
      </c>
      <c r="H28" s="43">
        <f>H5*H29</f>
        <v>52488.026935196933</v>
      </c>
      <c r="I28" s="43">
        <f>I5*I29</f>
        <v>54615.697705165832</v>
      </c>
      <c r="J28" s="43">
        <f>J5*J29</f>
        <v>56829.61639051111</v>
      </c>
      <c r="K28" s="43">
        <f>K5*K29</f>
        <v>59133.279163202496</v>
      </c>
      <c r="L28" s="43">
        <f>L5*L29</f>
        <v>61530.323917109759</v>
      </c>
      <c r="M28" s="41"/>
    </row>
    <row r="29" spans="1:13" x14ac:dyDescent="0.15">
      <c r="A29" s="38" t="s">
        <v>61</v>
      </c>
      <c r="B29" s="3"/>
      <c r="C29" s="39">
        <f>C28/C5</f>
        <v>7.9382408315795752E-2</v>
      </c>
      <c r="D29" s="39">
        <f>D28/D5</f>
        <v>0.1383730987505285</v>
      </c>
      <c r="E29" s="39">
        <f>E28/E5</f>
        <v>9.8660762733464386E-2</v>
      </c>
      <c r="F29" s="39">
        <f>F28/F5</f>
        <v>0.10425808431627896</v>
      </c>
      <c r="G29" s="39">
        <f>G28/G5</f>
        <v>0.14753672346091556</v>
      </c>
      <c r="H29" s="39">
        <f>AVERAGE(C29:G29)</f>
        <v>0.11364221551539663</v>
      </c>
      <c r="I29" s="39">
        <f>H29</f>
        <v>0.11364221551539663</v>
      </c>
      <c r="J29" s="39">
        <f t="shared" ref="J29:L29" si="1">I29</f>
        <v>0.11364221551539663</v>
      </c>
      <c r="K29" s="39">
        <f t="shared" si="1"/>
        <v>0.11364221551539663</v>
      </c>
      <c r="L29" s="39">
        <f t="shared" si="1"/>
        <v>0.11364221551539663</v>
      </c>
      <c r="M29" s="41"/>
    </row>
    <row r="30" spans="1:13" x14ac:dyDescent="0.15">
      <c r="A30" s="2" t="s">
        <v>3</v>
      </c>
      <c r="B30" s="3"/>
      <c r="C30" s="43">
        <f>C28-C15</f>
        <v>-465.2099999999773</v>
      </c>
      <c r="D30" s="43">
        <f>D28-D15</f>
        <v>11383.909999999989</v>
      </c>
      <c r="E30" s="43">
        <f>E28-E15</f>
        <v>2938.0300000000425</v>
      </c>
      <c r="F30" s="43">
        <f>F28-F15</f>
        <v>11692.540000000052</v>
      </c>
      <c r="G30" s="43">
        <f>G28-G15</f>
        <v>38218.130000000005</v>
      </c>
      <c r="H30" s="43">
        <f>H5*H31</f>
        <v>16001.186173328557</v>
      </c>
      <c r="I30" s="43">
        <f>I5*I31</f>
        <v>16649.815167286644</v>
      </c>
      <c r="J30" s="43">
        <f>J5*J31</f>
        <v>17324.737185227183</v>
      </c>
      <c r="K30" s="43">
        <f>K5*K31</f>
        <v>18027.01804924044</v>
      </c>
      <c r="L30" s="43">
        <f>L5*L31</f>
        <v>18757.76678590805</v>
      </c>
      <c r="M30" s="41"/>
    </row>
    <row r="31" spans="1:13" x14ac:dyDescent="0.15">
      <c r="A31" s="38" t="s">
        <v>62</v>
      </c>
      <c r="B31" s="3"/>
      <c r="C31" s="39">
        <f>C30/C5</f>
        <v>-1.761884664024972E-3</v>
      </c>
      <c r="D31" s="39">
        <f>D30/D5</f>
        <v>4.5095875841800914E-2</v>
      </c>
      <c r="E31" s="39">
        <f>E30/E5</f>
        <v>1.0436782711635464E-2</v>
      </c>
      <c r="F31" s="39">
        <f>F30/F5</f>
        <v>3.3350071299171009E-2</v>
      </c>
      <c r="G31" s="39">
        <f>G30/G5</f>
        <v>8.6100587754252764E-2</v>
      </c>
      <c r="H31" s="39">
        <f>AVERAGE(C31:G31)</f>
        <v>3.4644286588567039E-2</v>
      </c>
      <c r="I31" s="39">
        <f>H31</f>
        <v>3.4644286588567039E-2</v>
      </c>
      <c r="J31" s="39">
        <f t="shared" ref="J31:L31" si="2">I31</f>
        <v>3.4644286588567039E-2</v>
      </c>
      <c r="K31" s="39">
        <f t="shared" si="2"/>
        <v>3.4644286588567039E-2</v>
      </c>
      <c r="L31" s="39">
        <f t="shared" si="2"/>
        <v>3.4644286588567039E-2</v>
      </c>
      <c r="M31" s="41"/>
    </row>
    <row r="32" spans="1:13" x14ac:dyDescent="0.15">
      <c r="B32" s="3"/>
      <c r="C32" s="43"/>
      <c r="D32" s="43"/>
      <c r="E32" s="43"/>
      <c r="F32" s="43"/>
      <c r="G32" s="43"/>
      <c r="H32" s="41"/>
      <c r="I32" s="41"/>
      <c r="J32" s="41"/>
      <c r="K32" s="41"/>
      <c r="L32" s="41"/>
      <c r="M32" s="41"/>
    </row>
    <row r="33" spans="1:13" x14ac:dyDescent="0.15">
      <c r="A33" s="2" t="s">
        <v>4</v>
      </c>
      <c r="B33" s="3"/>
      <c r="C33" s="39">
        <f>C25/C24</f>
        <v>-3.7358293682974907E-2</v>
      </c>
      <c r="D33" s="39">
        <f>D25/D24</f>
        <v>-0.24267634625005233</v>
      </c>
      <c r="E33" s="39">
        <f>E25/E24</f>
        <v>-0.60417568013296741</v>
      </c>
      <c r="F33" s="39">
        <f>F25/F24</f>
        <v>0.20744437929621901</v>
      </c>
      <c r="G33" s="39">
        <f>G25/G24</f>
        <v>-0.13777946142941311</v>
      </c>
      <c r="H33" s="84">
        <f>Beta!H14</f>
        <v>0.3</v>
      </c>
      <c r="I33" s="39">
        <f>H33</f>
        <v>0.3</v>
      </c>
      <c r="J33" s="39">
        <f t="shared" ref="J33:L33" si="3">I33</f>
        <v>0.3</v>
      </c>
      <c r="K33" s="39">
        <f t="shared" si="3"/>
        <v>0.3</v>
      </c>
      <c r="L33" s="39">
        <f t="shared" si="3"/>
        <v>0.3</v>
      </c>
      <c r="M33" s="41"/>
    </row>
    <row r="34" spans="1:13" x14ac:dyDescent="0.15">
      <c r="A34" s="2" t="s">
        <v>135</v>
      </c>
      <c r="B34" s="6"/>
      <c r="C34" s="6">
        <f t="shared" ref="C34:H34" si="4">C30*(1-C33)</f>
        <v>-482.58945180423319</v>
      </c>
      <c r="D34" s="6">
        <f t="shared" si="4"/>
        <v>14146.51568483942</v>
      </c>
      <c r="E34" s="6">
        <f t="shared" si="4"/>
        <v>4713.1162735011303</v>
      </c>
      <c r="F34" s="6">
        <f t="shared" si="4"/>
        <v>9266.9882973038275</v>
      </c>
      <c r="G34" s="6">
        <f t="shared" si="4"/>
        <v>43483.8033682393</v>
      </c>
      <c r="H34" s="6">
        <f t="shared" si="4"/>
        <v>11200.83032132999</v>
      </c>
      <c r="I34" s="6">
        <f t="shared" ref="I34:L34" si="5">I30*(1-I33)</f>
        <v>11654.870617100651</v>
      </c>
      <c r="J34" s="6">
        <f t="shared" si="5"/>
        <v>12127.316029659027</v>
      </c>
      <c r="K34" s="6">
        <f t="shared" si="5"/>
        <v>12618.912634468306</v>
      </c>
      <c r="L34" s="6">
        <f t="shared" si="5"/>
        <v>13130.436750135634</v>
      </c>
      <c r="M34" s="6"/>
    </row>
    <row r="35" spans="1:13" x14ac:dyDescent="0.15">
      <c r="A35" s="2" t="s">
        <v>32</v>
      </c>
      <c r="C35" s="43">
        <f>C15</f>
        <v>21425.43</v>
      </c>
      <c r="D35" s="43">
        <f>D15</f>
        <v>23546.71</v>
      </c>
      <c r="E35" s="43">
        <f>E15</f>
        <v>24835.69</v>
      </c>
      <c r="F35" s="43">
        <f>F15</f>
        <v>24860.36</v>
      </c>
      <c r="G35" s="43">
        <f>G15</f>
        <v>27270.13</v>
      </c>
      <c r="H35" s="6">
        <f>H36*H5</f>
        <v>36486.84076186837</v>
      </c>
      <c r="I35" s="6">
        <f>I36*I5</f>
        <v>37965.882537879188</v>
      </c>
      <c r="J35" s="6">
        <f>J36*J5</f>
        <v>39504.87920528392</v>
      </c>
      <c r="K35" s="6">
        <f>K36*K5</f>
        <v>41106.261113962049</v>
      </c>
      <c r="L35" s="6">
        <f>L36*L5</f>
        <v>42772.557131201705</v>
      </c>
      <c r="M35" s="6"/>
    </row>
    <row r="36" spans="1:13" x14ac:dyDescent="0.15">
      <c r="A36" s="18" t="s">
        <v>35</v>
      </c>
      <c r="C36" s="9">
        <f>C35/C5</f>
        <v>8.1144292979820717E-2</v>
      </c>
      <c r="D36" s="9">
        <f>D35/D5</f>
        <v>9.3277222908727586E-2</v>
      </c>
      <c r="E36" s="9">
        <f>E35/E5</f>
        <v>8.8223980021828921E-2</v>
      </c>
      <c r="F36" s="9">
        <f>F35/F5</f>
        <v>7.0908013017107946E-2</v>
      </c>
      <c r="G36" s="9">
        <f>G35/G5</f>
        <v>6.1436135706662801E-2</v>
      </c>
      <c r="H36" s="4">
        <f>AVERAGE($C$36:$G$36)</f>
        <v>7.899792892682958E-2</v>
      </c>
      <c r="I36" s="4">
        <f>H36</f>
        <v>7.899792892682958E-2</v>
      </c>
      <c r="J36" s="4">
        <f t="shared" ref="J36:L36" si="6">I36</f>
        <v>7.899792892682958E-2</v>
      </c>
      <c r="K36" s="4">
        <f t="shared" si="6"/>
        <v>7.899792892682958E-2</v>
      </c>
      <c r="L36" s="4">
        <f t="shared" si="6"/>
        <v>7.899792892682958E-2</v>
      </c>
      <c r="M36" s="4"/>
    </row>
    <row r="37" spans="1:13" x14ac:dyDescent="0.15">
      <c r="A37" s="2" t="s">
        <v>33</v>
      </c>
      <c r="C37" s="44">
        <v>14319.17</v>
      </c>
      <c r="D37" s="44">
        <v>11775.65</v>
      </c>
      <c r="E37" s="44">
        <v>9039.4</v>
      </c>
      <c r="F37" s="44">
        <v>8492.6299999999992</v>
      </c>
      <c r="G37" s="44">
        <v>12974.74</v>
      </c>
      <c r="H37" s="6">
        <f>H38*H5</f>
        <v>17222.500420890785</v>
      </c>
      <c r="I37" s="6">
        <f>I38*I5</f>
        <v>17920.636984045424</v>
      </c>
      <c r="J37" s="6">
        <f>J38*J5</f>
        <v>18647.073425202801</v>
      </c>
      <c r="K37" s="6">
        <f>K38*K5</f>
        <v>19402.956916903706</v>
      </c>
      <c r="L37" s="6">
        <f>L38*L5</f>
        <v>20189.481133827139</v>
      </c>
      <c r="M37" s="6"/>
    </row>
    <row r="38" spans="1:13" x14ac:dyDescent="0.15">
      <c r="A38" s="18" t="s">
        <v>35</v>
      </c>
      <c r="C38" s="9">
        <f>C37/C5</f>
        <v>5.4230833439882394E-2</v>
      </c>
      <c r="D38" s="9">
        <f>D37/D5</f>
        <v>4.6647702797764867E-2</v>
      </c>
      <c r="E38" s="9">
        <f>E37/E5</f>
        <v>3.2110718285230662E-2</v>
      </c>
      <c r="F38" s="9">
        <f>F37/F5</f>
        <v>2.4223121410529912E-2</v>
      </c>
      <c r="G38" s="9">
        <f>G37/G5</f>
        <v>2.9230439583480754E-2</v>
      </c>
      <c r="H38" s="4">
        <f>AVERAGE($C$38:$G$38)</f>
        <v>3.7288563103377713E-2</v>
      </c>
      <c r="I38" s="4">
        <f>H38</f>
        <v>3.7288563103377713E-2</v>
      </c>
      <c r="J38" s="4">
        <f t="shared" ref="J38:L38" si="7">I38</f>
        <v>3.7288563103377713E-2</v>
      </c>
      <c r="K38" s="4">
        <f t="shared" si="7"/>
        <v>3.7288563103377713E-2</v>
      </c>
      <c r="L38" s="4">
        <f t="shared" si="7"/>
        <v>3.7288563103377713E-2</v>
      </c>
      <c r="M38" s="4"/>
    </row>
    <row r="39" spans="1:13" x14ac:dyDescent="0.15">
      <c r="A39" s="2" t="s">
        <v>34</v>
      </c>
      <c r="C39" s="44"/>
      <c r="D39" s="43">
        <f>C43-D43</f>
        <v>9503.8400000000183</v>
      </c>
      <c r="E39" s="43">
        <f>D43-E43</f>
        <v>-5204.6100000000079</v>
      </c>
      <c r="F39" s="43">
        <f>E43-F43</f>
        <v>690.52999999999156</v>
      </c>
      <c r="G39" s="43">
        <f>F43-G43</f>
        <v>6480.0199999999895</v>
      </c>
      <c r="H39" s="43">
        <f t="shared" ref="H39:L39" si="8">G43-H43</f>
        <v>6280.0323010081702</v>
      </c>
      <c r="I39" s="43">
        <f t="shared" si="8"/>
        <v>1439.7868841344025</v>
      </c>
      <c r="J39" s="43">
        <f t="shared" si="8"/>
        <v>1498.1505271827336</v>
      </c>
      <c r="K39" s="43">
        <f t="shared" si="8"/>
        <v>1558.8800167791997</v>
      </c>
      <c r="L39" s="43">
        <f t="shared" si="8"/>
        <v>1622.0712556056314</v>
      </c>
      <c r="M39" s="6"/>
    </row>
    <row r="40" spans="1:13" outlineLevel="1" x14ac:dyDescent="0.15">
      <c r="A40" s="45" t="s">
        <v>63</v>
      </c>
      <c r="C40" s="44">
        <v>37456.879999999997</v>
      </c>
      <c r="D40" s="44">
        <v>36088.589999999997</v>
      </c>
      <c r="E40" s="44">
        <v>35240.339999999997</v>
      </c>
      <c r="F40" s="44">
        <v>40755.39</v>
      </c>
      <c r="G40" s="44">
        <v>47788.29</v>
      </c>
      <c r="H40" s="6"/>
      <c r="I40" s="6"/>
      <c r="J40" s="6"/>
      <c r="K40" s="6"/>
      <c r="L40" s="6"/>
      <c r="M40" s="6"/>
    </row>
    <row r="41" spans="1:13" outlineLevel="1" x14ac:dyDescent="0.15">
      <c r="A41" s="45" t="s">
        <v>64</v>
      </c>
      <c r="C41" s="44">
        <v>11172.69</v>
      </c>
      <c r="D41" s="44">
        <v>12679.08</v>
      </c>
      <c r="E41" s="44">
        <v>12442.12</v>
      </c>
      <c r="F41" s="44">
        <v>15737.97</v>
      </c>
      <c r="G41" s="44">
        <v>16951.810000000001</v>
      </c>
      <c r="H41" s="6"/>
      <c r="I41" s="6"/>
      <c r="J41" s="6"/>
      <c r="K41" s="6"/>
      <c r="L41" s="6"/>
      <c r="M41" s="6"/>
    </row>
    <row r="42" spans="1:13" outlineLevel="1" x14ac:dyDescent="0.15">
      <c r="A42" s="45" t="s">
        <v>65</v>
      </c>
      <c r="C42" s="44">
        <f>109.75+63517.13+2771.33*1</f>
        <v>66398.209999999992</v>
      </c>
      <c r="D42" s="44">
        <f>186.21+67993.63+7860.31*1</f>
        <v>76040.150000000009</v>
      </c>
      <c r="E42" s="44">
        <f>183.92+59786.46+9779.95*1</f>
        <v>69750.33</v>
      </c>
      <c r="F42" s="44">
        <f>316.01+71739.76+7195.99*1</f>
        <v>79251.759999999995</v>
      </c>
      <c r="G42" s="44">
        <f>502.31+87540.64+5935.57*1</f>
        <v>93978.51999999999</v>
      </c>
      <c r="H42" s="6"/>
      <c r="I42" s="6"/>
      <c r="J42" s="6"/>
      <c r="K42" s="6"/>
      <c r="L42" s="6"/>
      <c r="M42" s="6"/>
    </row>
    <row r="43" spans="1:13" outlineLevel="1" x14ac:dyDescent="0.15">
      <c r="A43" s="45" t="s">
        <v>66</v>
      </c>
      <c r="C43" s="43">
        <f>SUM(C40:C41)-C42</f>
        <v>-17768.639999999992</v>
      </c>
      <c r="D43" s="43">
        <f>SUM(D40:D41)-D42</f>
        <v>-27272.48000000001</v>
      </c>
      <c r="E43" s="43">
        <f>SUM(E40:E41)-E42</f>
        <v>-22067.870000000003</v>
      </c>
      <c r="F43" s="43">
        <f>SUM(F40:F41)-F42</f>
        <v>-22758.399999999994</v>
      </c>
      <c r="G43" s="43">
        <f>SUM(G40:G41)-G42</f>
        <v>-29238.419999999984</v>
      </c>
      <c r="H43" s="6">
        <f>H5*H44</f>
        <v>-35518.452301008154</v>
      </c>
      <c r="I43" s="6">
        <f>I5*I44</f>
        <v>-36958.239185142556</v>
      </c>
      <c r="J43" s="6">
        <f>J5*J44</f>
        <v>-38456.38971232529</v>
      </c>
      <c r="K43" s="6">
        <f>K5*K44</f>
        <v>-40015.26972910449</v>
      </c>
      <c r="L43" s="6">
        <f>L5*L44</f>
        <v>-41637.340984710121</v>
      </c>
      <c r="M43" s="6"/>
    </row>
    <row r="44" spans="1:13" outlineLevel="1" x14ac:dyDescent="0.15">
      <c r="A44" s="38" t="s">
        <v>35</v>
      </c>
      <c r="C44" s="9">
        <f>C43/C5</f>
        <v>-6.7294972843623721E-2</v>
      </c>
      <c r="D44" s="9">
        <f>D43/D5</f>
        <v>-0.10803637519780113</v>
      </c>
      <c r="E44" s="9">
        <f>E43/E5</f>
        <v>-7.8391835379017782E-2</v>
      </c>
      <c r="F44" s="9">
        <f>F43/F5</f>
        <v>-6.491269327751284E-2</v>
      </c>
      <c r="G44" s="9">
        <f>G43/G5</f>
        <v>-6.587044282401304E-2</v>
      </c>
      <c r="H44" s="4">
        <f>AVERAGE($C$44:$G$44)</f>
        <v>-7.6901263904393696E-2</v>
      </c>
      <c r="I44" s="4">
        <f>H44</f>
        <v>-7.6901263904393696E-2</v>
      </c>
      <c r="J44" s="4">
        <f>H44</f>
        <v>-7.6901263904393696E-2</v>
      </c>
      <c r="K44" s="4">
        <f>H44</f>
        <v>-7.6901263904393696E-2</v>
      </c>
      <c r="L44" s="4">
        <f>H44</f>
        <v>-7.6901263904393696E-2</v>
      </c>
      <c r="M44" s="4"/>
    </row>
    <row r="45" spans="1:13" x14ac:dyDescent="0.15">
      <c r="A45" s="2" t="s">
        <v>5</v>
      </c>
      <c r="E45" s="6"/>
      <c r="F45" s="6"/>
      <c r="G45" s="6"/>
      <c r="H45" s="6">
        <f t="shared" ref="H45:L45" si="9">H34+H35-H37-H39</f>
        <v>24185.138361299403</v>
      </c>
      <c r="I45" s="6">
        <f t="shared" si="9"/>
        <v>30260.32928680001</v>
      </c>
      <c r="J45" s="6">
        <f t="shared" si="9"/>
        <v>31486.97128255741</v>
      </c>
      <c r="K45" s="6">
        <f t="shared" si="9"/>
        <v>32763.336814747454</v>
      </c>
      <c r="L45" s="6">
        <f t="shared" si="9"/>
        <v>34091.441491904567</v>
      </c>
      <c r="M45" s="43">
        <f>L45*(1+WACC!B5)</f>
        <v>35673.284377128941</v>
      </c>
    </row>
    <row r="47" spans="1:13" x14ac:dyDescent="0.15">
      <c r="A47" s="2" t="s">
        <v>19</v>
      </c>
      <c r="B47" s="12"/>
      <c r="C47" s="12"/>
      <c r="D47" s="12"/>
      <c r="E47" s="4"/>
      <c r="F47" s="4"/>
      <c r="G47" s="4"/>
      <c r="H47" s="78">
        <f>WACC!$B$28</f>
        <v>0.112344409651269</v>
      </c>
      <c r="I47" s="78">
        <f>WACC!$B$28</f>
        <v>0.112344409651269</v>
      </c>
      <c r="J47" s="78">
        <f>WACC!$B$28</f>
        <v>0.112344409651269</v>
      </c>
      <c r="K47" s="78">
        <f>WACC!$B$28</f>
        <v>0.112344409651269</v>
      </c>
      <c r="L47" s="78">
        <f>WACC!$B$28</f>
        <v>0.112344409651269</v>
      </c>
      <c r="M47" s="78">
        <f>WACC!$B$28</f>
        <v>0.112344409651269</v>
      </c>
    </row>
    <row r="48" spans="1:13" x14ac:dyDescent="0.15">
      <c r="A48" s="2" t="s">
        <v>95</v>
      </c>
      <c r="E48" s="10"/>
      <c r="F48" s="10"/>
      <c r="G48" s="10"/>
      <c r="H48" s="10">
        <f>1/(1+H47)^H3</f>
        <v>0.8990021357805088</v>
      </c>
      <c r="I48" s="10">
        <f>1/(1+I47)^I3</f>
        <v>0.80820484013791649</v>
      </c>
      <c r="J48" s="10">
        <f>1/(1+J47)^J3</f>
        <v>0.72657787743213165</v>
      </c>
      <c r="K48" s="10">
        <f>1/(1+K47)^K3</f>
        <v>0.65319506362235513</v>
      </c>
      <c r="L48" s="10">
        <f>1/(1+L47)^L3</f>
        <v>0.58722375727778253</v>
      </c>
    </row>
    <row r="49" spans="1:12" x14ac:dyDescent="0.15">
      <c r="A49" s="8" t="s">
        <v>20</v>
      </c>
      <c r="H49" s="6">
        <f>H45*H48</f>
        <v>21742.491040955279</v>
      </c>
      <c r="I49" s="6">
        <f>I45*I48</f>
        <v>24456.544593758914</v>
      </c>
      <c r="J49" s="6">
        <f>J45*J48</f>
        <v>22877.736761247048</v>
      </c>
      <c r="K49" s="6">
        <f>K45*K48</f>
        <v>21400.849875189615</v>
      </c>
      <c r="L49" s="6">
        <f>L45*L48</f>
        <v>20019.304363891893</v>
      </c>
    </row>
    <row r="52" spans="1:12" x14ac:dyDescent="0.15">
      <c r="A52" s="2" t="s">
        <v>21</v>
      </c>
      <c r="B52" s="6">
        <f>M45</f>
        <v>35673.284377128941</v>
      </c>
      <c r="C52" s="6"/>
      <c r="D52" s="6"/>
    </row>
    <row r="53" spans="1:12" x14ac:dyDescent="0.15">
      <c r="A53" s="2" t="s">
        <v>22</v>
      </c>
      <c r="B53" s="26">
        <f>M47</f>
        <v>0.112344409651269</v>
      </c>
      <c r="C53" s="26"/>
      <c r="D53" s="26"/>
      <c r="F53" s="2" t="s">
        <v>143</v>
      </c>
    </row>
    <row r="54" spans="1:12" x14ac:dyDescent="0.15">
      <c r="A54" s="2" t="s">
        <v>23</v>
      </c>
      <c r="B54" s="6">
        <f>B52/(B53-WACC!B11)</f>
        <v>540959.94741295651</v>
      </c>
      <c r="C54" s="100" t="s">
        <v>139</v>
      </c>
      <c r="D54" s="6"/>
      <c r="F54" s="2" t="s">
        <v>144</v>
      </c>
    </row>
    <row r="55" spans="1:12" x14ac:dyDescent="0.15">
      <c r="A55" s="2" t="s">
        <v>24</v>
      </c>
      <c r="B55" s="6">
        <f>B54*L48</f>
        <v>317664.53285662795</v>
      </c>
      <c r="C55" s="6"/>
      <c r="D55" s="6"/>
      <c r="F55" s="2" t="s">
        <v>145</v>
      </c>
    </row>
    <row r="56" spans="1:12" x14ac:dyDescent="0.15">
      <c r="A56" s="2" t="s">
        <v>36</v>
      </c>
      <c r="B56" s="6">
        <f>SUM(H49:L49)</f>
        <v>110496.92663504275</v>
      </c>
      <c r="C56" s="6"/>
      <c r="D56" s="6"/>
    </row>
    <row r="57" spans="1:12" x14ac:dyDescent="0.15">
      <c r="A57" s="2" t="s">
        <v>25</v>
      </c>
      <c r="B57" s="6">
        <f>B55+B56</f>
        <v>428161.45949167071</v>
      </c>
      <c r="C57" s="6" t="s">
        <v>140</v>
      </c>
      <c r="D57" s="6"/>
    </row>
    <row r="58" spans="1:12" x14ac:dyDescent="0.15">
      <c r="A58" s="2" t="s">
        <v>26</v>
      </c>
      <c r="B58" s="7">
        <f>WACC!B26</f>
        <v>126868.63999999998</v>
      </c>
      <c r="C58" s="7"/>
      <c r="D58" s="7"/>
    </row>
    <row r="59" spans="1:12" x14ac:dyDescent="0.15">
      <c r="A59" s="2" t="s">
        <v>27</v>
      </c>
      <c r="B59" s="50">
        <f>31806.75*0</f>
        <v>0</v>
      </c>
    </row>
    <row r="60" spans="1:12" x14ac:dyDescent="0.15">
      <c r="A60" s="2" t="s">
        <v>28</v>
      </c>
      <c r="B60" s="50">
        <v>40014.76</v>
      </c>
      <c r="C60" s="5"/>
      <c r="D60" s="5"/>
    </row>
    <row r="61" spans="1:12" x14ac:dyDescent="0.15">
      <c r="A61" s="2" t="s">
        <v>29</v>
      </c>
      <c r="B61" s="6">
        <f>B57-B58-B59+B60</f>
        <v>341307.57949167071</v>
      </c>
      <c r="C61" s="6" t="s">
        <v>141</v>
      </c>
      <c r="D61" s="6"/>
    </row>
    <row r="62" spans="1:12" x14ac:dyDescent="0.15">
      <c r="A62" s="2" t="s">
        <v>30</v>
      </c>
      <c r="B62" s="11">
        <f>WACC!B8</f>
        <v>383.4028859</v>
      </c>
      <c r="C62" s="6" t="s">
        <v>142</v>
      </c>
      <c r="D62" s="11"/>
    </row>
    <row r="63" spans="1:12" x14ac:dyDescent="0.15">
      <c r="A63" s="19" t="s">
        <v>31</v>
      </c>
      <c r="B63" s="20">
        <f>B61/B62</f>
        <v>890.20607836710781</v>
      </c>
      <c r="C63" s="79"/>
      <c r="D63" s="79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B25" sqref="B25"/>
    </sheetView>
  </sheetViews>
  <sheetFormatPr baseColWidth="10" defaultColWidth="9.1640625" defaultRowHeight="13" x14ac:dyDescent="0.15"/>
  <cols>
    <col min="1" max="1" width="51.5" style="2" bestFit="1" customWidth="1"/>
    <col min="2" max="2" width="20.5" style="2" bestFit="1" customWidth="1"/>
    <col min="3" max="4" width="9.1640625" style="2"/>
    <col min="5" max="5" width="22.5" style="2" bestFit="1" customWidth="1"/>
    <col min="6" max="6" width="21" style="2" customWidth="1"/>
    <col min="7" max="7" width="19.5" style="2" bestFit="1" customWidth="1"/>
    <col min="8" max="8" width="9.5" style="2" customWidth="1"/>
    <col min="9" max="9" width="14.1640625" style="2" bestFit="1" customWidth="1"/>
    <col min="10" max="16384" width="9.1640625" style="2"/>
  </cols>
  <sheetData>
    <row r="1" spans="1:9" ht="12.75" customHeight="1" x14ac:dyDescent="0.15">
      <c r="A1" s="2" t="s">
        <v>68</v>
      </c>
    </row>
    <row r="2" spans="1:9" x14ac:dyDescent="0.15">
      <c r="F2" s="8" t="s">
        <v>98</v>
      </c>
    </row>
    <row r="3" spans="1:9" x14ac:dyDescent="0.15">
      <c r="A3" s="2" t="s">
        <v>87</v>
      </c>
      <c r="B3" s="65">
        <v>6.8199999999999997E-2</v>
      </c>
      <c r="F3" s="2" t="s">
        <v>99</v>
      </c>
    </row>
    <row r="4" spans="1:9" x14ac:dyDescent="0.15">
      <c r="A4" s="2" t="s">
        <v>88</v>
      </c>
      <c r="B4" s="65">
        <v>2.18E-2</v>
      </c>
      <c r="C4" s="2" t="s">
        <v>89</v>
      </c>
      <c r="F4" s="2" t="s">
        <v>100</v>
      </c>
    </row>
    <row r="5" spans="1:9" ht="14" x14ac:dyDescent="0.2">
      <c r="A5" s="2" t="s">
        <v>96</v>
      </c>
      <c r="B5" s="66">
        <f>B3-B4</f>
        <v>4.6399999999999997E-2</v>
      </c>
      <c r="F5" s="2" t="s">
        <v>101</v>
      </c>
    </row>
    <row r="6" spans="1:9" ht="14" x14ac:dyDescent="0.2">
      <c r="F6" s="83" t="s">
        <v>102</v>
      </c>
    </row>
    <row r="7" spans="1:9" x14ac:dyDescent="0.15">
      <c r="A7" s="8" t="s">
        <v>15</v>
      </c>
      <c r="E7" s="8"/>
      <c r="F7" s="83" t="s">
        <v>103</v>
      </c>
    </row>
    <row r="8" spans="1:9" x14ac:dyDescent="0.15">
      <c r="A8" s="1" t="s">
        <v>67</v>
      </c>
      <c r="B8" s="46">
        <f>(3325292749+508736110)/10^7</f>
        <v>383.4028859</v>
      </c>
    </row>
    <row r="9" spans="1:9" x14ac:dyDescent="0.15">
      <c r="A9" s="1" t="s">
        <v>113</v>
      </c>
      <c r="B9" s="47">
        <v>698.75</v>
      </c>
    </row>
    <row r="10" spans="1:9" x14ac:dyDescent="0.15">
      <c r="A10" s="8"/>
      <c r="B10" s="48"/>
    </row>
    <row r="11" spans="1:9" ht="14" thickBot="1" x14ac:dyDescent="0.2">
      <c r="A11" s="1" t="s">
        <v>6</v>
      </c>
      <c r="B11" s="67">
        <f>B5</f>
        <v>4.6399999999999997E-2</v>
      </c>
      <c r="E11" s="30"/>
    </row>
    <row r="12" spans="1:9" x14ac:dyDescent="0.15">
      <c r="A12" s="1" t="s">
        <v>7</v>
      </c>
      <c r="B12" s="58">
        <f>Beta!F14</f>
        <v>1.5088761179611716</v>
      </c>
      <c r="E12" s="31"/>
      <c r="F12" s="31"/>
      <c r="G12" s="31"/>
      <c r="H12" s="31"/>
      <c r="I12" s="31"/>
    </row>
    <row r="13" spans="1:9" x14ac:dyDescent="0.15">
      <c r="A13" s="1" t="s">
        <v>8</v>
      </c>
      <c r="B13" s="68">
        <f>ERP!N16</f>
        <v>6.0575197902613023E-2</v>
      </c>
      <c r="F13" s="14"/>
      <c r="G13" s="32"/>
      <c r="H13" s="33"/>
      <c r="I13" s="34"/>
    </row>
    <row r="14" spans="1:9" x14ac:dyDescent="0.15">
      <c r="A14" s="69" t="s">
        <v>9</v>
      </c>
      <c r="B14" s="71">
        <f>B11+B12*B13</f>
        <v>0.13780046945602442</v>
      </c>
      <c r="F14" s="14"/>
      <c r="G14" s="32"/>
      <c r="H14" s="33"/>
      <c r="I14" s="34"/>
    </row>
    <row r="15" spans="1:9" x14ac:dyDescent="0.15">
      <c r="A15" s="69" t="s">
        <v>17</v>
      </c>
      <c r="B15" s="70">
        <f>B8*B9</f>
        <v>267902.766522625</v>
      </c>
      <c r="F15" s="14"/>
      <c r="G15" s="32"/>
      <c r="H15" s="33"/>
      <c r="I15" s="34"/>
    </row>
    <row r="16" spans="1:9" x14ac:dyDescent="0.15">
      <c r="E16" s="31"/>
      <c r="F16" s="31"/>
      <c r="G16" s="31"/>
      <c r="H16" s="35"/>
      <c r="I16" s="36"/>
    </row>
    <row r="17" spans="1:9" x14ac:dyDescent="0.15">
      <c r="A17" s="8" t="s">
        <v>16</v>
      </c>
      <c r="F17" s="14"/>
      <c r="G17" s="13"/>
      <c r="H17" s="15"/>
      <c r="I17" s="16"/>
    </row>
    <row r="18" spans="1:9" x14ac:dyDescent="0.15">
      <c r="B18" s="48"/>
      <c r="F18" s="14"/>
      <c r="G18" s="13"/>
      <c r="H18" s="15"/>
      <c r="I18" s="16"/>
    </row>
    <row r="19" spans="1:9" x14ac:dyDescent="0.15">
      <c r="A19" s="1" t="s">
        <v>10</v>
      </c>
      <c r="B19" s="85">
        <f>Valuation!G30/Valuation!G12</f>
        <v>3.8272630225441033</v>
      </c>
      <c r="C19" s="83" t="s">
        <v>138</v>
      </c>
    </row>
    <row r="20" spans="1:9" x14ac:dyDescent="0.15">
      <c r="A20" s="1" t="s">
        <v>11</v>
      </c>
      <c r="B20" s="47" t="s">
        <v>114</v>
      </c>
    </row>
    <row r="21" spans="1:9" x14ac:dyDescent="0.15">
      <c r="A21" s="1" t="s">
        <v>12</v>
      </c>
      <c r="B21" s="72">
        <v>1.55E-2</v>
      </c>
      <c r="C21" s="2" t="s">
        <v>97</v>
      </c>
    </row>
    <row r="22" spans="1:9" x14ac:dyDescent="0.15">
      <c r="A22" s="1" t="s">
        <v>90</v>
      </c>
      <c r="B22" s="73">
        <f>B4</f>
        <v>2.18E-2</v>
      </c>
    </row>
    <row r="23" spans="1:9" ht="14" thickBot="1" x14ac:dyDescent="0.2">
      <c r="A23" s="1" t="s">
        <v>13</v>
      </c>
      <c r="B23" s="74">
        <f>B5+B21+B22</f>
        <v>8.3699999999999997E-2</v>
      </c>
      <c r="E23" s="17"/>
    </row>
    <row r="24" spans="1:9" x14ac:dyDescent="0.15">
      <c r="A24" s="1" t="s">
        <v>4</v>
      </c>
      <c r="B24" s="49">
        <v>0.3</v>
      </c>
    </row>
    <row r="25" spans="1:9" x14ac:dyDescent="0.15">
      <c r="A25" s="69" t="s">
        <v>14</v>
      </c>
      <c r="B25" s="75">
        <f>B23*(1-B24)</f>
        <v>5.8589999999999996E-2</v>
      </c>
    </row>
    <row r="26" spans="1:9" x14ac:dyDescent="0.15">
      <c r="A26" s="69" t="s">
        <v>75</v>
      </c>
      <c r="B26" s="77">
        <f>Beta!E14</f>
        <v>126868.63999999998</v>
      </c>
    </row>
    <row r="28" spans="1:9" x14ac:dyDescent="0.15">
      <c r="A28" s="19" t="s">
        <v>18</v>
      </c>
      <c r="B28" s="76">
        <f>(B15/(B15+B26)*B14)+(B26/(B15+B26)*B25)</f>
        <v>0.112344409651269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I14" sqref="I14"/>
    </sheetView>
  </sheetViews>
  <sheetFormatPr baseColWidth="10" defaultColWidth="9.1640625" defaultRowHeight="14" x14ac:dyDescent="0.15"/>
  <cols>
    <col min="1" max="1" width="34.5" style="52" bestFit="1" customWidth="1"/>
    <col min="2" max="2" width="16.1640625" style="52" bestFit="1" customWidth="1"/>
    <col min="3" max="3" width="23.33203125" style="52" bestFit="1" customWidth="1"/>
    <col min="4" max="4" width="23" style="52" bestFit="1" customWidth="1"/>
    <col min="5" max="5" width="18.1640625" style="52" bestFit="1" customWidth="1"/>
    <col min="6" max="6" width="13.33203125" style="52" bestFit="1" customWidth="1"/>
    <col min="7" max="8" width="9.1640625" style="52"/>
    <col min="9" max="9" width="15" style="52" bestFit="1" customWidth="1"/>
    <col min="10" max="16384" width="9.1640625" style="52"/>
  </cols>
  <sheetData>
    <row r="1" spans="1:12" ht="28" x14ac:dyDescent="0.15">
      <c r="A1" s="28" t="s">
        <v>68</v>
      </c>
    </row>
    <row r="3" spans="1:12" s="54" customFormat="1" x14ac:dyDescent="0.15">
      <c r="A3" s="53" t="s">
        <v>70</v>
      </c>
      <c r="B3" s="21" t="s">
        <v>91</v>
      </c>
      <c r="C3" s="21" t="s">
        <v>92</v>
      </c>
      <c r="D3" s="21" t="s">
        <v>93</v>
      </c>
      <c r="E3" s="21" t="s">
        <v>94</v>
      </c>
      <c r="F3" s="21" t="s">
        <v>74</v>
      </c>
      <c r="G3" s="21" t="s">
        <v>71</v>
      </c>
      <c r="H3" s="21" t="s">
        <v>4</v>
      </c>
      <c r="I3" s="21" t="s">
        <v>72</v>
      </c>
    </row>
    <row r="4" spans="1:12" x14ac:dyDescent="0.15">
      <c r="A4" s="55" t="s">
        <v>115</v>
      </c>
      <c r="B4" s="44">
        <f>(306423241/10^7)*12949.2</f>
        <v>396793.58323572</v>
      </c>
      <c r="C4" s="44">
        <f>33.1+17.8</f>
        <v>50.900000000000006</v>
      </c>
      <c r="D4" s="44">
        <f>67.7</f>
        <v>67.7</v>
      </c>
      <c r="E4" s="43">
        <f>C4+D4</f>
        <v>118.60000000000001</v>
      </c>
      <c r="F4" s="56">
        <v>0.84</v>
      </c>
      <c r="G4" s="4">
        <f t="shared" ref="G4:G10" si="0">E4/B4</f>
        <v>2.9889596256284278E-4</v>
      </c>
      <c r="H4" s="57"/>
      <c r="I4" s="10"/>
      <c r="L4" s="90">
        <v>0.66</v>
      </c>
    </row>
    <row r="5" spans="1:12" x14ac:dyDescent="0.15">
      <c r="A5" s="55" t="s">
        <v>116</v>
      </c>
      <c r="B5" s="44">
        <f>(1198636292/10^7)*3153.8</f>
        <v>378025.91377096006</v>
      </c>
      <c r="C5" s="44">
        <f>35483.54+608.37</f>
        <v>36091.910000000003</v>
      </c>
      <c r="D5" s="44">
        <f>67719.69+2813.92</f>
        <v>70533.61</v>
      </c>
      <c r="E5" s="43">
        <f t="shared" ref="E5:E10" si="1">C5+D5</f>
        <v>106625.52</v>
      </c>
      <c r="F5" s="56">
        <v>1.52</v>
      </c>
      <c r="G5" s="4">
        <f t="shared" si="0"/>
        <v>0.28205875871409897</v>
      </c>
      <c r="H5" s="3"/>
      <c r="I5" s="10"/>
      <c r="L5" s="90">
        <v>1.1100000000000001</v>
      </c>
    </row>
    <row r="6" spans="1:12" x14ac:dyDescent="0.15">
      <c r="A6" s="55" t="s">
        <v>117</v>
      </c>
      <c r="B6" s="44">
        <f>(812541100/10^7)*1851.9</f>
        <v>150474.486309</v>
      </c>
      <c r="C6" s="44">
        <f>145.118+9.558</f>
        <v>154.67599999999999</v>
      </c>
      <c r="D6" s="44">
        <f>622.797+55.768</f>
        <v>678.56500000000005</v>
      </c>
      <c r="E6" s="43">
        <f t="shared" si="1"/>
        <v>833.24099999999999</v>
      </c>
      <c r="F6" s="56">
        <v>1.02</v>
      </c>
      <c r="G6" s="4">
        <f t="shared" si="0"/>
        <v>5.5374237881692188E-3</v>
      </c>
      <c r="H6" s="3"/>
      <c r="I6" s="10"/>
      <c r="L6" s="90">
        <v>0.43</v>
      </c>
    </row>
    <row r="7" spans="1:12" x14ac:dyDescent="0.15">
      <c r="A7" s="55" t="s">
        <v>118</v>
      </c>
      <c r="B7" s="44">
        <f>(199871710/10^7)*4183.35</f>
        <v>83613.331802850007</v>
      </c>
      <c r="C7" s="44">
        <f>363.43+43.85</f>
        <v>407.28000000000003</v>
      </c>
      <c r="D7" s="44">
        <f>199.13</f>
        <v>199.13</v>
      </c>
      <c r="E7" s="43">
        <f t="shared" si="1"/>
        <v>606.41000000000008</v>
      </c>
      <c r="F7" s="56">
        <v>1.18</v>
      </c>
      <c r="G7" s="4">
        <f t="shared" si="0"/>
        <v>7.2525515599574548E-3</v>
      </c>
      <c r="H7" s="3"/>
      <c r="I7" s="10"/>
      <c r="L7" s="90">
        <v>1.03</v>
      </c>
    </row>
    <row r="8" spans="1:12" x14ac:dyDescent="0.15">
      <c r="A8" s="55" t="s">
        <v>119</v>
      </c>
      <c r="B8" s="44">
        <f>(282695661)/10^7*8855.6</f>
        <v>250343.96955516</v>
      </c>
      <c r="C8" s="44">
        <f>1152.57</f>
        <v>1152.57</v>
      </c>
      <c r="D8" s="44">
        <f>633.33</f>
        <v>633.33000000000004</v>
      </c>
      <c r="E8" s="43">
        <f t="shared" si="1"/>
        <v>1785.9</v>
      </c>
      <c r="F8" s="56">
        <v>1.08</v>
      </c>
      <c r="G8" s="4">
        <f t="shared" si="0"/>
        <v>7.1337847808892419E-3</v>
      </c>
      <c r="H8" s="3"/>
      <c r="I8" s="10"/>
      <c r="L8" s="90">
        <v>1.1100000000000001</v>
      </c>
    </row>
    <row r="9" spans="1:12" x14ac:dyDescent="0.15">
      <c r="A9" s="55" t="s">
        <v>120</v>
      </c>
      <c r="B9" s="44">
        <f>(475087114/10^7)*2538</f>
        <v>120577.10953320001</v>
      </c>
      <c r="C9" s="44">
        <f>12657.3+215.4</f>
        <v>12872.699999999999</v>
      </c>
      <c r="D9" s="44">
        <f>12629.32+503.68</f>
        <v>13133</v>
      </c>
      <c r="E9" s="43">
        <f t="shared" si="1"/>
        <v>26005.699999999997</v>
      </c>
      <c r="F9" s="56">
        <v>1.45</v>
      </c>
      <c r="G9" s="4">
        <f t="shared" si="0"/>
        <v>0.21567692326244992</v>
      </c>
      <c r="H9" s="3"/>
      <c r="I9" s="10"/>
      <c r="L9" s="90">
        <v>0.41</v>
      </c>
    </row>
    <row r="10" spans="1:12" x14ac:dyDescent="0.15">
      <c r="A10" s="55" t="s">
        <v>121</v>
      </c>
      <c r="B10" s="44">
        <f>(2936145309/10^7)*209.34</f>
        <v>61465.265898605998</v>
      </c>
      <c r="C10" s="44">
        <f>13868.63+86.63</f>
        <v>13955.259999999998</v>
      </c>
      <c r="D10" s="44">
        <f>26695.71+151.21</f>
        <v>26846.92</v>
      </c>
      <c r="E10" s="43">
        <f t="shared" si="1"/>
        <v>40802.179999999993</v>
      </c>
      <c r="F10" s="56">
        <v>1.78</v>
      </c>
      <c r="G10" s="4">
        <f t="shared" si="0"/>
        <v>0.6638249978013252</v>
      </c>
      <c r="H10" s="3"/>
      <c r="I10" s="10"/>
      <c r="L10" s="90">
        <v>0.83</v>
      </c>
    </row>
    <row r="11" spans="1:12" x14ac:dyDescent="0.15">
      <c r="A11" s="19" t="s">
        <v>73</v>
      </c>
      <c r="B11" s="19"/>
      <c r="C11" s="19"/>
      <c r="D11" s="19"/>
      <c r="E11" s="19"/>
      <c r="F11" s="20">
        <f>AVERAGE(F$4:F$10)</f>
        <v>1.2671428571428571</v>
      </c>
      <c r="G11" s="23">
        <f>AVERAGE(G$4:G$10)</f>
        <v>0.16882619083849329</v>
      </c>
      <c r="H11" s="22">
        <v>0.3</v>
      </c>
      <c r="I11" s="20">
        <f t="shared" ref="I11:I12" si="2">F11/(1+(1-H11)*G11)</f>
        <v>1.1332207207754208</v>
      </c>
    </row>
    <row r="12" spans="1:12" x14ac:dyDescent="0.15">
      <c r="A12" s="19" t="s">
        <v>76</v>
      </c>
      <c r="B12" s="19"/>
      <c r="C12" s="19"/>
      <c r="D12" s="19"/>
      <c r="E12" s="19"/>
      <c r="F12" s="20">
        <f>MEDIAN(F$4:F$10)</f>
        <v>1.18</v>
      </c>
      <c r="G12" s="23">
        <f>MEDIAN(G$4:G$10)</f>
        <v>7.2525515599574548E-3</v>
      </c>
      <c r="H12" s="22">
        <v>0.3</v>
      </c>
      <c r="I12" s="20">
        <f t="shared" si="2"/>
        <v>1.1740396518241973</v>
      </c>
    </row>
    <row r="14" spans="1:12" x14ac:dyDescent="0.15">
      <c r="A14" s="55" t="s">
        <v>112</v>
      </c>
      <c r="B14" s="7">
        <f>WACC!B15</f>
        <v>267902.766522625</v>
      </c>
      <c r="C14" s="44">
        <f>36351.56+1092.89+15385.12</f>
        <v>52829.57</v>
      </c>
      <c r="D14" s="44">
        <f>62148.53+7669.52+2547.9+1673.12</f>
        <v>74039.069999999992</v>
      </c>
      <c r="E14" s="43">
        <f t="shared" ref="E14" si="3">C14+D14</f>
        <v>126868.63999999998</v>
      </c>
      <c r="F14" s="10">
        <f>I11*(1+(1-H14)*G14)</f>
        <v>1.5088761179611716</v>
      </c>
      <c r="G14" s="4">
        <f>E14/B14</f>
        <v>0.47356226158749143</v>
      </c>
      <c r="H14" s="57">
        <v>0.3</v>
      </c>
      <c r="I14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K3:R27"/>
  <sheetViews>
    <sheetView zoomScale="62" workbookViewId="0">
      <selection activeCell="K10" sqref="K10"/>
    </sheetView>
  </sheetViews>
  <sheetFormatPr baseColWidth="10" defaultColWidth="8.83203125" defaultRowHeight="15" x14ac:dyDescent="0.2"/>
  <cols>
    <col min="11" max="11" width="34.1640625" bestFit="1" customWidth="1"/>
    <col min="13" max="13" width="13.1640625" customWidth="1"/>
    <col min="15" max="15" width="20.5" bestFit="1" customWidth="1"/>
  </cols>
  <sheetData>
    <row r="3" spans="11:15" x14ac:dyDescent="0.2">
      <c r="K3" t="s">
        <v>77</v>
      </c>
      <c r="L3" s="59">
        <v>4.3299999999999998E-2</v>
      </c>
      <c r="M3" t="s">
        <v>78</v>
      </c>
    </row>
    <row r="4" spans="11:15" x14ac:dyDescent="0.2">
      <c r="K4" t="s">
        <v>79</v>
      </c>
      <c r="L4" s="60">
        <f>WACC!B4</f>
        <v>2.18E-2</v>
      </c>
      <c r="M4" t="s">
        <v>80</v>
      </c>
    </row>
    <row r="5" spans="11:15" x14ac:dyDescent="0.2">
      <c r="K5" t="s">
        <v>81</v>
      </c>
      <c r="L5" s="61">
        <v>1.35</v>
      </c>
      <c r="M5" s="55" t="s">
        <v>82</v>
      </c>
    </row>
    <row r="6" spans="11:15" x14ac:dyDescent="0.2">
      <c r="K6" t="s">
        <v>83</v>
      </c>
      <c r="L6" s="62">
        <f>L4*L5</f>
        <v>2.9430000000000001E-2</v>
      </c>
      <c r="M6" t="s">
        <v>84</v>
      </c>
    </row>
    <row r="7" spans="11:15" x14ac:dyDescent="0.2">
      <c r="K7" s="63" t="s">
        <v>85</v>
      </c>
      <c r="L7" s="64">
        <f>L3+L6</f>
        <v>7.2730000000000003E-2</v>
      </c>
      <c r="M7" t="s">
        <v>86</v>
      </c>
    </row>
    <row r="9" spans="11:15" x14ac:dyDescent="0.2">
      <c r="K9" s="86" t="s">
        <v>122</v>
      </c>
      <c r="L9" s="86"/>
      <c r="M9" s="98" t="s">
        <v>130</v>
      </c>
      <c r="N9" s="98" t="s">
        <v>8</v>
      </c>
    </row>
    <row r="10" spans="11:15" x14ac:dyDescent="0.2">
      <c r="K10" t="s">
        <v>123</v>
      </c>
      <c r="L10" s="96">
        <v>127755.01</v>
      </c>
      <c r="M10" s="88">
        <f>L10/$L$16</f>
        <v>0.29172621320634678</v>
      </c>
      <c r="N10" s="62">
        <f>L7</f>
        <v>7.2730000000000003E-2</v>
      </c>
    </row>
    <row r="11" spans="11:15" x14ac:dyDescent="0.2">
      <c r="K11" t="s">
        <v>124</v>
      </c>
      <c r="L11" s="96">
        <v>67496.25</v>
      </c>
      <c r="M11" s="88">
        <f t="shared" ref="M11:M15" si="0">L11/$L$16</f>
        <v>0.15412644418507646</v>
      </c>
      <c r="N11" s="97">
        <v>4.3299999999999998E-2</v>
      </c>
    </row>
    <row r="12" spans="11:15" x14ac:dyDescent="0.2">
      <c r="K12" t="s">
        <v>125</v>
      </c>
      <c r="L12" s="96">
        <v>55008.95</v>
      </c>
      <c r="M12" s="88">
        <f t="shared" si="0"/>
        <v>0.12561192454180284</v>
      </c>
      <c r="N12" s="97">
        <v>5.1299999999999998E-2</v>
      </c>
    </row>
    <row r="13" spans="11:15" x14ac:dyDescent="0.2">
      <c r="K13" t="s">
        <v>126</v>
      </c>
      <c r="L13" s="96">
        <v>55528.12</v>
      </c>
      <c r="M13" s="88">
        <f t="shared" si="0"/>
        <v>0.12679743967823734</v>
      </c>
      <c r="N13" s="97">
        <v>5.45E-2</v>
      </c>
    </row>
    <row r="14" spans="11:15" x14ac:dyDescent="0.2">
      <c r="K14" t="s">
        <v>127</v>
      </c>
      <c r="L14" s="96">
        <v>57183.79</v>
      </c>
      <c r="M14" s="88">
        <f t="shared" si="0"/>
        <v>0.13057813164029311</v>
      </c>
      <c r="N14" s="97">
        <v>5.2699999999999997E-2</v>
      </c>
    </row>
    <row r="15" spans="11:15" x14ac:dyDescent="0.2">
      <c r="K15" t="s">
        <v>128</v>
      </c>
      <c r="L15" s="96">
        <v>74955.649999999994</v>
      </c>
      <c r="M15" s="88">
        <f t="shared" si="0"/>
        <v>0.17115984674824342</v>
      </c>
      <c r="N15" s="97">
        <f>N10</f>
        <v>7.2730000000000003E-2</v>
      </c>
    </row>
    <row r="16" spans="11:15" x14ac:dyDescent="0.2">
      <c r="K16" s="86" t="s">
        <v>129</v>
      </c>
      <c r="L16" s="87">
        <f>SUM(L10:L15)</f>
        <v>437927.77</v>
      </c>
      <c r="M16" s="89">
        <f>SUM(M10:M15)</f>
        <v>0.99999999999999978</v>
      </c>
      <c r="N16" s="91">
        <f>SUMPRODUCT(M10:M15,N10:N15)</f>
        <v>6.0575197902613023E-2</v>
      </c>
      <c r="O16" s="92"/>
    </row>
    <row r="18" spans="11:18" x14ac:dyDescent="0.2">
      <c r="K18" t="s">
        <v>136</v>
      </c>
      <c r="L18" s="99">
        <v>0.23</v>
      </c>
    </row>
    <row r="19" spans="11:18" x14ac:dyDescent="0.2">
      <c r="K19" t="s">
        <v>137</v>
      </c>
      <c r="L19" s="99">
        <v>0.17</v>
      </c>
      <c r="M19" s="81">
        <f>L18/L19</f>
        <v>1.3529411764705881</v>
      </c>
    </row>
    <row r="24" spans="11:18" x14ac:dyDescent="0.2">
      <c r="L24" s="80"/>
    </row>
    <row r="25" spans="11:18" x14ac:dyDescent="0.2">
      <c r="L25" s="81"/>
    </row>
    <row r="26" spans="11:18" x14ac:dyDescent="0.2">
      <c r="L26" s="80"/>
      <c r="M26" s="81"/>
      <c r="N26" s="81"/>
      <c r="O26" s="81"/>
      <c r="P26" s="81"/>
      <c r="Q26" s="81"/>
      <c r="R26" s="81"/>
    </row>
    <row r="27" spans="11:18" x14ac:dyDescent="0.2">
      <c r="L27" s="82"/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" zoomScale="113" zoomScaleNormal="115" workbookViewId="0">
      <selection activeCell="N25" sqref="N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Valuation</vt:lpstr>
      <vt:lpstr>WACC</vt:lpstr>
      <vt:lpstr>Beta</vt:lpstr>
      <vt:lpstr>ERP</vt:lpstr>
      <vt:lpstr>Backups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2025-06-24T11:48:15Z</dcterms:modified>
</cp:coreProperties>
</file>