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10511"/>
  <workbookPr defaultThemeVersion="124226"/>
  <mc:AlternateContent xmlns:mc="http://schemas.openxmlformats.org/markup-compatibility/2006">
    <mc:Choice Requires="x15">
      <x15ac:absPath xmlns:x15ac="http://schemas.microsoft.com/office/spreadsheetml/2010/11/ac" url="/Users/fin_guy/Downloads/Excel Files/"/>
    </mc:Choice>
  </mc:AlternateContent>
  <xr:revisionPtr revIDLastSave="0" documentId="13_ncr:1_{D914AF07-4E44-9246-A6D7-452F3DF97662}" xr6:coauthVersionLast="47" xr6:coauthVersionMax="47" xr10:uidLastSave="{00000000-0000-0000-0000-000000000000}"/>
  <bookViews>
    <workbookView xWindow="0" yWindow="500" windowWidth="28800" windowHeight="15820" tabRatio="959" xr2:uid="{00000000-000D-0000-FFFF-FFFF00000000}"/>
  </bookViews>
  <sheets>
    <sheet name="Assumptions" sheetId="1" r:id="rId1"/>
    <sheet name="P&amp;L Input" sheetId="2" r:id="rId2"/>
    <sheet name="BS Input" sheetId="3" r:id="rId3"/>
    <sheet name="Common Sizing" sheetId="4" r:id="rId4"/>
    <sheet name="Revenue Buildup" sheetId="5" r:id="rId5"/>
    <sheet name="Cost Buildup" sheetId="6" r:id="rId6"/>
    <sheet name="FAS" sheetId="13" r:id="rId7"/>
    <sheet name="BS items " sheetId="14" r:id="rId8"/>
    <sheet name="Working Capital" sheetId="7" r:id="rId9"/>
    <sheet name="Income Statement" sheetId="8" r:id="rId10"/>
    <sheet name="Balance Sheet" sheetId="9" r:id="rId11"/>
    <sheet name="Cash Flows" sheetId="10" r:id="rId12"/>
    <sheet name="Ratio Analysis" sheetId="16" r:id="rId13"/>
    <sheet name="Standard Income Statement" sheetId="18" r:id="rId14"/>
    <sheet name="Charts" sheetId="17" r:id="rId15"/>
    <sheet name="Equity Beta" sheetId="11" r:id="rId16"/>
    <sheet name="Market data" sheetId="15" r:id="rId17"/>
    <sheet name="DCF Valuation" sheetId="12" r:id="rId18"/>
  </sheets>
  <definedNames>
    <definedName name="_xlnm._FilterDatabase" localSheetId="15" hidden="1">'Equity Beta'!$B$7:$F$7</definedName>
    <definedName name="_xlnm._FilterDatabase" localSheetId="16" hidden="1">'Market data'!$B$7:$D$7</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D46" i="16" l="1"/>
  <c r="H278" i="13"/>
  <c r="I278" i="13" s="1"/>
  <c r="J278" i="13" s="1"/>
  <c r="K278" i="13" s="1"/>
  <c r="L278" i="13" s="1"/>
  <c r="M278" i="13" s="1"/>
  <c r="N278" i="13" s="1"/>
  <c r="O278" i="13" s="1"/>
  <c r="P278" i="13" s="1"/>
  <c r="Q278" i="13" s="1"/>
  <c r="H274" i="13"/>
  <c r="C273" i="13"/>
  <c r="H241" i="13"/>
  <c r="H233" i="13"/>
  <c r="I233" i="13" s="1"/>
  <c r="J233" i="13" s="1"/>
  <c r="K233" i="13" s="1"/>
  <c r="L233" i="13" s="1"/>
  <c r="M233" i="13" s="1"/>
  <c r="N233" i="13" s="1"/>
  <c r="O233" i="13" s="1"/>
  <c r="P233" i="13" s="1"/>
  <c r="Q233" i="13" s="1"/>
  <c r="I241" i="13"/>
  <c r="J241" i="13" s="1"/>
  <c r="K241" i="13" s="1"/>
  <c r="L241" i="13" s="1"/>
  <c r="M241" i="13" s="1"/>
  <c r="N241" i="13" s="1"/>
  <c r="O241" i="13" s="1"/>
  <c r="P241" i="13" s="1"/>
  <c r="Q241" i="13" s="1"/>
  <c r="H243" i="13"/>
  <c r="I243" i="13" s="1"/>
  <c r="J243" i="13" s="1"/>
  <c r="K243" i="13" s="1"/>
  <c r="L243" i="13" s="1"/>
  <c r="M243" i="13" s="1"/>
  <c r="N243" i="13" s="1"/>
  <c r="O243" i="13" s="1"/>
  <c r="P243" i="13" s="1"/>
  <c r="Q243" i="13" s="1"/>
  <c r="H255" i="13"/>
  <c r="I255" i="13" s="1"/>
  <c r="J255" i="13" s="1"/>
  <c r="K255" i="13" s="1"/>
  <c r="L255" i="13" s="1"/>
  <c r="M255" i="13" s="1"/>
  <c r="N255" i="13" s="1"/>
  <c r="O255" i="13" s="1"/>
  <c r="P255" i="13" s="1"/>
  <c r="Q255" i="13" s="1"/>
  <c r="H252" i="13"/>
  <c r="I252" i="13" s="1"/>
  <c r="J252" i="13" s="1"/>
  <c r="K252" i="13" s="1"/>
  <c r="L252" i="13" s="1"/>
  <c r="M252" i="13" s="1"/>
  <c r="N252" i="13" s="1"/>
  <c r="O252" i="13" s="1"/>
  <c r="P252" i="13" s="1"/>
  <c r="Q252" i="13" s="1"/>
  <c r="H251" i="13"/>
  <c r="I251" i="13" s="1"/>
  <c r="J251" i="13" s="1"/>
  <c r="K251" i="13" s="1"/>
  <c r="L251" i="13" s="1"/>
  <c r="M251" i="13" s="1"/>
  <c r="N251" i="13" s="1"/>
  <c r="O251" i="13" s="1"/>
  <c r="P251" i="13" s="1"/>
  <c r="Q251" i="13" s="1"/>
  <c r="H249" i="13"/>
  <c r="I249" i="13" s="1"/>
  <c r="J249" i="13" s="1"/>
  <c r="K249" i="13" s="1"/>
  <c r="L249" i="13" s="1"/>
  <c r="M249" i="13" s="1"/>
  <c r="N249" i="13" s="1"/>
  <c r="O249" i="13" s="1"/>
  <c r="P249" i="13" s="1"/>
  <c r="Q249" i="13" s="1"/>
  <c r="H239" i="13"/>
  <c r="I239" i="13" s="1"/>
  <c r="J239" i="13" s="1"/>
  <c r="K239" i="13" s="1"/>
  <c r="L239" i="13" s="1"/>
  <c r="M239" i="13" s="1"/>
  <c r="N239" i="13" s="1"/>
  <c r="O239" i="13" s="1"/>
  <c r="P239" i="13" s="1"/>
  <c r="Q239" i="13" s="1"/>
  <c r="H232" i="13"/>
  <c r="I232" i="13" s="1"/>
  <c r="J232" i="13" s="1"/>
  <c r="K232" i="13" s="1"/>
  <c r="L232" i="13" s="1"/>
  <c r="M232" i="13" s="1"/>
  <c r="N232" i="13" s="1"/>
  <c r="O232" i="13" s="1"/>
  <c r="P232" i="13" s="1"/>
  <c r="Q232" i="13" s="1"/>
  <c r="H237" i="13"/>
  <c r="H254" i="13"/>
  <c r="H265" i="13"/>
  <c r="I265" i="13" s="1"/>
  <c r="J265" i="13" s="1"/>
  <c r="K265" i="13" s="1"/>
  <c r="L265" i="13" s="1"/>
  <c r="M265" i="13" s="1"/>
  <c r="N265" i="13" s="1"/>
  <c r="O265" i="13" s="1"/>
  <c r="P265" i="13" s="1"/>
  <c r="Q265" i="13" s="1"/>
  <c r="H267" i="13"/>
  <c r="I267" i="13" s="1"/>
  <c r="J267" i="13" s="1"/>
  <c r="K267" i="13" s="1"/>
  <c r="L267" i="13" s="1"/>
  <c r="M267" i="13" s="1"/>
  <c r="N267" i="13" s="1"/>
  <c r="O267" i="13" s="1"/>
  <c r="P267" i="13" s="1"/>
  <c r="Q267" i="13" s="1"/>
  <c r="H260" i="13"/>
  <c r="I260" i="13" s="1"/>
  <c r="J260" i="13" s="1"/>
  <c r="K260" i="13" s="1"/>
  <c r="L260" i="13" s="1"/>
  <c r="M260" i="13" s="1"/>
  <c r="N260" i="13" s="1"/>
  <c r="O260" i="13" s="1"/>
  <c r="P260" i="13" s="1"/>
  <c r="Q260" i="13" s="1"/>
  <c r="H259" i="13"/>
  <c r="I259" i="13" s="1"/>
  <c r="J259" i="13" s="1"/>
  <c r="K259" i="13" s="1"/>
  <c r="L259" i="13" s="1"/>
  <c r="M259" i="13" s="1"/>
  <c r="N259" i="13" s="1"/>
  <c r="O259" i="13" s="1"/>
  <c r="P259" i="13" s="1"/>
  <c r="Q259" i="13" s="1"/>
  <c r="H257" i="13"/>
  <c r="I257" i="13" s="1"/>
  <c r="J257" i="13" s="1"/>
  <c r="K257" i="13" s="1"/>
  <c r="L257" i="13" s="1"/>
  <c r="M257" i="13" s="1"/>
  <c r="N257" i="13" s="1"/>
  <c r="O257" i="13" s="1"/>
  <c r="P257" i="13" s="1"/>
  <c r="Q257" i="13" s="1"/>
  <c r="H256" i="13"/>
  <c r="I256" i="13" s="1"/>
  <c r="J256" i="13" s="1"/>
  <c r="K256" i="13" s="1"/>
  <c r="L256" i="13" s="1"/>
  <c r="M256" i="13" s="1"/>
  <c r="N256" i="13" s="1"/>
  <c r="O256" i="13" s="1"/>
  <c r="P256" i="13" s="1"/>
  <c r="Q256" i="13" s="1"/>
  <c r="H248" i="13"/>
  <c r="I248" i="13" s="1"/>
  <c r="J248" i="13" s="1"/>
  <c r="K248" i="13" s="1"/>
  <c r="L248" i="13" s="1"/>
  <c r="M248" i="13" s="1"/>
  <c r="N248" i="13" s="1"/>
  <c r="O248" i="13" s="1"/>
  <c r="P248" i="13" s="1"/>
  <c r="Q248" i="13" s="1"/>
  <c r="H242" i="13"/>
  <c r="I242" i="13" s="1"/>
  <c r="J242" i="13" s="1"/>
  <c r="K242" i="13" s="1"/>
  <c r="L242" i="13" s="1"/>
  <c r="M242" i="13" s="1"/>
  <c r="N242" i="13" s="1"/>
  <c r="O242" i="13" s="1"/>
  <c r="P242" i="13" s="1"/>
  <c r="Q242" i="13" s="1"/>
  <c r="H240" i="13"/>
  <c r="I240" i="13" s="1"/>
  <c r="J240" i="13" s="1"/>
  <c r="K240" i="13" s="1"/>
  <c r="L240" i="13" s="1"/>
  <c r="M240" i="13" s="1"/>
  <c r="N240" i="13" s="1"/>
  <c r="O240" i="13" s="1"/>
  <c r="P240" i="13" s="1"/>
  <c r="Q240" i="13" s="1"/>
  <c r="H238" i="13"/>
  <c r="I238" i="13" s="1"/>
  <c r="J238" i="13" s="1"/>
  <c r="K238" i="13" s="1"/>
  <c r="L238" i="13" s="1"/>
  <c r="M238" i="13" s="1"/>
  <c r="N238" i="13" s="1"/>
  <c r="O238" i="13" s="1"/>
  <c r="P238" i="13" s="1"/>
  <c r="Q238" i="13" s="1"/>
  <c r="H235" i="13"/>
  <c r="I235" i="13" s="1"/>
  <c r="J235" i="13" s="1"/>
  <c r="K235" i="13" s="1"/>
  <c r="L235" i="13" s="1"/>
  <c r="M235" i="13" s="1"/>
  <c r="N235" i="13" s="1"/>
  <c r="O235" i="13" s="1"/>
  <c r="P235" i="13" s="1"/>
  <c r="Q235" i="13" s="1"/>
  <c r="H234" i="13"/>
  <c r="I234" i="13" s="1"/>
  <c r="J234" i="13" s="1"/>
  <c r="K234" i="13" s="1"/>
  <c r="L234" i="13" s="1"/>
  <c r="M234" i="13" s="1"/>
  <c r="N234" i="13" s="1"/>
  <c r="O234" i="13" s="1"/>
  <c r="P234" i="13" s="1"/>
  <c r="Q234" i="13" s="1"/>
  <c r="H231" i="13"/>
  <c r="I231" i="13" s="1"/>
  <c r="J231" i="13" s="1"/>
  <c r="K231" i="13" s="1"/>
  <c r="L231" i="13" s="1"/>
  <c r="M231" i="13" s="1"/>
  <c r="N231" i="13" s="1"/>
  <c r="O231" i="13" s="1"/>
  <c r="P231" i="13" s="1"/>
  <c r="Q231" i="13" s="1"/>
  <c r="H223" i="13"/>
  <c r="I223" i="13" s="1"/>
  <c r="J223" i="13" s="1"/>
  <c r="K223" i="13" s="1"/>
  <c r="L223" i="13" s="1"/>
  <c r="M223" i="13" s="1"/>
  <c r="N223" i="13" s="1"/>
  <c r="O223" i="13" s="1"/>
  <c r="P223" i="13" s="1"/>
  <c r="Q223" i="13" s="1"/>
  <c r="H222" i="13"/>
  <c r="I222" i="13" s="1"/>
  <c r="J222" i="13" s="1"/>
  <c r="K222" i="13" s="1"/>
  <c r="L222" i="13" s="1"/>
  <c r="M222" i="13" s="1"/>
  <c r="N222" i="13" s="1"/>
  <c r="O222" i="13" s="1"/>
  <c r="P222" i="13" s="1"/>
  <c r="Q222" i="13" s="1"/>
  <c r="H221" i="13"/>
  <c r="I221" i="13" s="1"/>
  <c r="J221" i="13" s="1"/>
  <c r="K221" i="13" s="1"/>
  <c r="L221" i="13" s="1"/>
  <c r="M221" i="13" s="1"/>
  <c r="N221" i="13" s="1"/>
  <c r="O221" i="13" s="1"/>
  <c r="P221" i="13" s="1"/>
  <c r="Q221" i="13" s="1"/>
  <c r="H216" i="13"/>
  <c r="I216" i="13" s="1"/>
  <c r="J216" i="13" s="1"/>
  <c r="K216" i="13" s="1"/>
  <c r="L216" i="13" s="1"/>
  <c r="M216" i="13" s="1"/>
  <c r="N216" i="13" s="1"/>
  <c r="O216" i="13" s="1"/>
  <c r="P216" i="13" s="1"/>
  <c r="Q216" i="13" s="1"/>
  <c r="H215" i="13"/>
  <c r="I215" i="13" s="1"/>
  <c r="J215" i="13" s="1"/>
  <c r="K215" i="13" s="1"/>
  <c r="L215" i="13" s="1"/>
  <c r="M215" i="13" s="1"/>
  <c r="N215" i="13" s="1"/>
  <c r="O215" i="13" s="1"/>
  <c r="P215" i="13" s="1"/>
  <c r="Q215" i="13" s="1"/>
  <c r="H214" i="13"/>
  <c r="I214" i="13" s="1"/>
  <c r="J214" i="13" s="1"/>
  <c r="K214" i="13" s="1"/>
  <c r="L214" i="13" s="1"/>
  <c r="M214" i="13" s="1"/>
  <c r="N214" i="13" s="1"/>
  <c r="O214" i="13" s="1"/>
  <c r="P214" i="13" s="1"/>
  <c r="Q214" i="13" s="1"/>
  <c r="H209" i="13"/>
  <c r="I209" i="13" s="1"/>
  <c r="J209" i="13" s="1"/>
  <c r="K209" i="13" s="1"/>
  <c r="L209" i="13" s="1"/>
  <c r="M209" i="13" s="1"/>
  <c r="N209" i="13" s="1"/>
  <c r="O209" i="13" s="1"/>
  <c r="P209" i="13" s="1"/>
  <c r="Q209" i="13" s="1"/>
  <c r="H208" i="13"/>
  <c r="I208" i="13" s="1"/>
  <c r="J208" i="13" s="1"/>
  <c r="K208" i="13" s="1"/>
  <c r="L208" i="13" s="1"/>
  <c r="M208" i="13" s="1"/>
  <c r="N208" i="13" s="1"/>
  <c r="O208" i="13" s="1"/>
  <c r="P208" i="13" s="1"/>
  <c r="Q208" i="13" s="1"/>
  <c r="H207" i="13"/>
  <c r="I207" i="13" s="1"/>
  <c r="J207" i="13" s="1"/>
  <c r="K207" i="13" s="1"/>
  <c r="L207" i="13" s="1"/>
  <c r="M207" i="13" s="1"/>
  <c r="N207" i="13" s="1"/>
  <c r="O207" i="13" s="1"/>
  <c r="P207" i="13" s="1"/>
  <c r="Q207" i="13" s="1"/>
  <c r="H202" i="13"/>
  <c r="I202" i="13" s="1"/>
  <c r="J202" i="13" s="1"/>
  <c r="K202" i="13" s="1"/>
  <c r="L202" i="13" s="1"/>
  <c r="M202" i="13" s="1"/>
  <c r="N202" i="13" s="1"/>
  <c r="O202" i="13" s="1"/>
  <c r="P202" i="13" s="1"/>
  <c r="Q202" i="13" s="1"/>
  <c r="H201" i="13"/>
  <c r="I201" i="13" s="1"/>
  <c r="J201" i="13" s="1"/>
  <c r="K201" i="13" s="1"/>
  <c r="L201" i="13" s="1"/>
  <c r="M201" i="13" s="1"/>
  <c r="N201" i="13" s="1"/>
  <c r="O201" i="13" s="1"/>
  <c r="P201" i="13" s="1"/>
  <c r="Q201" i="13" s="1"/>
  <c r="H199" i="13"/>
  <c r="I199" i="13" s="1"/>
  <c r="J199" i="13" s="1"/>
  <c r="K199" i="13" s="1"/>
  <c r="L199" i="13" s="1"/>
  <c r="M199" i="13" s="1"/>
  <c r="N199" i="13" s="1"/>
  <c r="O199" i="13" s="1"/>
  <c r="P199" i="13" s="1"/>
  <c r="Q199" i="13" s="1"/>
  <c r="H194" i="13"/>
  <c r="I194" i="13" s="1"/>
  <c r="J194" i="13" s="1"/>
  <c r="K194" i="13" s="1"/>
  <c r="L194" i="13" s="1"/>
  <c r="M194" i="13" s="1"/>
  <c r="N194" i="13" s="1"/>
  <c r="O194" i="13" s="1"/>
  <c r="P194" i="13" s="1"/>
  <c r="Q194" i="13" s="1"/>
  <c r="H193" i="13"/>
  <c r="I193" i="13" s="1"/>
  <c r="J193" i="13" s="1"/>
  <c r="K193" i="13" s="1"/>
  <c r="L193" i="13" s="1"/>
  <c r="M193" i="13" s="1"/>
  <c r="N193" i="13" s="1"/>
  <c r="O193" i="13" s="1"/>
  <c r="P193" i="13" s="1"/>
  <c r="Q193" i="13" s="1"/>
  <c r="H191" i="13"/>
  <c r="I191" i="13" s="1"/>
  <c r="J191" i="13" s="1"/>
  <c r="K191" i="13" s="1"/>
  <c r="L191" i="13" s="1"/>
  <c r="M191" i="13" s="1"/>
  <c r="N191" i="13" s="1"/>
  <c r="O191" i="13" s="1"/>
  <c r="P191" i="13" s="1"/>
  <c r="Q191" i="13" s="1"/>
  <c r="H190" i="13"/>
  <c r="I190" i="13" s="1"/>
  <c r="J190" i="13" s="1"/>
  <c r="K190" i="13" s="1"/>
  <c r="L190" i="13" s="1"/>
  <c r="M190" i="13" s="1"/>
  <c r="N190" i="13" s="1"/>
  <c r="O190" i="13" s="1"/>
  <c r="P190" i="13" s="1"/>
  <c r="Q190" i="13" s="1"/>
  <c r="H157" i="13"/>
  <c r="H177" i="13"/>
  <c r="I177" i="13" s="1"/>
  <c r="J177" i="13" s="1"/>
  <c r="K177" i="13" s="1"/>
  <c r="L177" i="13" s="1"/>
  <c r="M177" i="13" s="1"/>
  <c r="N177" i="13" s="1"/>
  <c r="O177" i="13" s="1"/>
  <c r="P177" i="13" s="1"/>
  <c r="Q177" i="13" s="1"/>
  <c r="H176" i="13"/>
  <c r="I176" i="13" s="1"/>
  <c r="J176" i="13" s="1"/>
  <c r="K176" i="13" s="1"/>
  <c r="L176" i="13" s="1"/>
  <c r="M176" i="13" s="1"/>
  <c r="N176" i="13" s="1"/>
  <c r="O176" i="13" s="1"/>
  <c r="P176" i="13" s="1"/>
  <c r="Q176" i="13" s="1"/>
  <c r="H181" i="13"/>
  <c r="I181" i="13" s="1"/>
  <c r="J181" i="13" s="1"/>
  <c r="K181" i="13" s="1"/>
  <c r="L181" i="13" s="1"/>
  <c r="M181" i="13" s="1"/>
  <c r="N181" i="13" s="1"/>
  <c r="O181" i="13" s="1"/>
  <c r="P181" i="13" s="1"/>
  <c r="Q181" i="13" s="1"/>
  <c r="H180" i="13"/>
  <c r="I180" i="13" s="1"/>
  <c r="J180" i="13" s="1"/>
  <c r="K180" i="13" s="1"/>
  <c r="L180" i="13" s="1"/>
  <c r="M180" i="13" s="1"/>
  <c r="N180" i="13" s="1"/>
  <c r="O180" i="13" s="1"/>
  <c r="P180" i="13" s="1"/>
  <c r="Q180" i="13" s="1"/>
  <c r="H179" i="13"/>
  <c r="I179" i="13" s="1"/>
  <c r="J179" i="13" s="1"/>
  <c r="K179" i="13" s="1"/>
  <c r="L179" i="13" s="1"/>
  <c r="M179" i="13" s="1"/>
  <c r="N179" i="13" s="1"/>
  <c r="O179" i="13" s="1"/>
  <c r="P179" i="13" s="1"/>
  <c r="Q179" i="13" s="1"/>
  <c r="H164" i="13"/>
  <c r="I164" i="13" s="1"/>
  <c r="J164" i="13" s="1"/>
  <c r="K164" i="13" s="1"/>
  <c r="L164" i="13" s="1"/>
  <c r="M164" i="13" s="1"/>
  <c r="N164" i="13" s="1"/>
  <c r="O164" i="13" s="1"/>
  <c r="P164" i="13" s="1"/>
  <c r="Q164" i="13" s="1"/>
  <c r="H163" i="13"/>
  <c r="I163" i="13" s="1"/>
  <c r="J163" i="13" s="1"/>
  <c r="K163" i="13" s="1"/>
  <c r="L163" i="13" s="1"/>
  <c r="M163" i="13" s="1"/>
  <c r="N163" i="13" s="1"/>
  <c r="O163" i="13" s="1"/>
  <c r="P163" i="13" s="1"/>
  <c r="Q163" i="13" s="1"/>
  <c r="H161" i="13"/>
  <c r="I161" i="13" s="1"/>
  <c r="J161" i="13" s="1"/>
  <c r="K161" i="13" s="1"/>
  <c r="L161" i="13" s="1"/>
  <c r="M161" i="13" s="1"/>
  <c r="N161" i="13" s="1"/>
  <c r="O161" i="13" s="1"/>
  <c r="P161" i="13" s="1"/>
  <c r="Q161" i="13" s="1"/>
  <c r="H159" i="13"/>
  <c r="I159" i="13" s="1"/>
  <c r="J159" i="13" s="1"/>
  <c r="K159" i="13" s="1"/>
  <c r="L159" i="13" s="1"/>
  <c r="M159" i="13" s="1"/>
  <c r="N159" i="13" s="1"/>
  <c r="O159" i="13" s="1"/>
  <c r="P159" i="13" s="1"/>
  <c r="Q159" i="13" s="1"/>
  <c r="H158" i="13"/>
  <c r="I158" i="13" s="1"/>
  <c r="J158" i="13" s="1"/>
  <c r="K158" i="13" s="1"/>
  <c r="L158" i="13" s="1"/>
  <c r="M158" i="13" s="1"/>
  <c r="N158" i="13" s="1"/>
  <c r="O158" i="13" s="1"/>
  <c r="P158" i="13" s="1"/>
  <c r="Q158" i="13" s="1"/>
  <c r="H155" i="13"/>
  <c r="I155" i="13" s="1"/>
  <c r="J155" i="13" s="1"/>
  <c r="K155" i="13" s="1"/>
  <c r="L155" i="13" s="1"/>
  <c r="M155" i="13" s="1"/>
  <c r="N155" i="13" s="1"/>
  <c r="O155" i="13" s="1"/>
  <c r="P155" i="13" s="1"/>
  <c r="Q155" i="13" s="1"/>
  <c r="H152" i="13"/>
  <c r="I152" i="13" s="1"/>
  <c r="J152" i="13" s="1"/>
  <c r="K152" i="13" s="1"/>
  <c r="L152" i="13" s="1"/>
  <c r="M152" i="13" s="1"/>
  <c r="N152" i="13" s="1"/>
  <c r="O152" i="13" s="1"/>
  <c r="P152" i="13" s="1"/>
  <c r="Q152" i="13" s="1"/>
  <c r="H151" i="13"/>
  <c r="I151" i="13" s="1"/>
  <c r="J151" i="13" s="1"/>
  <c r="K151" i="13" s="1"/>
  <c r="L151" i="13" s="1"/>
  <c r="M151" i="13" s="1"/>
  <c r="N151" i="13" s="1"/>
  <c r="O151" i="13" s="1"/>
  <c r="P151" i="13" s="1"/>
  <c r="Q151" i="13" s="1"/>
  <c r="H149" i="13"/>
  <c r="I149" i="13" s="1"/>
  <c r="J149" i="13" s="1"/>
  <c r="K149" i="13" s="1"/>
  <c r="L149" i="13" s="1"/>
  <c r="M149" i="13" s="1"/>
  <c r="N149" i="13" s="1"/>
  <c r="O149" i="13" s="1"/>
  <c r="P149" i="13" s="1"/>
  <c r="Q149" i="13" s="1"/>
  <c r="H137" i="13"/>
  <c r="H144" i="13"/>
  <c r="I144" i="13" s="1"/>
  <c r="J144" i="13" s="1"/>
  <c r="K144" i="13" s="1"/>
  <c r="L144" i="13" s="1"/>
  <c r="M144" i="13" s="1"/>
  <c r="N144" i="13" s="1"/>
  <c r="O144" i="13" s="1"/>
  <c r="P144" i="13" s="1"/>
  <c r="Q144" i="13" s="1"/>
  <c r="H143" i="13"/>
  <c r="I143" i="13" s="1"/>
  <c r="J143" i="13" s="1"/>
  <c r="K143" i="13" s="1"/>
  <c r="L143" i="13" s="1"/>
  <c r="M143" i="13" s="1"/>
  <c r="N143" i="13" s="1"/>
  <c r="O143" i="13" s="1"/>
  <c r="P143" i="13" s="1"/>
  <c r="Q143" i="13" s="1"/>
  <c r="H141" i="13"/>
  <c r="I141" i="13" s="1"/>
  <c r="J141" i="13" s="1"/>
  <c r="K141" i="13" s="1"/>
  <c r="L141" i="13" s="1"/>
  <c r="M141" i="13" s="1"/>
  <c r="N141" i="13" s="1"/>
  <c r="O141" i="13" s="1"/>
  <c r="P141" i="13" s="1"/>
  <c r="Q141" i="13" s="1"/>
  <c r="H139" i="13"/>
  <c r="I139" i="13" s="1"/>
  <c r="J139" i="13" s="1"/>
  <c r="K139" i="13" s="1"/>
  <c r="L139" i="13" s="1"/>
  <c r="M139" i="13" s="1"/>
  <c r="N139" i="13" s="1"/>
  <c r="O139" i="13" s="1"/>
  <c r="P139" i="13" s="1"/>
  <c r="Q139" i="13" s="1"/>
  <c r="H138" i="13"/>
  <c r="I138" i="13" s="1"/>
  <c r="J138" i="13" s="1"/>
  <c r="K138" i="13" s="1"/>
  <c r="L138" i="13" s="1"/>
  <c r="M138" i="13" s="1"/>
  <c r="N138" i="13" s="1"/>
  <c r="O138" i="13" s="1"/>
  <c r="P138" i="13" s="1"/>
  <c r="Q138" i="13" s="1"/>
  <c r="H135" i="13"/>
  <c r="I135" i="13" s="1"/>
  <c r="J135" i="13" s="1"/>
  <c r="K135" i="13" s="1"/>
  <c r="L135" i="13" s="1"/>
  <c r="M135" i="13" s="1"/>
  <c r="N135" i="13" s="1"/>
  <c r="O135" i="13" s="1"/>
  <c r="P135" i="13" s="1"/>
  <c r="Q135" i="13" s="1"/>
  <c r="H132" i="13"/>
  <c r="I132" i="13" s="1"/>
  <c r="J132" i="13" s="1"/>
  <c r="K132" i="13" s="1"/>
  <c r="L132" i="13" s="1"/>
  <c r="M132" i="13" s="1"/>
  <c r="N132" i="13" s="1"/>
  <c r="O132" i="13" s="1"/>
  <c r="P132" i="13" s="1"/>
  <c r="Q132" i="13" s="1"/>
  <c r="H131" i="13"/>
  <c r="I131" i="13" s="1"/>
  <c r="J131" i="13" s="1"/>
  <c r="K131" i="13" s="1"/>
  <c r="L131" i="13" s="1"/>
  <c r="M131" i="13" s="1"/>
  <c r="N131" i="13" s="1"/>
  <c r="O131" i="13" s="1"/>
  <c r="P131" i="13" s="1"/>
  <c r="Q131" i="13" s="1"/>
  <c r="H129" i="13"/>
  <c r="I129" i="13" s="1"/>
  <c r="J129" i="13" s="1"/>
  <c r="K129" i="13" s="1"/>
  <c r="L129" i="13" s="1"/>
  <c r="M129" i="13" s="1"/>
  <c r="N129" i="13" s="1"/>
  <c r="O129" i="13" s="1"/>
  <c r="P129" i="13" s="1"/>
  <c r="Q129" i="13" s="1"/>
  <c r="J117" i="13"/>
  <c r="H117" i="13"/>
  <c r="H124" i="13"/>
  <c r="I124" i="13" s="1"/>
  <c r="J124" i="13" s="1"/>
  <c r="K124" i="13" s="1"/>
  <c r="L124" i="13" s="1"/>
  <c r="M124" i="13" s="1"/>
  <c r="N124" i="13" s="1"/>
  <c r="O124" i="13" s="1"/>
  <c r="P124" i="13" s="1"/>
  <c r="Q124" i="13" s="1"/>
  <c r="H123" i="13"/>
  <c r="I123" i="13" s="1"/>
  <c r="J123" i="13" s="1"/>
  <c r="K123" i="13" s="1"/>
  <c r="L123" i="13" s="1"/>
  <c r="M123" i="13" s="1"/>
  <c r="N123" i="13" s="1"/>
  <c r="O123" i="13" s="1"/>
  <c r="P123" i="13" s="1"/>
  <c r="Q123" i="13" s="1"/>
  <c r="H121" i="13"/>
  <c r="I121" i="13" s="1"/>
  <c r="J121" i="13" s="1"/>
  <c r="K121" i="13" s="1"/>
  <c r="L121" i="13" s="1"/>
  <c r="M121" i="13" s="1"/>
  <c r="N121" i="13" s="1"/>
  <c r="O121" i="13" s="1"/>
  <c r="P121" i="13" s="1"/>
  <c r="Q121" i="13" s="1"/>
  <c r="H119" i="13"/>
  <c r="I119" i="13" s="1"/>
  <c r="J119" i="13" s="1"/>
  <c r="K119" i="13" s="1"/>
  <c r="L119" i="13" s="1"/>
  <c r="M119" i="13" s="1"/>
  <c r="N119" i="13" s="1"/>
  <c r="O119" i="13" s="1"/>
  <c r="P119" i="13" s="1"/>
  <c r="Q119" i="13" s="1"/>
  <c r="H118" i="13"/>
  <c r="I118" i="13" s="1"/>
  <c r="J118" i="13" s="1"/>
  <c r="K118" i="13" s="1"/>
  <c r="L118" i="13" s="1"/>
  <c r="M118" i="13" s="1"/>
  <c r="N118" i="13" s="1"/>
  <c r="O118" i="13" s="1"/>
  <c r="P118" i="13" s="1"/>
  <c r="Q118" i="13" s="1"/>
  <c r="H115" i="13"/>
  <c r="I115" i="13" s="1"/>
  <c r="J115" i="13" s="1"/>
  <c r="K115" i="13" s="1"/>
  <c r="L115" i="13" s="1"/>
  <c r="M115" i="13" s="1"/>
  <c r="N115" i="13" s="1"/>
  <c r="O115" i="13" s="1"/>
  <c r="P115" i="13" s="1"/>
  <c r="Q115" i="13" s="1"/>
  <c r="H113" i="13"/>
  <c r="I113" i="13" s="1"/>
  <c r="J113" i="13" s="1"/>
  <c r="K113" i="13" s="1"/>
  <c r="L113" i="13" s="1"/>
  <c r="M113" i="13" s="1"/>
  <c r="N113" i="13" s="1"/>
  <c r="O113" i="13" s="1"/>
  <c r="P113" i="13" s="1"/>
  <c r="Q113" i="13" s="1"/>
  <c r="H112" i="13"/>
  <c r="I112" i="13" s="1"/>
  <c r="J112" i="13" s="1"/>
  <c r="K112" i="13" s="1"/>
  <c r="L112" i="13" s="1"/>
  <c r="M112" i="13" s="1"/>
  <c r="N112" i="13" s="1"/>
  <c r="O112" i="13" s="1"/>
  <c r="P112" i="13" s="1"/>
  <c r="Q112" i="13" s="1"/>
  <c r="H110" i="13"/>
  <c r="I110" i="13" s="1"/>
  <c r="J110" i="13" s="1"/>
  <c r="K110" i="13" s="1"/>
  <c r="L110" i="13" s="1"/>
  <c r="M110" i="13" s="1"/>
  <c r="N110" i="13" s="1"/>
  <c r="O110" i="13" s="1"/>
  <c r="P110" i="13" s="1"/>
  <c r="Q110" i="13" s="1"/>
  <c r="H98" i="13"/>
  <c r="H43" i="13"/>
  <c r="I43" i="13"/>
  <c r="J43" i="13"/>
  <c r="K43" i="13"/>
  <c r="L43" i="13" s="1"/>
  <c r="M43" i="13" s="1"/>
  <c r="N43" i="13" s="1"/>
  <c r="O43" i="13" s="1"/>
  <c r="P43" i="13" s="1"/>
  <c r="Q43" i="13" s="1"/>
  <c r="H59" i="13"/>
  <c r="I59" i="13"/>
  <c r="J59" i="13"/>
  <c r="K59" i="13"/>
  <c r="L59" i="13"/>
  <c r="M59" i="13"/>
  <c r="N59" i="13"/>
  <c r="O59" i="13"/>
  <c r="P59" i="13" s="1"/>
  <c r="Q59" i="13" s="1"/>
  <c r="I76" i="13"/>
  <c r="J76" i="13" s="1"/>
  <c r="K76" i="13" s="1"/>
  <c r="L76" i="13" s="1"/>
  <c r="M76" i="13" s="1"/>
  <c r="N76" i="13" s="1"/>
  <c r="O76" i="13" s="1"/>
  <c r="P76" i="13" s="1"/>
  <c r="Q76" i="13" s="1"/>
  <c r="H76" i="13"/>
  <c r="I98" i="13"/>
  <c r="J98" i="13" s="1"/>
  <c r="K98" i="13" s="1"/>
  <c r="L98" i="13" s="1"/>
  <c r="M98" i="13" s="1"/>
  <c r="N98" i="13" s="1"/>
  <c r="O98" i="13" s="1"/>
  <c r="P98" i="13" s="1"/>
  <c r="Q98" i="13" s="1"/>
  <c r="H105" i="13"/>
  <c r="I105" i="13" s="1"/>
  <c r="J105" i="13" s="1"/>
  <c r="K105" i="13" s="1"/>
  <c r="L105" i="13" s="1"/>
  <c r="M105" i="13" s="1"/>
  <c r="N105" i="13" s="1"/>
  <c r="O105" i="13" s="1"/>
  <c r="P105" i="13" s="1"/>
  <c r="Q105" i="13" s="1"/>
  <c r="H102" i="13"/>
  <c r="I102" i="13" s="1"/>
  <c r="J102" i="13" s="1"/>
  <c r="K102" i="13" s="1"/>
  <c r="L102" i="13" s="1"/>
  <c r="M102" i="13" s="1"/>
  <c r="N102" i="13" s="1"/>
  <c r="O102" i="13" s="1"/>
  <c r="P102" i="13" s="1"/>
  <c r="Q102" i="13" s="1"/>
  <c r="H100" i="13"/>
  <c r="I100" i="13" s="1"/>
  <c r="J100" i="13" s="1"/>
  <c r="K100" i="13" s="1"/>
  <c r="L100" i="13" s="1"/>
  <c r="M100" i="13" s="1"/>
  <c r="N100" i="13" s="1"/>
  <c r="O100" i="13" s="1"/>
  <c r="P100" i="13" s="1"/>
  <c r="Q100" i="13" s="1"/>
  <c r="H99" i="13"/>
  <c r="I99" i="13" s="1"/>
  <c r="J99" i="13" s="1"/>
  <c r="K99" i="13" s="1"/>
  <c r="L99" i="13" s="1"/>
  <c r="M99" i="13" s="1"/>
  <c r="N99" i="13" s="1"/>
  <c r="O99" i="13" s="1"/>
  <c r="P99" i="13" s="1"/>
  <c r="Q99" i="13" s="1"/>
  <c r="H96" i="13"/>
  <c r="I96" i="13" s="1"/>
  <c r="J96" i="13" s="1"/>
  <c r="K96" i="13" s="1"/>
  <c r="L96" i="13" s="1"/>
  <c r="M96" i="13" s="1"/>
  <c r="N96" i="13" s="1"/>
  <c r="O96" i="13" s="1"/>
  <c r="P96" i="13" s="1"/>
  <c r="Q96" i="13" s="1"/>
  <c r="H93" i="13"/>
  <c r="I93" i="13" s="1"/>
  <c r="J93" i="13" s="1"/>
  <c r="K93" i="13" s="1"/>
  <c r="L93" i="13" s="1"/>
  <c r="M93" i="13" s="1"/>
  <c r="N93" i="13" s="1"/>
  <c r="O93" i="13" s="1"/>
  <c r="P93" i="13" s="1"/>
  <c r="Q93" i="13" s="1"/>
  <c r="H92" i="13"/>
  <c r="I92" i="13" s="1"/>
  <c r="J92" i="13" s="1"/>
  <c r="K92" i="13" s="1"/>
  <c r="L92" i="13" s="1"/>
  <c r="M92" i="13" s="1"/>
  <c r="N92" i="13" s="1"/>
  <c r="O92" i="13" s="1"/>
  <c r="P92" i="13" s="1"/>
  <c r="Q92" i="13" s="1"/>
  <c r="H89" i="13"/>
  <c r="I89" i="13" s="1"/>
  <c r="J89" i="13" s="1"/>
  <c r="K89" i="13" s="1"/>
  <c r="L89" i="13" s="1"/>
  <c r="M89" i="13" s="1"/>
  <c r="N89" i="13" s="1"/>
  <c r="O89" i="13" s="1"/>
  <c r="P89" i="13" s="1"/>
  <c r="Q89" i="13" s="1"/>
  <c r="H84" i="13"/>
  <c r="I84" i="13" s="1"/>
  <c r="J84" i="13" s="1"/>
  <c r="K84" i="13" s="1"/>
  <c r="L84" i="13" s="1"/>
  <c r="M84" i="13" s="1"/>
  <c r="N84" i="13" s="1"/>
  <c r="O84" i="13" s="1"/>
  <c r="P84" i="13" s="1"/>
  <c r="Q84" i="13" s="1"/>
  <c r="H83" i="13"/>
  <c r="I83" i="13" s="1"/>
  <c r="J83" i="13" s="1"/>
  <c r="K83" i="13" s="1"/>
  <c r="L83" i="13" s="1"/>
  <c r="M83" i="13" s="1"/>
  <c r="N83" i="13" s="1"/>
  <c r="O83" i="13" s="1"/>
  <c r="P83" i="13" s="1"/>
  <c r="Q83" i="13" s="1"/>
  <c r="H81" i="13"/>
  <c r="I81" i="13" s="1"/>
  <c r="J81" i="13" s="1"/>
  <c r="K81" i="13" s="1"/>
  <c r="L81" i="13" s="1"/>
  <c r="M81" i="13" s="1"/>
  <c r="N81" i="13" s="1"/>
  <c r="O81" i="13" s="1"/>
  <c r="P81" i="13" s="1"/>
  <c r="Q81" i="13" s="1"/>
  <c r="H78" i="13"/>
  <c r="I78" i="13" s="1"/>
  <c r="J78" i="13" s="1"/>
  <c r="K78" i="13" s="1"/>
  <c r="L78" i="13" s="1"/>
  <c r="M78" i="13" s="1"/>
  <c r="N78" i="13" s="1"/>
  <c r="O78" i="13" s="1"/>
  <c r="P78" i="13" s="1"/>
  <c r="Q78" i="13" s="1"/>
  <c r="H77" i="13"/>
  <c r="I77" i="13" s="1"/>
  <c r="J77" i="13" s="1"/>
  <c r="K77" i="13" s="1"/>
  <c r="L77" i="13" s="1"/>
  <c r="M77" i="13" s="1"/>
  <c r="N77" i="13" s="1"/>
  <c r="O77" i="13" s="1"/>
  <c r="P77" i="13" s="1"/>
  <c r="Q77" i="13" s="1"/>
  <c r="H74" i="13"/>
  <c r="I74" i="13" s="1"/>
  <c r="J74" i="13" s="1"/>
  <c r="K74" i="13" s="1"/>
  <c r="L74" i="13" s="1"/>
  <c r="M74" i="13" s="1"/>
  <c r="N74" i="13" s="1"/>
  <c r="O74" i="13" s="1"/>
  <c r="P74" i="13" s="1"/>
  <c r="Q74" i="13" s="1"/>
  <c r="H71" i="13"/>
  <c r="I71" i="13" s="1"/>
  <c r="J71" i="13" s="1"/>
  <c r="K71" i="13" s="1"/>
  <c r="L71" i="13" s="1"/>
  <c r="M71" i="13" s="1"/>
  <c r="N71" i="13" s="1"/>
  <c r="O71" i="13" s="1"/>
  <c r="P71" i="13" s="1"/>
  <c r="Q71" i="13" s="1"/>
  <c r="H70" i="13"/>
  <c r="I70" i="13" s="1"/>
  <c r="J70" i="13" s="1"/>
  <c r="K70" i="13" s="1"/>
  <c r="L70" i="13" s="1"/>
  <c r="M70" i="13" s="1"/>
  <c r="N70" i="13" s="1"/>
  <c r="O70" i="13" s="1"/>
  <c r="P70" i="13" s="1"/>
  <c r="Q70" i="13" s="1"/>
  <c r="H68" i="13"/>
  <c r="I68" i="13" s="1"/>
  <c r="J68" i="13" s="1"/>
  <c r="K68" i="13" s="1"/>
  <c r="L68" i="13" s="1"/>
  <c r="M68" i="13" s="1"/>
  <c r="N68" i="13" s="1"/>
  <c r="O68" i="13" s="1"/>
  <c r="P68" i="13" s="1"/>
  <c r="Q68" i="13" s="1"/>
  <c r="H58" i="13"/>
  <c r="H63" i="13"/>
  <c r="I63" i="13" s="1"/>
  <c r="J63" i="13" s="1"/>
  <c r="K63" i="13" s="1"/>
  <c r="L63" i="13" s="1"/>
  <c r="M63" i="13" s="1"/>
  <c r="N63" i="13" s="1"/>
  <c r="O63" i="13" s="1"/>
  <c r="P63" i="13" s="1"/>
  <c r="Q63" i="13" s="1"/>
  <c r="H62" i="13"/>
  <c r="I62" i="13" s="1"/>
  <c r="J62" i="13" s="1"/>
  <c r="K62" i="13" s="1"/>
  <c r="L62" i="13" s="1"/>
  <c r="M62" i="13" s="1"/>
  <c r="N62" i="13" s="1"/>
  <c r="O62" i="13" s="1"/>
  <c r="P62" i="13" s="1"/>
  <c r="Q62" i="13" s="1"/>
  <c r="H60" i="13"/>
  <c r="I60" i="13" s="1"/>
  <c r="J60" i="13" s="1"/>
  <c r="K60" i="13" s="1"/>
  <c r="L60" i="13" s="1"/>
  <c r="M60" i="13" s="1"/>
  <c r="N60" i="13" s="1"/>
  <c r="O60" i="13" s="1"/>
  <c r="P60" i="13" s="1"/>
  <c r="Q60" i="13" s="1"/>
  <c r="H57" i="13"/>
  <c r="I57" i="13" s="1"/>
  <c r="J57" i="13" s="1"/>
  <c r="K57" i="13" s="1"/>
  <c r="L57" i="13" s="1"/>
  <c r="M57" i="13" s="1"/>
  <c r="N57" i="13" s="1"/>
  <c r="O57" i="13" s="1"/>
  <c r="P57" i="13" s="1"/>
  <c r="Q57" i="13" s="1"/>
  <c r="H56" i="13"/>
  <c r="I56" i="13" s="1"/>
  <c r="J56" i="13" s="1"/>
  <c r="K56" i="13" s="1"/>
  <c r="L56" i="13" s="1"/>
  <c r="M56" i="13" s="1"/>
  <c r="N56" i="13" s="1"/>
  <c r="O56" i="13" s="1"/>
  <c r="P56" i="13" s="1"/>
  <c r="Q56" i="13" s="1"/>
  <c r="H55" i="13"/>
  <c r="I55" i="13" s="1"/>
  <c r="J55" i="13" s="1"/>
  <c r="K55" i="13" s="1"/>
  <c r="L55" i="13" s="1"/>
  <c r="M55" i="13" s="1"/>
  <c r="N55" i="13" s="1"/>
  <c r="O55" i="13" s="1"/>
  <c r="P55" i="13" s="1"/>
  <c r="Q55" i="13" s="1"/>
  <c r="H50" i="13"/>
  <c r="I50" i="13" s="1"/>
  <c r="J50" i="13" s="1"/>
  <c r="K50" i="13" s="1"/>
  <c r="L50" i="13" s="1"/>
  <c r="M50" i="13" s="1"/>
  <c r="N50" i="13" s="1"/>
  <c r="O50" i="13" s="1"/>
  <c r="P50" i="13" s="1"/>
  <c r="Q50" i="13" s="1"/>
  <c r="H49" i="13"/>
  <c r="I49" i="13" s="1"/>
  <c r="J49" i="13" s="1"/>
  <c r="K49" i="13" s="1"/>
  <c r="L49" i="13" s="1"/>
  <c r="M49" i="13" s="1"/>
  <c r="N49" i="13" s="1"/>
  <c r="O49" i="13" s="1"/>
  <c r="P49" i="13" s="1"/>
  <c r="Q49" i="13" s="1"/>
  <c r="H47" i="13"/>
  <c r="I47" i="13" s="1"/>
  <c r="J47" i="13" s="1"/>
  <c r="K47" i="13" s="1"/>
  <c r="L47" i="13" s="1"/>
  <c r="M47" i="13" s="1"/>
  <c r="N47" i="13" s="1"/>
  <c r="O47" i="13" s="1"/>
  <c r="P47" i="13" s="1"/>
  <c r="Q47" i="13" s="1"/>
  <c r="H45" i="13"/>
  <c r="I45" i="13" s="1"/>
  <c r="J45" i="13" s="1"/>
  <c r="K45" i="13" s="1"/>
  <c r="L45" i="13" s="1"/>
  <c r="M45" i="13" s="1"/>
  <c r="N45" i="13" s="1"/>
  <c r="O45" i="13" s="1"/>
  <c r="P45" i="13" s="1"/>
  <c r="Q45" i="13" s="1"/>
  <c r="H44" i="13"/>
  <c r="I44" i="13" s="1"/>
  <c r="J44" i="13" s="1"/>
  <c r="K44" i="13" s="1"/>
  <c r="L44" i="13" s="1"/>
  <c r="M44" i="13" s="1"/>
  <c r="N44" i="13" s="1"/>
  <c r="O44" i="13" s="1"/>
  <c r="P44" i="13" s="1"/>
  <c r="Q44" i="13" s="1"/>
  <c r="H41" i="13"/>
  <c r="I41" i="13" s="1"/>
  <c r="J41" i="13" s="1"/>
  <c r="K41" i="13" s="1"/>
  <c r="L41" i="13" s="1"/>
  <c r="M41" i="13" s="1"/>
  <c r="N41" i="13" s="1"/>
  <c r="O41" i="13" s="1"/>
  <c r="P41" i="13" s="1"/>
  <c r="Q41" i="13" s="1"/>
  <c r="H39" i="13"/>
  <c r="I39" i="13" s="1"/>
  <c r="J39" i="13" s="1"/>
  <c r="K39" i="13" s="1"/>
  <c r="L39" i="13" s="1"/>
  <c r="M39" i="13" s="1"/>
  <c r="N39" i="13" s="1"/>
  <c r="O39" i="13" s="1"/>
  <c r="P39" i="13" s="1"/>
  <c r="Q39" i="13" s="1"/>
  <c r="H38" i="13"/>
  <c r="I38" i="13" s="1"/>
  <c r="J38" i="13" s="1"/>
  <c r="K38" i="13" s="1"/>
  <c r="L38" i="13" s="1"/>
  <c r="M38" i="13" s="1"/>
  <c r="N38" i="13" s="1"/>
  <c r="O38" i="13" s="1"/>
  <c r="P38" i="13" s="1"/>
  <c r="Q38" i="13" s="1"/>
  <c r="I36" i="13"/>
  <c r="J36" i="13" s="1"/>
  <c r="K36" i="13" s="1"/>
  <c r="L36" i="13" s="1"/>
  <c r="M36" i="13" s="1"/>
  <c r="N36" i="13" s="1"/>
  <c r="O36" i="13" s="1"/>
  <c r="P36" i="13" s="1"/>
  <c r="Q36" i="13" s="1"/>
  <c r="H36" i="13"/>
  <c r="I254" i="13" l="1"/>
  <c r="J254" i="13" s="1"/>
  <c r="K254" i="13" s="1"/>
  <c r="L254" i="13" s="1"/>
  <c r="M254" i="13" s="1"/>
  <c r="N254" i="13" s="1"/>
  <c r="O254" i="13" s="1"/>
  <c r="P254" i="13" s="1"/>
  <c r="Q254" i="13" s="1"/>
  <c r="I237" i="13"/>
  <c r="J237" i="13" s="1"/>
  <c r="K237" i="13" s="1"/>
  <c r="L237" i="13" s="1"/>
  <c r="M237" i="13" s="1"/>
  <c r="N237" i="13" s="1"/>
  <c r="O237" i="13" s="1"/>
  <c r="P237" i="13" s="1"/>
  <c r="Q237" i="13" s="1"/>
  <c r="I117" i="13"/>
  <c r="K117" i="13" s="1"/>
  <c r="L117" i="13" s="1"/>
  <c r="M117" i="13" s="1"/>
  <c r="N117" i="13" s="1"/>
  <c r="O117" i="13" s="1"/>
  <c r="P117" i="13" s="1"/>
  <c r="Q117" i="13" s="1"/>
  <c r="P34" i="6" l="1"/>
  <c r="N34" i="6"/>
  <c r="L34" i="6"/>
  <c r="J34" i="6"/>
  <c r="H34" i="6"/>
  <c r="G34" i="6" l="1"/>
  <c r="H34" i="5"/>
  <c r="H40" i="5"/>
  <c r="C41" i="12"/>
  <c r="C23" i="12"/>
  <c r="C22" i="12"/>
  <c r="C2490" i="15"/>
  <c r="C2488" i="15"/>
  <c r="D11" i="15"/>
  <c r="D12" i="15"/>
  <c r="D13" i="15"/>
  <c r="D14" i="15"/>
  <c r="D15" i="15"/>
  <c r="D16" i="15"/>
  <c r="D17" i="15"/>
  <c r="D18" i="15"/>
  <c r="D19" i="15"/>
  <c r="D20" i="15"/>
  <c r="D21" i="15"/>
  <c r="D22" i="15"/>
  <c r="D23" i="15"/>
  <c r="D24" i="15"/>
  <c r="D25" i="15"/>
  <c r="D26" i="15"/>
  <c r="D27" i="15"/>
  <c r="D28" i="15"/>
  <c r="D29" i="15"/>
  <c r="D30" i="15"/>
  <c r="D31" i="15"/>
  <c r="D32" i="15"/>
  <c r="D33" i="15"/>
  <c r="D34" i="15"/>
  <c r="D35" i="15"/>
  <c r="D36" i="15"/>
  <c r="D37" i="15"/>
  <c r="D38" i="15"/>
  <c r="D39" i="15"/>
  <c r="D40" i="15"/>
  <c r="D41" i="15"/>
  <c r="D42" i="15"/>
  <c r="D43" i="15"/>
  <c r="D44" i="15"/>
  <c r="D45" i="15"/>
  <c r="D46" i="15"/>
  <c r="D47" i="15"/>
  <c r="D48" i="15"/>
  <c r="D49" i="15"/>
  <c r="D50" i="15"/>
  <c r="D51" i="15"/>
  <c r="D52" i="15"/>
  <c r="D53" i="15"/>
  <c r="D54" i="15"/>
  <c r="D55" i="15"/>
  <c r="D56" i="15"/>
  <c r="D57" i="15"/>
  <c r="D58" i="15"/>
  <c r="D59" i="15"/>
  <c r="D60" i="15"/>
  <c r="D61" i="15"/>
  <c r="D62" i="15"/>
  <c r="D63" i="15"/>
  <c r="D64" i="15"/>
  <c r="D65" i="15"/>
  <c r="D66" i="15"/>
  <c r="D67" i="15"/>
  <c r="D68" i="15"/>
  <c r="D69" i="15"/>
  <c r="D70" i="15"/>
  <c r="D71" i="15"/>
  <c r="D72" i="15"/>
  <c r="D73" i="15"/>
  <c r="D74" i="15"/>
  <c r="D75" i="15"/>
  <c r="D76" i="15"/>
  <c r="D77" i="15"/>
  <c r="D78" i="15"/>
  <c r="D79" i="15"/>
  <c r="D80" i="15"/>
  <c r="D81" i="15"/>
  <c r="D82" i="15"/>
  <c r="D83" i="15"/>
  <c r="D84" i="15"/>
  <c r="D85" i="15"/>
  <c r="D86" i="15"/>
  <c r="D87" i="15"/>
  <c r="D88" i="15"/>
  <c r="D89" i="15"/>
  <c r="D90" i="15"/>
  <c r="D91" i="15"/>
  <c r="D92" i="15"/>
  <c r="D93" i="15"/>
  <c r="D94" i="15"/>
  <c r="D95" i="15"/>
  <c r="D96" i="15"/>
  <c r="D97" i="15"/>
  <c r="D98" i="15"/>
  <c r="D99" i="15"/>
  <c r="D100" i="15"/>
  <c r="D101" i="15"/>
  <c r="D102" i="15"/>
  <c r="D103" i="15"/>
  <c r="D104" i="15"/>
  <c r="D105" i="15"/>
  <c r="D106" i="15"/>
  <c r="D107" i="15"/>
  <c r="D108" i="15"/>
  <c r="D109" i="15"/>
  <c r="D110" i="15"/>
  <c r="D111" i="15"/>
  <c r="D112" i="15"/>
  <c r="D113" i="15"/>
  <c r="D114" i="15"/>
  <c r="D115" i="15"/>
  <c r="D116" i="15"/>
  <c r="D117" i="15"/>
  <c r="D118" i="15"/>
  <c r="D119" i="15"/>
  <c r="D120" i="15"/>
  <c r="D121" i="15"/>
  <c r="D122" i="15"/>
  <c r="D123" i="15"/>
  <c r="D124" i="15"/>
  <c r="D125" i="15"/>
  <c r="D126" i="15"/>
  <c r="D127" i="15"/>
  <c r="D128" i="15"/>
  <c r="D129" i="15"/>
  <c r="D130" i="15"/>
  <c r="D131" i="15"/>
  <c r="D132" i="15"/>
  <c r="D133" i="15"/>
  <c r="D134" i="15"/>
  <c r="D135" i="15"/>
  <c r="D136" i="15"/>
  <c r="D137" i="15"/>
  <c r="D138" i="15"/>
  <c r="D139" i="15"/>
  <c r="D140" i="15"/>
  <c r="D141" i="15"/>
  <c r="D142" i="15"/>
  <c r="D143" i="15"/>
  <c r="D144" i="15"/>
  <c r="D145" i="15"/>
  <c r="D146" i="15"/>
  <c r="D147" i="15"/>
  <c r="D148" i="15"/>
  <c r="D149" i="15"/>
  <c r="D150" i="15"/>
  <c r="D151" i="15"/>
  <c r="D152" i="15"/>
  <c r="D153" i="15"/>
  <c r="D154" i="15"/>
  <c r="D155" i="15"/>
  <c r="D156" i="15"/>
  <c r="D157" i="15"/>
  <c r="D158" i="15"/>
  <c r="D159" i="15"/>
  <c r="D160" i="15"/>
  <c r="D161" i="15"/>
  <c r="D162" i="15"/>
  <c r="D163" i="15"/>
  <c r="D164" i="15"/>
  <c r="D165" i="15"/>
  <c r="D166" i="15"/>
  <c r="D167" i="15"/>
  <c r="D168" i="15"/>
  <c r="D169" i="15"/>
  <c r="D170" i="15"/>
  <c r="D171" i="15"/>
  <c r="D172" i="15"/>
  <c r="D173" i="15"/>
  <c r="D174" i="15"/>
  <c r="D175" i="15"/>
  <c r="D176" i="15"/>
  <c r="D177" i="15"/>
  <c r="D178" i="15"/>
  <c r="D179" i="15"/>
  <c r="D180" i="15"/>
  <c r="D181" i="15"/>
  <c r="D182" i="15"/>
  <c r="D183" i="15"/>
  <c r="D184" i="15"/>
  <c r="D185" i="15"/>
  <c r="D186" i="15"/>
  <c r="D187" i="15"/>
  <c r="D188" i="15"/>
  <c r="D189" i="15"/>
  <c r="D190" i="15"/>
  <c r="D191" i="15"/>
  <c r="D192" i="15"/>
  <c r="D193" i="15"/>
  <c r="D194" i="15"/>
  <c r="D195" i="15"/>
  <c r="D196" i="15"/>
  <c r="D197" i="15"/>
  <c r="D198" i="15"/>
  <c r="D199" i="15"/>
  <c r="D200" i="15"/>
  <c r="D201" i="15"/>
  <c r="D202" i="15"/>
  <c r="D203" i="15"/>
  <c r="D204" i="15"/>
  <c r="D205" i="15"/>
  <c r="D206" i="15"/>
  <c r="D207" i="15"/>
  <c r="D208" i="15"/>
  <c r="D209" i="15"/>
  <c r="D210" i="15"/>
  <c r="D211" i="15"/>
  <c r="D212" i="15"/>
  <c r="D213" i="15"/>
  <c r="D214" i="15"/>
  <c r="D215" i="15"/>
  <c r="D216" i="15"/>
  <c r="D217" i="15"/>
  <c r="D218" i="15"/>
  <c r="D219" i="15"/>
  <c r="D220" i="15"/>
  <c r="D221" i="15"/>
  <c r="D222" i="15"/>
  <c r="D223" i="15"/>
  <c r="D224" i="15"/>
  <c r="D225" i="15"/>
  <c r="D226" i="15"/>
  <c r="D227" i="15"/>
  <c r="D228" i="15"/>
  <c r="D229" i="15"/>
  <c r="D230" i="15"/>
  <c r="D231" i="15"/>
  <c r="D232" i="15"/>
  <c r="D233" i="15"/>
  <c r="D234" i="15"/>
  <c r="D235" i="15"/>
  <c r="D236" i="15"/>
  <c r="D237" i="15"/>
  <c r="D238" i="15"/>
  <c r="D239" i="15"/>
  <c r="D240" i="15"/>
  <c r="D241" i="15"/>
  <c r="D242" i="15"/>
  <c r="D243" i="15"/>
  <c r="D244" i="15"/>
  <c r="D245" i="15"/>
  <c r="D246" i="15"/>
  <c r="D247" i="15"/>
  <c r="D248" i="15"/>
  <c r="D249" i="15"/>
  <c r="D250" i="15"/>
  <c r="D251" i="15"/>
  <c r="D252" i="15"/>
  <c r="D253" i="15"/>
  <c r="D254" i="15"/>
  <c r="D255" i="15"/>
  <c r="D256" i="15"/>
  <c r="D257" i="15"/>
  <c r="D258" i="15"/>
  <c r="D259" i="15"/>
  <c r="D260" i="15"/>
  <c r="D261" i="15"/>
  <c r="D262" i="15"/>
  <c r="D263" i="15"/>
  <c r="D264" i="15"/>
  <c r="D265" i="15"/>
  <c r="D266" i="15"/>
  <c r="D267" i="15"/>
  <c r="D268" i="15"/>
  <c r="D269" i="15"/>
  <c r="D270" i="15"/>
  <c r="D271" i="15"/>
  <c r="D272" i="15"/>
  <c r="D273" i="15"/>
  <c r="D274" i="15"/>
  <c r="D275" i="15"/>
  <c r="D276" i="15"/>
  <c r="D277" i="15"/>
  <c r="D278" i="15"/>
  <c r="D279" i="15"/>
  <c r="D280" i="15"/>
  <c r="D281" i="15"/>
  <c r="D282" i="15"/>
  <c r="D283" i="15"/>
  <c r="D284" i="15"/>
  <c r="D285" i="15"/>
  <c r="D286" i="15"/>
  <c r="D287" i="15"/>
  <c r="D288" i="15"/>
  <c r="D289" i="15"/>
  <c r="D290" i="15"/>
  <c r="D291" i="15"/>
  <c r="D292" i="15"/>
  <c r="D293" i="15"/>
  <c r="D294" i="15"/>
  <c r="D295" i="15"/>
  <c r="D296" i="15"/>
  <c r="D297" i="15"/>
  <c r="D298" i="15"/>
  <c r="D299" i="15"/>
  <c r="D300" i="15"/>
  <c r="D301" i="15"/>
  <c r="D302" i="15"/>
  <c r="D303" i="15"/>
  <c r="D304" i="15"/>
  <c r="D305" i="15"/>
  <c r="D306" i="15"/>
  <c r="D307" i="15"/>
  <c r="D308" i="15"/>
  <c r="D309" i="15"/>
  <c r="D310" i="15"/>
  <c r="D311" i="15"/>
  <c r="D312" i="15"/>
  <c r="D313" i="15"/>
  <c r="D314" i="15"/>
  <c r="D315" i="15"/>
  <c r="D316" i="15"/>
  <c r="D317" i="15"/>
  <c r="D318" i="15"/>
  <c r="D319" i="15"/>
  <c r="D320" i="15"/>
  <c r="D321" i="15"/>
  <c r="D322" i="15"/>
  <c r="D323" i="15"/>
  <c r="D324" i="15"/>
  <c r="D325" i="15"/>
  <c r="D326" i="15"/>
  <c r="D327" i="15"/>
  <c r="D328" i="15"/>
  <c r="D329" i="15"/>
  <c r="D330" i="15"/>
  <c r="D331" i="15"/>
  <c r="D332" i="15"/>
  <c r="D333" i="15"/>
  <c r="D334" i="15"/>
  <c r="D335" i="15"/>
  <c r="D336" i="15"/>
  <c r="D337" i="15"/>
  <c r="D338" i="15"/>
  <c r="D339" i="15"/>
  <c r="D340" i="15"/>
  <c r="D341" i="15"/>
  <c r="D342" i="15"/>
  <c r="D343" i="15"/>
  <c r="D344" i="15"/>
  <c r="D345" i="15"/>
  <c r="D346" i="15"/>
  <c r="D347" i="15"/>
  <c r="D348" i="15"/>
  <c r="D349" i="15"/>
  <c r="D350" i="15"/>
  <c r="D351" i="15"/>
  <c r="D352" i="15"/>
  <c r="D353" i="15"/>
  <c r="D354" i="15"/>
  <c r="D355" i="15"/>
  <c r="D356" i="15"/>
  <c r="D357" i="15"/>
  <c r="D358" i="15"/>
  <c r="D359" i="15"/>
  <c r="D360" i="15"/>
  <c r="D361" i="15"/>
  <c r="D362" i="15"/>
  <c r="D363" i="15"/>
  <c r="D364" i="15"/>
  <c r="D365" i="15"/>
  <c r="D366" i="15"/>
  <c r="D367" i="15"/>
  <c r="D368" i="15"/>
  <c r="D369" i="15"/>
  <c r="D370" i="15"/>
  <c r="D371" i="15"/>
  <c r="D372" i="15"/>
  <c r="D373" i="15"/>
  <c r="D374" i="15"/>
  <c r="D375" i="15"/>
  <c r="D376" i="15"/>
  <c r="D377" i="15"/>
  <c r="D378" i="15"/>
  <c r="D379" i="15"/>
  <c r="D380" i="15"/>
  <c r="D381" i="15"/>
  <c r="D382" i="15"/>
  <c r="D383" i="15"/>
  <c r="D384" i="15"/>
  <c r="D385" i="15"/>
  <c r="D386" i="15"/>
  <c r="D387" i="15"/>
  <c r="D388" i="15"/>
  <c r="D389" i="15"/>
  <c r="D390" i="15"/>
  <c r="D391" i="15"/>
  <c r="D392" i="15"/>
  <c r="D393" i="15"/>
  <c r="D394" i="15"/>
  <c r="D395" i="15"/>
  <c r="D396" i="15"/>
  <c r="D397" i="15"/>
  <c r="D398" i="15"/>
  <c r="D399" i="15"/>
  <c r="D400" i="15"/>
  <c r="D401" i="15"/>
  <c r="D402" i="15"/>
  <c r="D403" i="15"/>
  <c r="D404" i="15"/>
  <c r="D405" i="15"/>
  <c r="D406" i="15"/>
  <c r="D407" i="15"/>
  <c r="D408" i="15"/>
  <c r="D409" i="15"/>
  <c r="D410" i="15"/>
  <c r="D411" i="15"/>
  <c r="D412" i="15"/>
  <c r="D413" i="15"/>
  <c r="D414" i="15"/>
  <c r="D415" i="15"/>
  <c r="D416" i="15"/>
  <c r="D417" i="15"/>
  <c r="D418" i="15"/>
  <c r="D419" i="15"/>
  <c r="D420" i="15"/>
  <c r="D421" i="15"/>
  <c r="D422" i="15"/>
  <c r="D423" i="15"/>
  <c r="D424" i="15"/>
  <c r="D425" i="15"/>
  <c r="D426" i="15"/>
  <c r="D427" i="15"/>
  <c r="D428" i="15"/>
  <c r="D429" i="15"/>
  <c r="D430" i="15"/>
  <c r="D431" i="15"/>
  <c r="D432" i="15"/>
  <c r="D433" i="15"/>
  <c r="D434" i="15"/>
  <c r="D435" i="15"/>
  <c r="D436" i="15"/>
  <c r="D437" i="15"/>
  <c r="D438" i="15"/>
  <c r="D439" i="15"/>
  <c r="D440" i="15"/>
  <c r="D441" i="15"/>
  <c r="D442" i="15"/>
  <c r="D443" i="15"/>
  <c r="D444" i="15"/>
  <c r="D445" i="15"/>
  <c r="D446" i="15"/>
  <c r="D447" i="15"/>
  <c r="D448" i="15"/>
  <c r="D449" i="15"/>
  <c r="D450" i="15"/>
  <c r="D451" i="15"/>
  <c r="D452" i="15"/>
  <c r="D453" i="15"/>
  <c r="D454" i="15"/>
  <c r="D455" i="15"/>
  <c r="D456" i="15"/>
  <c r="D457" i="15"/>
  <c r="D458" i="15"/>
  <c r="D459" i="15"/>
  <c r="D460" i="15"/>
  <c r="D461" i="15"/>
  <c r="D462" i="15"/>
  <c r="D463" i="15"/>
  <c r="D464" i="15"/>
  <c r="D465" i="15"/>
  <c r="D466" i="15"/>
  <c r="D467" i="15"/>
  <c r="D468" i="15"/>
  <c r="D469" i="15"/>
  <c r="D470" i="15"/>
  <c r="D471" i="15"/>
  <c r="D472" i="15"/>
  <c r="D473" i="15"/>
  <c r="D474" i="15"/>
  <c r="D475" i="15"/>
  <c r="D476" i="15"/>
  <c r="D477" i="15"/>
  <c r="D478" i="15"/>
  <c r="D479" i="15"/>
  <c r="D480" i="15"/>
  <c r="D481" i="15"/>
  <c r="D482" i="15"/>
  <c r="D483" i="15"/>
  <c r="D484" i="15"/>
  <c r="D485" i="15"/>
  <c r="D486" i="15"/>
  <c r="D487" i="15"/>
  <c r="D488" i="15"/>
  <c r="D489" i="15"/>
  <c r="D490" i="15"/>
  <c r="D491" i="15"/>
  <c r="D492" i="15"/>
  <c r="D493" i="15"/>
  <c r="D494" i="15"/>
  <c r="D495" i="15"/>
  <c r="D496" i="15"/>
  <c r="D497" i="15"/>
  <c r="D498" i="15"/>
  <c r="D499" i="15"/>
  <c r="D500" i="15"/>
  <c r="D501" i="15"/>
  <c r="D502" i="15"/>
  <c r="D503" i="15"/>
  <c r="D504" i="15"/>
  <c r="D505" i="15"/>
  <c r="D506" i="15"/>
  <c r="D507" i="15"/>
  <c r="D508" i="15"/>
  <c r="D509" i="15"/>
  <c r="D510" i="15"/>
  <c r="D511" i="15"/>
  <c r="D512" i="15"/>
  <c r="D513" i="15"/>
  <c r="D514" i="15"/>
  <c r="D515" i="15"/>
  <c r="D516" i="15"/>
  <c r="D517" i="15"/>
  <c r="D518" i="15"/>
  <c r="D519" i="15"/>
  <c r="D520" i="15"/>
  <c r="D521" i="15"/>
  <c r="D522" i="15"/>
  <c r="D523" i="15"/>
  <c r="D524" i="15"/>
  <c r="D525" i="15"/>
  <c r="D526" i="15"/>
  <c r="D527" i="15"/>
  <c r="D528" i="15"/>
  <c r="D529" i="15"/>
  <c r="D530" i="15"/>
  <c r="D531" i="15"/>
  <c r="D532" i="15"/>
  <c r="D533" i="15"/>
  <c r="D534" i="15"/>
  <c r="D535" i="15"/>
  <c r="D536" i="15"/>
  <c r="D537" i="15"/>
  <c r="D538" i="15"/>
  <c r="D539" i="15"/>
  <c r="D540" i="15"/>
  <c r="D541" i="15"/>
  <c r="D542" i="15"/>
  <c r="D543" i="15"/>
  <c r="D544" i="15"/>
  <c r="D545" i="15"/>
  <c r="D546" i="15"/>
  <c r="D547" i="15"/>
  <c r="D548" i="15"/>
  <c r="D549" i="15"/>
  <c r="D550" i="15"/>
  <c r="D551" i="15"/>
  <c r="D552" i="15"/>
  <c r="D553" i="15"/>
  <c r="D554" i="15"/>
  <c r="D555" i="15"/>
  <c r="D556" i="15"/>
  <c r="D557" i="15"/>
  <c r="D558" i="15"/>
  <c r="D559" i="15"/>
  <c r="D560" i="15"/>
  <c r="D561" i="15"/>
  <c r="D562" i="15"/>
  <c r="D563" i="15"/>
  <c r="D564" i="15"/>
  <c r="D565" i="15"/>
  <c r="D566" i="15"/>
  <c r="D567" i="15"/>
  <c r="D568" i="15"/>
  <c r="D569" i="15"/>
  <c r="D570" i="15"/>
  <c r="D571" i="15"/>
  <c r="D572" i="15"/>
  <c r="D573" i="15"/>
  <c r="D574" i="15"/>
  <c r="D575" i="15"/>
  <c r="D576" i="15"/>
  <c r="D577" i="15"/>
  <c r="D578" i="15"/>
  <c r="D579" i="15"/>
  <c r="D580" i="15"/>
  <c r="D581" i="15"/>
  <c r="D582" i="15"/>
  <c r="D583" i="15"/>
  <c r="D584" i="15"/>
  <c r="D585" i="15"/>
  <c r="D586" i="15"/>
  <c r="D587" i="15"/>
  <c r="D588" i="15"/>
  <c r="D589" i="15"/>
  <c r="D590" i="15"/>
  <c r="D591" i="15"/>
  <c r="D592" i="15"/>
  <c r="D593" i="15"/>
  <c r="D594" i="15"/>
  <c r="D595" i="15"/>
  <c r="D596" i="15"/>
  <c r="D597" i="15"/>
  <c r="D598" i="15"/>
  <c r="D599" i="15"/>
  <c r="D600" i="15"/>
  <c r="D601" i="15"/>
  <c r="D602" i="15"/>
  <c r="D603" i="15"/>
  <c r="D604" i="15"/>
  <c r="D605" i="15"/>
  <c r="D606" i="15"/>
  <c r="D607" i="15"/>
  <c r="D608" i="15"/>
  <c r="D609" i="15"/>
  <c r="D610" i="15"/>
  <c r="D611" i="15"/>
  <c r="D612" i="15"/>
  <c r="D613" i="15"/>
  <c r="D614" i="15"/>
  <c r="D615" i="15"/>
  <c r="D616" i="15"/>
  <c r="D617" i="15"/>
  <c r="D618" i="15"/>
  <c r="D619" i="15"/>
  <c r="D620" i="15"/>
  <c r="D621" i="15"/>
  <c r="D622" i="15"/>
  <c r="D623" i="15"/>
  <c r="D624" i="15"/>
  <c r="D625" i="15"/>
  <c r="D626" i="15"/>
  <c r="D627" i="15"/>
  <c r="D628" i="15"/>
  <c r="D629" i="15"/>
  <c r="D630" i="15"/>
  <c r="D631" i="15"/>
  <c r="D632" i="15"/>
  <c r="D633" i="15"/>
  <c r="D634" i="15"/>
  <c r="D635" i="15"/>
  <c r="D636" i="15"/>
  <c r="D637" i="15"/>
  <c r="D638" i="15"/>
  <c r="D639" i="15"/>
  <c r="D640" i="15"/>
  <c r="D641" i="15"/>
  <c r="D642" i="15"/>
  <c r="D643" i="15"/>
  <c r="D644" i="15"/>
  <c r="D645" i="15"/>
  <c r="D646" i="15"/>
  <c r="D647" i="15"/>
  <c r="D648" i="15"/>
  <c r="D649" i="15"/>
  <c r="D650" i="15"/>
  <c r="D651" i="15"/>
  <c r="D652" i="15"/>
  <c r="D653" i="15"/>
  <c r="D654" i="15"/>
  <c r="D655" i="15"/>
  <c r="D656" i="15"/>
  <c r="D657" i="15"/>
  <c r="D658" i="15"/>
  <c r="D659" i="15"/>
  <c r="D660" i="15"/>
  <c r="D661" i="15"/>
  <c r="D662" i="15"/>
  <c r="D663" i="15"/>
  <c r="D664" i="15"/>
  <c r="D665" i="15"/>
  <c r="D666" i="15"/>
  <c r="D667" i="15"/>
  <c r="D668" i="15"/>
  <c r="D669" i="15"/>
  <c r="D670" i="15"/>
  <c r="D671" i="15"/>
  <c r="D672" i="15"/>
  <c r="D673" i="15"/>
  <c r="D674" i="15"/>
  <c r="D675" i="15"/>
  <c r="D676" i="15"/>
  <c r="D677" i="15"/>
  <c r="D678" i="15"/>
  <c r="D679" i="15"/>
  <c r="D680" i="15"/>
  <c r="D681" i="15"/>
  <c r="D682" i="15"/>
  <c r="D683" i="15"/>
  <c r="D684" i="15"/>
  <c r="D685" i="15"/>
  <c r="D686" i="15"/>
  <c r="D687" i="15"/>
  <c r="D688" i="15"/>
  <c r="D689" i="15"/>
  <c r="D690" i="15"/>
  <c r="D691" i="15"/>
  <c r="D692" i="15"/>
  <c r="D693" i="15"/>
  <c r="D694" i="15"/>
  <c r="D695" i="15"/>
  <c r="D696" i="15"/>
  <c r="D697" i="15"/>
  <c r="D698" i="15"/>
  <c r="D699" i="15"/>
  <c r="D700" i="15"/>
  <c r="D701" i="15"/>
  <c r="D702" i="15"/>
  <c r="D703" i="15"/>
  <c r="D704" i="15"/>
  <c r="D705" i="15"/>
  <c r="D706" i="15"/>
  <c r="D707" i="15"/>
  <c r="D708" i="15"/>
  <c r="D709" i="15"/>
  <c r="D710" i="15"/>
  <c r="D711" i="15"/>
  <c r="D712" i="15"/>
  <c r="D713" i="15"/>
  <c r="D714" i="15"/>
  <c r="D715" i="15"/>
  <c r="D716" i="15"/>
  <c r="D717" i="15"/>
  <c r="D718" i="15"/>
  <c r="D719" i="15"/>
  <c r="D720" i="15"/>
  <c r="D721" i="15"/>
  <c r="D722" i="15"/>
  <c r="D723" i="15"/>
  <c r="D724" i="15"/>
  <c r="D725" i="15"/>
  <c r="D726" i="15"/>
  <c r="D727" i="15"/>
  <c r="D728" i="15"/>
  <c r="D729" i="15"/>
  <c r="D730" i="15"/>
  <c r="D731" i="15"/>
  <c r="D732" i="15"/>
  <c r="D733" i="15"/>
  <c r="D734" i="15"/>
  <c r="D735" i="15"/>
  <c r="D736" i="15"/>
  <c r="D737" i="15"/>
  <c r="D738" i="15"/>
  <c r="D739" i="15"/>
  <c r="D740" i="15"/>
  <c r="D741" i="15"/>
  <c r="D742" i="15"/>
  <c r="D743" i="15"/>
  <c r="D744" i="15"/>
  <c r="D745" i="15"/>
  <c r="D746" i="15"/>
  <c r="D747" i="15"/>
  <c r="D748" i="15"/>
  <c r="D749" i="15"/>
  <c r="D750" i="15"/>
  <c r="D751" i="15"/>
  <c r="D752" i="15"/>
  <c r="D753" i="15"/>
  <c r="D754" i="15"/>
  <c r="D755" i="15"/>
  <c r="D756" i="15"/>
  <c r="D757" i="15"/>
  <c r="D758" i="15"/>
  <c r="D759" i="15"/>
  <c r="D760" i="15"/>
  <c r="D761" i="15"/>
  <c r="D762" i="15"/>
  <c r="D763" i="15"/>
  <c r="D764" i="15"/>
  <c r="D765" i="15"/>
  <c r="D766" i="15"/>
  <c r="D767" i="15"/>
  <c r="D768" i="15"/>
  <c r="D769" i="15"/>
  <c r="D770" i="15"/>
  <c r="D771" i="15"/>
  <c r="D772" i="15"/>
  <c r="D773" i="15"/>
  <c r="D774" i="15"/>
  <c r="D775" i="15"/>
  <c r="D776" i="15"/>
  <c r="D777" i="15"/>
  <c r="D778" i="15"/>
  <c r="D779" i="15"/>
  <c r="D780" i="15"/>
  <c r="D781" i="15"/>
  <c r="D782" i="15"/>
  <c r="D783" i="15"/>
  <c r="D784" i="15"/>
  <c r="D785" i="15"/>
  <c r="D786" i="15"/>
  <c r="D787" i="15"/>
  <c r="D788" i="15"/>
  <c r="D789" i="15"/>
  <c r="D790" i="15"/>
  <c r="D791" i="15"/>
  <c r="D792" i="15"/>
  <c r="D793" i="15"/>
  <c r="D794" i="15"/>
  <c r="D795" i="15"/>
  <c r="D796" i="15"/>
  <c r="D797" i="15"/>
  <c r="D798" i="15"/>
  <c r="D799" i="15"/>
  <c r="D800" i="15"/>
  <c r="D801" i="15"/>
  <c r="D802" i="15"/>
  <c r="D803" i="15"/>
  <c r="D804" i="15"/>
  <c r="D805" i="15"/>
  <c r="D806" i="15"/>
  <c r="D807" i="15"/>
  <c r="D808" i="15"/>
  <c r="D809" i="15"/>
  <c r="D810" i="15"/>
  <c r="D811" i="15"/>
  <c r="D812" i="15"/>
  <c r="D813" i="15"/>
  <c r="D814" i="15"/>
  <c r="D815" i="15"/>
  <c r="D816" i="15"/>
  <c r="D817" i="15"/>
  <c r="D818" i="15"/>
  <c r="D819" i="15"/>
  <c r="D820" i="15"/>
  <c r="D821" i="15"/>
  <c r="D822" i="15"/>
  <c r="D823" i="15"/>
  <c r="D824" i="15"/>
  <c r="D825" i="15"/>
  <c r="D826" i="15"/>
  <c r="D827" i="15"/>
  <c r="D828" i="15"/>
  <c r="D829" i="15"/>
  <c r="D830" i="15"/>
  <c r="D831" i="15"/>
  <c r="D832" i="15"/>
  <c r="D833" i="15"/>
  <c r="D834" i="15"/>
  <c r="D835" i="15"/>
  <c r="D836" i="15"/>
  <c r="D837" i="15"/>
  <c r="D838" i="15"/>
  <c r="D839" i="15"/>
  <c r="D840" i="15"/>
  <c r="D841" i="15"/>
  <c r="D842" i="15"/>
  <c r="D843" i="15"/>
  <c r="D844" i="15"/>
  <c r="D845" i="15"/>
  <c r="D846" i="15"/>
  <c r="D847" i="15"/>
  <c r="D848" i="15"/>
  <c r="D849" i="15"/>
  <c r="D850" i="15"/>
  <c r="D851" i="15"/>
  <c r="D852" i="15"/>
  <c r="D853" i="15"/>
  <c r="D854" i="15"/>
  <c r="D855" i="15"/>
  <c r="D856" i="15"/>
  <c r="D857" i="15"/>
  <c r="D858" i="15"/>
  <c r="D859" i="15"/>
  <c r="D860" i="15"/>
  <c r="D861" i="15"/>
  <c r="D862" i="15"/>
  <c r="D863" i="15"/>
  <c r="D864" i="15"/>
  <c r="D865" i="15"/>
  <c r="D866" i="15"/>
  <c r="D867" i="15"/>
  <c r="D868" i="15"/>
  <c r="D869" i="15"/>
  <c r="D870" i="15"/>
  <c r="D871" i="15"/>
  <c r="D872" i="15"/>
  <c r="D873" i="15"/>
  <c r="D874" i="15"/>
  <c r="D875" i="15"/>
  <c r="D876" i="15"/>
  <c r="D877" i="15"/>
  <c r="D878" i="15"/>
  <c r="D879" i="15"/>
  <c r="D880" i="15"/>
  <c r="D881" i="15"/>
  <c r="D882" i="15"/>
  <c r="D883" i="15"/>
  <c r="D884" i="15"/>
  <c r="D885" i="15"/>
  <c r="D886" i="15"/>
  <c r="D887" i="15"/>
  <c r="D888" i="15"/>
  <c r="D889" i="15"/>
  <c r="D890" i="15"/>
  <c r="D891" i="15"/>
  <c r="D892" i="15"/>
  <c r="D893" i="15"/>
  <c r="D894" i="15"/>
  <c r="D895" i="15"/>
  <c r="D896" i="15"/>
  <c r="D897" i="15"/>
  <c r="D898" i="15"/>
  <c r="D899" i="15"/>
  <c r="D900" i="15"/>
  <c r="D901" i="15"/>
  <c r="D902" i="15"/>
  <c r="D903" i="15"/>
  <c r="D904" i="15"/>
  <c r="D905" i="15"/>
  <c r="D906" i="15"/>
  <c r="D907" i="15"/>
  <c r="D908" i="15"/>
  <c r="D909" i="15"/>
  <c r="D910" i="15"/>
  <c r="D911" i="15"/>
  <c r="D912" i="15"/>
  <c r="D913" i="15"/>
  <c r="D914" i="15"/>
  <c r="D915" i="15"/>
  <c r="D916" i="15"/>
  <c r="D917" i="15"/>
  <c r="D918" i="15"/>
  <c r="D919" i="15"/>
  <c r="D920" i="15"/>
  <c r="D921" i="15"/>
  <c r="D922" i="15"/>
  <c r="D923" i="15"/>
  <c r="D924" i="15"/>
  <c r="D925" i="15"/>
  <c r="D926" i="15"/>
  <c r="D927" i="15"/>
  <c r="D928" i="15"/>
  <c r="D929" i="15"/>
  <c r="D930" i="15"/>
  <c r="D931" i="15"/>
  <c r="D932" i="15"/>
  <c r="D933" i="15"/>
  <c r="D934" i="15"/>
  <c r="D935" i="15"/>
  <c r="D936" i="15"/>
  <c r="D937" i="15"/>
  <c r="D938" i="15"/>
  <c r="D939" i="15"/>
  <c r="D940" i="15"/>
  <c r="D941" i="15"/>
  <c r="D942" i="15"/>
  <c r="D943" i="15"/>
  <c r="D944" i="15"/>
  <c r="D945" i="15"/>
  <c r="D946" i="15"/>
  <c r="D947" i="15"/>
  <c r="D948" i="15"/>
  <c r="D949" i="15"/>
  <c r="D950" i="15"/>
  <c r="D951" i="15"/>
  <c r="D952" i="15"/>
  <c r="D953" i="15"/>
  <c r="D954" i="15"/>
  <c r="D955" i="15"/>
  <c r="D956" i="15"/>
  <c r="D957" i="15"/>
  <c r="D958" i="15"/>
  <c r="D959" i="15"/>
  <c r="D960" i="15"/>
  <c r="D961" i="15"/>
  <c r="D962" i="15"/>
  <c r="D963" i="15"/>
  <c r="D964" i="15"/>
  <c r="D965" i="15"/>
  <c r="D966" i="15"/>
  <c r="D967" i="15"/>
  <c r="D968" i="15"/>
  <c r="D969" i="15"/>
  <c r="D970" i="15"/>
  <c r="D971" i="15"/>
  <c r="D972" i="15"/>
  <c r="D973" i="15"/>
  <c r="D974" i="15"/>
  <c r="D975" i="15"/>
  <c r="D976" i="15"/>
  <c r="D977" i="15"/>
  <c r="D978" i="15"/>
  <c r="D979" i="15"/>
  <c r="D980" i="15"/>
  <c r="D981" i="15"/>
  <c r="D982" i="15"/>
  <c r="D983" i="15"/>
  <c r="D984" i="15"/>
  <c r="D985" i="15"/>
  <c r="D986" i="15"/>
  <c r="D987" i="15"/>
  <c r="D988" i="15"/>
  <c r="D989" i="15"/>
  <c r="D990" i="15"/>
  <c r="D991" i="15"/>
  <c r="D992" i="15"/>
  <c r="D993" i="15"/>
  <c r="D994" i="15"/>
  <c r="D995" i="15"/>
  <c r="D996" i="15"/>
  <c r="D997" i="15"/>
  <c r="D998" i="15"/>
  <c r="D999" i="15"/>
  <c r="D1000" i="15"/>
  <c r="D1001" i="15"/>
  <c r="D1002" i="15"/>
  <c r="D1003" i="15"/>
  <c r="D1004" i="15"/>
  <c r="D1005" i="15"/>
  <c r="D1006" i="15"/>
  <c r="D1007" i="15"/>
  <c r="D1008" i="15"/>
  <c r="D1009" i="15"/>
  <c r="D1010" i="15"/>
  <c r="D1011" i="15"/>
  <c r="D1012" i="15"/>
  <c r="D1013" i="15"/>
  <c r="D1014" i="15"/>
  <c r="D1015" i="15"/>
  <c r="D1016" i="15"/>
  <c r="D1017" i="15"/>
  <c r="D1018" i="15"/>
  <c r="D1019" i="15"/>
  <c r="D1020" i="15"/>
  <c r="D1021" i="15"/>
  <c r="D1022" i="15"/>
  <c r="D1023" i="15"/>
  <c r="D1024" i="15"/>
  <c r="D1025" i="15"/>
  <c r="D1026" i="15"/>
  <c r="D1027" i="15"/>
  <c r="D1028" i="15"/>
  <c r="D1029" i="15"/>
  <c r="D1030" i="15"/>
  <c r="D1031" i="15"/>
  <c r="D1032" i="15"/>
  <c r="D1033" i="15"/>
  <c r="D1034" i="15"/>
  <c r="D1035" i="15"/>
  <c r="D1036" i="15"/>
  <c r="D1037" i="15"/>
  <c r="D1038" i="15"/>
  <c r="D1039" i="15"/>
  <c r="D1040" i="15"/>
  <c r="D1041" i="15"/>
  <c r="D1042" i="15"/>
  <c r="D1043" i="15"/>
  <c r="D1044" i="15"/>
  <c r="D1045" i="15"/>
  <c r="D1046" i="15"/>
  <c r="D1047" i="15"/>
  <c r="D1048" i="15"/>
  <c r="D1049" i="15"/>
  <c r="D1050" i="15"/>
  <c r="D1051" i="15"/>
  <c r="D1052" i="15"/>
  <c r="D1053" i="15"/>
  <c r="D1054" i="15"/>
  <c r="D1055" i="15"/>
  <c r="D1056" i="15"/>
  <c r="D1057" i="15"/>
  <c r="D1058" i="15"/>
  <c r="D1059" i="15"/>
  <c r="D1060" i="15"/>
  <c r="D1061" i="15"/>
  <c r="D1062" i="15"/>
  <c r="D1063" i="15"/>
  <c r="D1064" i="15"/>
  <c r="D1065" i="15"/>
  <c r="D1066" i="15"/>
  <c r="D1067" i="15"/>
  <c r="D1068" i="15"/>
  <c r="D1069" i="15"/>
  <c r="D1070" i="15"/>
  <c r="D1071" i="15"/>
  <c r="D1072" i="15"/>
  <c r="D1073" i="15"/>
  <c r="D1074" i="15"/>
  <c r="D1075" i="15"/>
  <c r="D1076" i="15"/>
  <c r="D1077" i="15"/>
  <c r="D1078" i="15"/>
  <c r="D1079" i="15"/>
  <c r="D1080" i="15"/>
  <c r="D1081" i="15"/>
  <c r="D1082" i="15"/>
  <c r="D1083" i="15"/>
  <c r="D1084" i="15"/>
  <c r="D1085" i="15"/>
  <c r="D1086" i="15"/>
  <c r="D1087" i="15"/>
  <c r="D1088" i="15"/>
  <c r="D1089" i="15"/>
  <c r="D1090" i="15"/>
  <c r="D1091" i="15"/>
  <c r="D1092" i="15"/>
  <c r="D1093" i="15"/>
  <c r="D1094" i="15"/>
  <c r="D1095" i="15"/>
  <c r="D1096" i="15"/>
  <c r="D1097" i="15"/>
  <c r="D1098" i="15"/>
  <c r="D1099" i="15"/>
  <c r="D1100" i="15"/>
  <c r="D1101" i="15"/>
  <c r="D1102" i="15"/>
  <c r="D1103" i="15"/>
  <c r="D1104" i="15"/>
  <c r="D1105" i="15"/>
  <c r="D1106" i="15"/>
  <c r="D1107" i="15"/>
  <c r="D1108" i="15"/>
  <c r="D1109" i="15"/>
  <c r="D1110" i="15"/>
  <c r="D1111" i="15"/>
  <c r="D1112" i="15"/>
  <c r="D1113" i="15"/>
  <c r="D1114" i="15"/>
  <c r="D1115" i="15"/>
  <c r="D1116" i="15"/>
  <c r="D1117" i="15"/>
  <c r="D1118" i="15"/>
  <c r="D1119" i="15"/>
  <c r="D1120" i="15"/>
  <c r="D1121" i="15"/>
  <c r="D1122" i="15"/>
  <c r="D1123" i="15"/>
  <c r="D1124" i="15"/>
  <c r="D1125" i="15"/>
  <c r="D1126" i="15"/>
  <c r="D1127" i="15"/>
  <c r="D1128" i="15"/>
  <c r="D1129" i="15"/>
  <c r="D1130" i="15"/>
  <c r="D1131" i="15"/>
  <c r="D1132" i="15"/>
  <c r="D1133" i="15"/>
  <c r="D1134" i="15"/>
  <c r="D1135" i="15"/>
  <c r="D1136" i="15"/>
  <c r="D1137" i="15"/>
  <c r="D1138" i="15"/>
  <c r="D1139" i="15"/>
  <c r="D1140" i="15"/>
  <c r="D1141" i="15"/>
  <c r="D1142" i="15"/>
  <c r="D1143" i="15"/>
  <c r="D1144" i="15"/>
  <c r="D1145" i="15"/>
  <c r="D1146" i="15"/>
  <c r="D1147" i="15"/>
  <c r="D1148" i="15"/>
  <c r="D1149" i="15"/>
  <c r="D1150" i="15"/>
  <c r="D1151" i="15"/>
  <c r="D1152" i="15"/>
  <c r="D1153" i="15"/>
  <c r="D1154" i="15"/>
  <c r="D1155" i="15"/>
  <c r="D1156" i="15"/>
  <c r="D1157" i="15"/>
  <c r="D1158" i="15"/>
  <c r="D1159" i="15"/>
  <c r="D1160" i="15"/>
  <c r="D1161" i="15"/>
  <c r="D1162" i="15"/>
  <c r="D1163" i="15"/>
  <c r="D1164" i="15"/>
  <c r="D1165" i="15"/>
  <c r="D1166" i="15"/>
  <c r="D1167" i="15"/>
  <c r="D1168" i="15"/>
  <c r="D1169" i="15"/>
  <c r="D1170" i="15"/>
  <c r="D1171" i="15"/>
  <c r="D1172" i="15"/>
  <c r="D1173" i="15"/>
  <c r="D1174" i="15"/>
  <c r="D1175" i="15"/>
  <c r="D1176" i="15"/>
  <c r="D1177" i="15"/>
  <c r="D1178" i="15"/>
  <c r="D1179" i="15"/>
  <c r="D1180" i="15"/>
  <c r="D1181" i="15"/>
  <c r="D1182" i="15"/>
  <c r="D1183" i="15"/>
  <c r="D1184" i="15"/>
  <c r="D1185" i="15"/>
  <c r="D1186" i="15"/>
  <c r="D1187" i="15"/>
  <c r="D1188" i="15"/>
  <c r="D1189" i="15"/>
  <c r="D1190" i="15"/>
  <c r="D1191" i="15"/>
  <c r="D1192" i="15"/>
  <c r="D1193" i="15"/>
  <c r="D1194" i="15"/>
  <c r="D1195" i="15"/>
  <c r="D1196" i="15"/>
  <c r="D1197" i="15"/>
  <c r="D1198" i="15"/>
  <c r="D1199" i="15"/>
  <c r="D1200" i="15"/>
  <c r="D1201" i="15"/>
  <c r="D1202" i="15"/>
  <c r="D1203" i="15"/>
  <c r="D1204" i="15"/>
  <c r="D1205" i="15"/>
  <c r="D1206" i="15"/>
  <c r="D1207" i="15"/>
  <c r="D1208" i="15"/>
  <c r="D1209" i="15"/>
  <c r="D1210" i="15"/>
  <c r="D1211" i="15"/>
  <c r="D1212" i="15"/>
  <c r="D1213" i="15"/>
  <c r="D1214" i="15"/>
  <c r="D1215" i="15"/>
  <c r="D1216" i="15"/>
  <c r="D1217" i="15"/>
  <c r="D1218" i="15"/>
  <c r="D1219" i="15"/>
  <c r="D1220" i="15"/>
  <c r="D1221" i="15"/>
  <c r="D1222" i="15"/>
  <c r="D1223" i="15"/>
  <c r="D1224" i="15"/>
  <c r="D1225" i="15"/>
  <c r="D1226" i="15"/>
  <c r="D1227" i="15"/>
  <c r="D1228" i="15"/>
  <c r="D1229" i="15"/>
  <c r="D1230" i="15"/>
  <c r="D1231" i="15"/>
  <c r="D1232" i="15"/>
  <c r="D1233" i="15"/>
  <c r="D1234" i="15"/>
  <c r="D1235" i="15"/>
  <c r="D1236" i="15"/>
  <c r="D1237" i="15"/>
  <c r="D1238" i="15"/>
  <c r="D1239" i="15"/>
  <c r="D1240" i="15"/>
  <c r="D1241" i="15"/>
  <c r="D1242" i="15"/>
  <c r="D1243" i="15"/>
  <c r="D1244" i="15"/>
  <c r="D1245" i="15"/>
  <c r="D1246" i="15"/>
  <c r="D1247" i="15"/>
  <c r="D1248" i="15"/>
  <c r="D1249" i="15"/>
  <c r="D1250" i="15"/>
  <c r="D1251" i="15"/>
  <c r="D1252" i="15"/>
  <c r="D1253" i="15"/>
  <c r="D1254" i="15"/>
  <c r="D1255" i="15"/>
  <c r="D1256" i="15"/>
  <c r="D1257" i="15"/>
  <c r="D1258" i="15"/>
  <c r="D1259" i="15"/>
  <c r="D1260" i="15"/>
  <c r="D1261" i="15"/>
  <c r="D1262" i="15"/>
  <c r="D1263" i="15"/>
  <c r="D1264" i="15"/>
  <c r="D1265" i="15"/>
  <c r="D1266" i="15"/>
  <c r="D1267" i="15"/>
  <c r="D1268" i="15"/>
  <c r="D1269" i="15"/>
  <c r="D1270" i="15"/>
  <c r="D1271" i="15"/>
  <c r="D1272" i="15"/>
  <c r="D1273" i="15"/>
  <c r="D1274" i="15"/>
  <c r="D1275" i="15"/>
  <c r="D1276" i="15"/>
  <c r="D1277" i="15"/>
  <c r="D1278" i="15"/>
  <c r="D1279" i="15"/>
  <c r="D1280" i="15"/>
  <c r="D1281" i="15"/>
  <c r="D1282" i="15"/>
  <c r="D1283" i="15"/>
  <c r="D1284" i="15"/>
  <c r="D1285" i="15"/>
  <c r="D1286" i="15"/>
  <c r="D1287" i="15"/>
  <c r="D1288" i="15"/>
  <c r="D1289" i="15"/>
  <c r="D1290" i="15"/>
  <c r="D1291" i="15"/>
  <c r="D1292" i="15"/>
  <c r="D1293" i="15"/>
  <c r="D1294" i="15"/>
  <c r="D1295" i="15"/>
  <c r="D1296" i="15"/>
  <c r="D1297" i="15"/>
  <c r="D1298" i="15"/>
  <c r="D1299" i="15"/>
  <c r="D1300" i="15"/>
  <c r="D1301" i="15"/>
  <c r="D1302" i="15"/>
  <c r="D1303" i="15"/>
  <c r="D1304" i="15"/>
  <c r="D1305" i="15"/>
  <c r="D1306" i="15"/>
  <c r="D1307" i="15"/>
  <c r="D1308" i="15"/>
  <c r="D1309" i="15"/>
  <c r="D1310" i="15"/>
  <c r="D1311" i="15"/>
  <c r="D1312" i="15"/>
  <c r="D1313" i="15"/>
  <c r="D1314" i="15"/>
  <c r="D1315" i="15"/>
  <c r="D1316" i="15"/>
  <c r="D1317" i="15"/>
  <c r="D1318" i="15"/>
  <c r="D1319" i="15"/>
  <c r="D1320" i="15"/>
  <c r="D1321" i="15"/>
  <c r="D1322" i="15"/>
  <c r="D1323" i="15"/>
  <c r="D1324" i="15"/>
  <c r="D1325" i="15"/>
  <c r="D1326" i="15"/>
  <c r="D1327" i="15"/>
  <c r="D1328" i="15"/>
  <c r="D1329" i="15"/>
  <c r="D1330" i="15"/>
  <c r="D1331" i="15"/>
  <c r="D1332" i="15"/>
  <c r="D1333" i="15"/>
  <c r="D1334" i="15"/>
  <c r="D1335" i="15"/>
  <c r="D1336" i="15"/>
  <c r="D1337" i="15"/>
  <c r="D1338" i="15"/>
  <c r="D1339" i="15"/>
  <c r="D1340" i="15"/>
  <c r="D1341" i="15"/>
  <c r="D1342" i="15"/>
  <c r="D1343" i="15"/>
  <c r="D1344" i="15"/>
  <c r="D1345" i="15"/>
  <c r="D1346" i="15"/>
  <c r="D1347" i="15"/>
  <c r="D1348" i="15"/>
  <c r="D1349" i="15"/>
  <c r="D1350" i="15"/>
  <c r="D1351" i="15"/>
  <c r="D1352" i="15"/>
  <c r="D1353" i="15"/>
  <c r="D1354" i="15"/>
  <c r="D1355" i="15"/>
  <c r="D1356" i="15"/>
  <c r="D1357" i="15"/>
  <c r="D1358" i="15"/>
  <c r="D1359" i="15"/>
  <c r="D1360" i="15"/>
  <c r="D1361" i="15"/>
  <c r="D1362" i="15"/>
  <c r="D1363" i="15"/>
  <c r="D1364" i="15"/>
  <c r="D1365" i="15"/>
  <c r="D1366" i="15"/>
  <c r="D1367" i="15"/>
  <c r="D1368" i="15"/>
  <c r="D1369" i="15"/>
  <c r="D1370" i="15"/>
  <c r="D1371" i="15"/>
  <c r="D1372" i="15"/>
  <c r="D1373" i="15"/>
  <c r="D1374" i="15"/>
  <c r="D1375" i="15"/>
  <c r="D1376" i="15"/>
  <c r="D1377" i="15"/>
  <c r="D1378" i="15"/>
  <c r="D1379" i="15"/>
  <c r="D1380" i="15"/>
  <c r="D1381" i="15"/>
  <c r="D1382" i="15"/>
  <c r="D1383" i="15"/>
  <c r="D1384" i="15"/>
  <c r="D1385" i="15"/>
  <c r="D1386" i="15"/>
  <c r="D1387" i="15"/>
  <c r="D1388" i="15"/>
  <c r="D1389" i="15"/>
  <c r="D1390" i="15"/>
  <c r="D1391" i="15"/>
  <c r="D1392" i="15"/>
  <c r="D1393" i="15"/>
  <c r="D1394" i="15"/>
  <c r="D1395" i="15"/>
  <c r="D1396" i="15"/>
  <c r="D1397" i="15"/>
  <c r="D1398" i="15"/>
  <c r="D1399" i="15"/>
  <c r="D1400" i="15"/>
  <c r="D1401" i="15"/>
  <c r="D1402" i="15"/>
  <c r="D1403" i="15"/>
  <c r="D1404" i="15"/>
  <c r="D1405" i="15"/>
  <c r="D1406" i="15"/>
  <c r="D1407" i="15"/>
  <c r="D1408" i="15"/>
  <c r="D1409" i="15"/>
  <c r="D1410" i="15"/>
  <c r="D1411" i="15"/>
  <c r="D1412" i="15"/>
  <c r="D1413" i="15"/>
  <c r="D1414" i="15"/>
  <c r="D1415" i="15"/>
  <c r="D1416" i="15"/>
  <c r="D1417" i="15"/>
  <c r="D1418" i="15"/>
  <c r="D1419" i="15"/>
  <c r="D1420" i="15"/>
  <c r="D1421" i="15"/>
  <c r="D1422" i="15"/>
  <c r="D1423" i="15"/>
  <c r="D1424" i="15"/>
  <c r="D1425" i="15"/>
  <c r="D1426" i="15"/>
  <c r="D1427" i="15"/>
  <c r="D1428" i="15"/>
  <c r="D1429" i="15"/>
  <c r="D1430" i="15"/>
  <c r="D1431" i="15"/>
  <c r="D1432" i="15"/>
  <c r="D1433" i="15"/>
  <c r="D1434" i="15"/>
  <c r="D1435" i="15"/>
  <c r="D1436" i="15"/>
  <c r="D1437" i="15"/>
  <c r="D1438" i="15"/>
  <c r="D1439" i="15"/>
  <c r="D1440" i="15"/>
  <c r="D1441" i="15"/>
  <c r="D1442" i="15"/>
  <c r="D1443" i="15"/>
  <c r="D1444" i="15"/>
  <c r="D1445" i="15"/>
  <c r="D1446" i="15"/>
  <c r="D1447" i="15"/>
  <c r="D1448" i="15"/>
  <c r="D1449" i="15"/>
  <c r="D1450" i="15"/>
  <c r="D1451" i="15"/>
  <c r="D1452" i="15"/>
  <c r="D1453" i="15"/>
  <c r="D1454" i="15"/>
  <c r="D1455" i="15"/>
  <c r="D1456" i="15"/>
  <c r="D1457" i="15"/>
  <c r="D1458" i="15"/>
  <c r="D1459" i="15"/>
  <c r="D1460" i="15"/>
  <c r="D1461" i="15"/>
  <c r="D1462" i="15"/>
  <c r="D1463" i="15"/>
  <c r="D1464" i="15"/>
  <c r="D1465" i="15"/>
  <c r="D1466" i="15"/>
  <c r="D1467" i="15"/>
  <c r="D1468" i="15"/>
  <c r="D1469" i="15"/>
  <c r="D1470" i="15"/>
  <c r="D1471" i="15"/>
  <c r="D1472" i="15"/>
  <c r="D1473" i="15"/>
  <c r="D1474" i="15"/>
  <c r="D1475" i="15"/>
  <c r="D1476" i="15"/>
  <c r="D1477" i="15"/>
  <c r="D1478" i="15"/>
  <c r="D1479" i="15"/>
  <c r="D1480" i="15"/>
  <c r="D1481" i="15"/>
  <c r="D1482" i="15"/>
  <c r="D1483" i="15"/>
  <c r="D1484" i="15"/>
  <c r="D1485" i="15"/>
  <c r="D1486" i="15"/>
  <c r="D1487" i="15"/>
  <c r="D1488" i="15"/>
  <c r="D1489" i="15"/>
  <c r="D1490" i="15"/>
  <c r="D1491" i="15"/>
  <c r="D1492" i="15"/>
  <c r="D1493" i="15"/>
  <c r="D1494" i="15"/>
  <c r="D1495" i="15"/>
  <c r="D1496" i="15"/>
  <c r="D1497" i="15"/>
  <c r="D1498" i="15"/>
  <c r="D1499" i="15"/>
  <c r="D1500" i="15"/>
  <c r="D1501" i="15"/>
  <c r="D1502" i="15"/>
  <c r="D1503" i="15"/>
  <c r="D1504" i="15"/>
  <c r="D1505" i="15"/>
  <c r="D1506" i="15"/>
  <c r="D1507" i="15"/>
  <c r="D1508" i="15"/>
  <c r="D1509" i="15"/>
  <c r="D1510" i="15"/>
  <c r="D1511" i="15"/>
  <c r="D1512" i="15"/>
  <c r="D1513" i="15"/>
  <c r="D1514" i="15"/>
  <c r="D1515" i="15"/>
  <c r="D1516" i="15"/>
  <c r="D1517" i="15"/>
  <c r="D1518" i="15"/>
  <c r="D1519" i="15"/>
  <c r="D1520" i="15"/>
  <c r="D1521" i="15"/>
  <c r="D1522" i="15"/>
  <c r="D1523" i="15"/>
  <c r="D1524" i="15"/>
  <c r="D1525" i="15"/>
  <c r="D1526" i="15"/>
  <c r="D1527" i="15"/>
  <c r="D1528" i="15"/>
  <c r="D1529" i="15"/>
  <c r="D1530" i="15"/>
  <c r="D1531" i="15"/>
  <c r="D1532" i="15"/>
  <c r="D1533" i="15"/>
  <c r="D1534" i="15"/>
  <c r="D1535" i="15"/>
  <c r="D1536" i="15"/>
  <c r="D1537" i="15"/>
  <c r="D1538" i="15"/>
  <c r="D1539" i="15"/>
  <c r="D1540" i="15"/>
  <c r="D1541" i="15"/>
  <c r="D1542" i="15"/>
  <c r="D1543" i="15"/>
  <c r="D1544" i="15"/>
  <c r="D1545" i="15"/>
  <c r="D1546" i="15"/>
  <c r="D1547" i="15"/>
  <c r="D1548" i="15"/>
  <c r="D1549" i="15"/>
  <c r="D1550" i="15"/>
  <c r="D1551" i="15"/>
  <c r="D1552" i="15"/>
  <c r="D1553" i="15"/>
  <c r="D1554" i="15"/>
  <c r="D1555" i="15"/>
  <c r="D1556" i="15"/>
  <c r="D1557" i="15"/>
  <c r="D1558" i="15"/>
  <c r="D1559" i="15"/>
  <c r="D1560" i="15"/>
  <c r="D1561" i="15"/>
  <c r="D1562" i="15"/>
  <c r="D1563" i="15"/>
  <c r="D1564" i="15"/>
  <c r="D1565" i="15"/>
  <c r="D1566" i="15"/>
  <c r="D1567" i="15"/>
  <c r="D1568" i="15"/>
  <c r="D1569" i="15"/>
  <c r="D1570" i="15"/>
  <c r="D1571" i="15"/>
  <c r="D1572" i="15"/>
  <c r="D1573" i="15"/>
  <c r="D1574" i="15"/>
  <c r="D1575" i="15"/>
  <c r="D1576" i="15"/>
  <c r="D1577" i="15"/>
  <c r="D1578" i="15"/>
  <c r="D1579" i="15"/>
  <c r="D1580" i="15"/>
  <c r="D1581" i="15"/>
  <c r="D1582" i="15"/>
  <c r="D1583" i="15"/>
  <c r="D1584" i="15"/>
  <c r="D1585" i="15"/>
  <c r="D1586" i="15"/>
  <c r="D1587" i="15"/>
  <c r="D1588" i="15"/>
  <c r="D1589" i="15"/>
  <c r="D1590" i="15"/>
  <c r="D1591" i="15"/>
  <c r="D1592" i="15"/>
  <c r="D1593" i="15"/>
  <c r="D1594" i="15"/>
  <c r="D1595" i="15"/>
  <c r="D1596" i="15"/>
  <c r="D1597" i="15"/>
  <c r="D1598" i="15"/>
  <c r="D1599" i="15"/>
  <c r="D1600" i="15"/>
  <c r="D1601" i="15"/>
  <c r="D1602" i="15"/>
  <c r="D1603" i="15"/>
  <c r="D1604" i="15"/>
  <c r="D1605" i="15"/>
  <c r="D1606" i="15"/>
  <c r="D1607" i="15"/>
  <c r="D1608" i="15"/>
  <c r="D1609" i="15"/>
  <c r="D1610" i="15"/>
  <c r="D1611" i="15"/>
  <c r="D1612" i="15"/>
  <c r="D1613" i="15"/>
  <c r="D1614" i="15"/>
  <c r="D1615" i="15"/>
  <c r="D1616" i="15"/>
  <c r="D1617" i="15"/>
  <c r="D1618" i="15"/>
  <c r="D1619" i="15"/>
  <c r="D1620" i="15"/>
  <c r="D1621" i="15"/>
  <c r="D1622" i="15"/>
  <c r="D1623" i="15"/>
  <c r="D1624" i="15"/>
  <c r="D1625" i="15"/>
  <c r="D1626" i="15"/>
  <c r="D1627" i="15"/>
  <c r="D1628" i="15"/>
  <c r="D1629" i="15"/>
  <c r="D1630" i="15"/>
  <c r="D1631" i="15"/>
  <c r="D1632" i="15"/>
  <c r="D1633" i="15"/>
  <c r="D1634" i="15"/>
  <c r="D1635" i="15"/>
  <c r="D1636" i="15"/>
  <c r="D1637" i="15"/>
  <c r="D1638" i="15"/>
  <c r="D1639" i="15"/>
  <c r="D1640" i="15"/>
  <c r="D1641" i="15"/>
  <c r="D1642" i="15"/>
  <c r="D1643" i="15"/>
  <c r="D1644" i="15"/>
  <c r="D1645" i="15"/>
  <c r="D1646" i="15"/>
  <c r="D1647" i="15"/>
  <c r="D1648" i="15"/>
  <c r="D1649" i="15"/>
  <c r="D1650" i="15"/>
  <c r="D1651" i="15"/>
  <c r="D1652" i="15"/>
  <c r="D1653" i="15"/>
  <c r="D1654" i="15"/>
  <c r="D1655" i="15"/>
  <c r="D1656" i="15"/>
  <c r="D1657" i="15"/>
  <c r="D1658" i="15"/>
  <c r="D1659" i="15"/>
  <c r="D1660" i="15"/>
  <c r="D1661" i="15"/>
  <c r="D1662" i="15"/>
  <c r="D1663" i="15"/>
  <c r="D1664" i="15"/>
  <c r="D1665" i="15"/>
  <c r="D1666" i="15"/>
  <c r="D1667" i="15"/>
  <c r="D1668" i="15"/>
  <c r="D1669" i="15"/>
  <c r="D1670" i="15"/>
  <c r="D1671" i="15"/>
  <c r="D1672" i="15"/>
  <c r="D1673" i="15"/>
  <c r="D1674" i="15"/>
  <c r="D1675" i="15"/>
  <c r="D1676" i="15"/>
  <c r="D1677" i="15"/>
  <c r="D1678" i="15"/>
  <c r="D1679" i="15"/>
  <c r="D1680" i="15"/>
  <c r="D1681" i="15"/>
  <c r="D1682" i="15"/>
  <c r="D1683" i="15"/>
  <c r="D1684" i="15"/>
  <c r="D1685" i="15"/>
  <c r="D1686" i="15"/>
  <c r="D1687" i="15"/>
  <c r="D1688" i="15"/>
  <c r="D1689" i="15"/>
  <c r="D1690" i="15"/>
  <c r="D1691" i="15"/>
  <c r="D1692" i="15"/>
  <c r="D1693" i="15"/>
  <c r="D1694" i="15"/>
  <c r="D1695" i="15"/>
  <c r="D1696" i="15"/>
  <c r="D1697" i="15"/>
  <c r="D1698" i="15"/>
  <c r="D1699" i="15"/>
  <c r="D1700" i="15"/>
  <c r="D1701" i="15"/>
  <c r="D1702" i="15"/>
  <c r="D1703" i="15"/>
  <c r="D1704" i="15"/>
  <c r="D1705" i="15"/>
  <c r="D1706" i="15"/>
  <c r="D1707" i="15"/>
  <c r="D1708" i="15"/>
  <c r="D1709" i="15"/>
  <c r="D1710" i="15"/>
  <c r="D1711" i="15"/>
  <c r="D1712" i="15"/>
  <c r="D1713" i="15"/>
  <c r="D1714" i="15"/>
  <c r="D1715" i="15"/>
  <c r="D1716" i="15"/>
  <c r="D1717" i="15"/>
  <c r="D1718" i="15"/>
  <c r="D1719" i="15"/>
  <c r="D1720" i="15"/>
  <c r="D1721" i="15"/>
  <c r="D1722" i="15"/>
  <c r="D1723" i="15"/>
  <c r="D1724" i="15"/>
  <c r="D1725" i="15"/>
  <c r="D1726" i="15"/>
  <c r="D1727" i="15"/>
  <c r="D1728" i="15"/>
  <c r="D1729" i="15"/>
  <c r="D1730" i="15"/>
  <c r="D1731" i="15"/>
  <c r="D1732" i="15"/>
  <c r="D1733" i="15"/>
  <c r="D1734" i="15"/>
  <c r="D1735" i="15"/>
  <c r="D1736" i="15"/>
  <c r="D1737" i="15"/>
  <c r="D1738" i="15"/>
  <c r="D1739" i="15"/>
  <c r="D1740" i="15"/>
  <c r="D1741" i="15"/>
  <c r="D1742" i="15"/>
  <c r="D1743" i="15"/>
  <c r="D1744" i="15"/>
  <c r="D1745" i="15"/>
  <c r="D1746" i="15"/>
  <c r="D1747" i="15"/>
  <c r="D1748" i="15"/>
  <c r="D1749" i="15"/>
  <c r="D1750" i="15"/>
  <c r="D1751" i="15"/>
  <c r="D1752" i="15"/>
  <c r="D1753" i="15"/>
  <c r="D1754" i="15"/>
  <c r="D1755" i="15"/>
  <c r="D1756" i="15"/>
  <c r="D1757" i="15"/>
  <c r="D1758" i="15"/>
  <c r="D1759" i="15"/>
  <c r="D1760" i="15"/>
  <c r="D1761" i="15"/>
  <c r="D1762" i="15"/>
  <c r="D1763" i="15"/>
  <c r="D1764" i="15"/>
  <c r="D1765" i="15"/>
  <c r="D1766" i="15"/>
  <c r="D1767" i="15"/>
  <c r="D1768" i="15"/>
  <c r="D1769" i="15"/>
  <c r="D1770" i="15"/>
  <c r="D1771" i="15"/>
  <c r="D1772" i="15"/>
  <c r="D1773" i="15"/>
  <c r="D1774" i="15"/>
  <c r="D1775" i="15"/>
  <c r="D1776" i="15"/>
  <c r="D1777" i="15"/>
  <c r="D1778" i="15"/>
  <c r="D1779" i="15"/>
  <c r="D1780" i="15"/>
  <c r="D1781" i="15"/>
  <c r="D1782" i="15"/>
  <c r="D1783" i="15"/>
  <c r="D1784" i="15"/>
  <c r="D1785" i="15"/>
  <c r="D1786" i="15"/>
  <c r="D1787" i="15"/>
  <c r="D1788" i="15"/>
  <c r="D1789" i="15"/>
  <c r="D1790" i="15"/>
  <c r="D1791" i="15"/>
  <c r="D1792" i="15"/>
  <c r="D1793" i="15"/>
  <c r="D1794" i="15"/>
  <c r="D1795" i="15"/>
  <c r="D1796" i="15"/>
  <c r="D1797" i="15"/>
  <c r="D1798" i="15"/>
  <c r="D1799" i="15"/>
  <c r="D1800" i="15"/>
  <c r="D1801" i="15"/>
  <c r="D1802" i="15"/>
  <c r="D1803" i="15"/>
  <c r="D1804" i="15"/>
  <c r="D1805" i="15"/>
  <c r="D1806" i="15"/>
  <c r="D1807" i="15"/>
  <c r="D1808" i="15"/>
  <c r="D1809" i="15"/>
  <c r="D1810" i="15"/>
  <c r="D1811" i="15"/>
  <c r="D1812" i="15"/>
  <c r="D1813" i="15"/>
  <c r="D1814" i="15"/>
  <c r="D1815" i="15"/>
  <c r="D1816" i="15"/>
  <c r="D1817" i="15"/>
  <c r="D1818" i="15"/>
  <c r="D1819" i="15"/>
  <c r="D1820" i="15"/>
  <c r="D1821" i="15"/>
  <c r="D1822" i="15"/>
  <c r="D1823" i="15"/>
  <c r="D1824" i="15"/>
  <c r="D1825" i="15"/>
  <c r="D1826" i="15"/>
  <c r="D1827" i="15"/>
  <c r="D1828" i="15"/>
  <c r="D1829" i="15"/>
  <c r="D1830" i="15"/>
  <c r="D1831" i="15"/>
  <c r="D1832" i="15"/>
  <c r="D1833" i="15"/>
  <c r="D1834" i="15"/>
  <c r="D1835" i="15"/>
  <c r="D1836" i="15"/>
  <c r="D1837" i="15"/>
  <c r="D1838" i="15"/>
  <c r="D1839" i="15"/>
  <c r="D1840" i="15"/>
  <c r="D1841" i="15"/>
  <c r="D1842" i="15"/>
  <c r="D1843" i="15"/>
  <c r="D1844" i="15"/>
  <c r="D1845" i="15"/>
  <c r="D1846" i="15"/>
  <c r="D1847" i="15"/>
  <c r="D1848" i="15"/>
  <c r="D1849" i="15"/>
  <c r="D1850" i="15"/>
  <c r="D1851" i="15"/>
  <c r="D1852" i="15"/>
  <c r="D1853" i="15"/>
  <c r="D1854" i="15"/>
  <c r="D1855" i="15"/>
  <c r="D1856" i="15"/>
  <c r="D1857" i="15"/>
  <c r="D1858" i="15"/>
  <c r="D1859" i="15"/>
  <c r="D1860" i="15"/>
  <c r="D1861" i="15"/>
  <c r="D1862" i="15"/>
  <c r="D1863" i="15"/>
  <c r="D1864" i="15"/>
  <c r="D1865" i="15"/>
  <c r="D1866" i="15"/>
  <c r="D1867" i="15"/>
  <c r="D1868" i="15"/>
  <c r="D1869" i="15"/>
  <c r="D1870" i="15"/>
  <c r="D1871" i="15"/>
  <c r="D1872" i="15"/>
  <c r="D1873" i="15"/>
  <c r="D1874" i="15"/>
  <c r="D1875" i="15"/>
  <c r="D1876" i="15"/>
  <c r="D1877" i="15"/>
  <c r="D1878" i="15"/>
  <c r="D1879" i="15"/>
  <c r="D1880" i="15"/>
  <c r="D1881" i="15"/>
  <c r="D1882" i="15"/>
  <c r="D1883" i="15"/>
  <c r="D1884" i="15"/>
  <c r="D1885" i="15"/>
  <c r="D1886" i="15"/>
  <c r="D1887" i="15"/>
  <c r="D1888" i="15"/>
  <c r="D1889" i="15"/>
  <c r="D1890" i="15"/>
  <c r="D1891" i="15"/>
  <c r="D1892" i="15"/>
  <c r="D1893" i="15"/>
  <c r="D1894" i="15"/>
  <c r="D1895" i="15"/>
  <c r="D1896" i="15"/>
  <c r="D1897" i="15"/>
  <c r="D1898" i="15"/>
  <c r="D1899" i="15"/>
  <c r="D1900" i="15"/>
  <c r="D1901" i="15"/>
  <c r="D1902" i="15"/>
  <c r="D1903" i="15"/>
  <c r="D1904" i="15"/>
  <c r="D1905" i="15"/>
  <c r="D1906" i="15"/>
  <c r="D1907" i="15"/>
  <c r="D1908" i="15"/>
  <c r="D1909" i="15"/>
  <c r="D1910" i="15"/>
  <c r="D1911" i="15"/>
  <c r="D1912" i="15"/>
  <c r="D1913" i="15"/>
  <c r="D1914" i="15"/>
  <c r="D1915" i="15"/>
  <c r="D1916" i="15"/>
  <c r="D1917" i="15"/>
  <c r="D1918" i="15"/>
  <c r="D1919" i="15"/>
  <c r="D1920" i="15"/>
  <c r="D1921" i="15"/>
  <c r="D1922" i="15"/>
  <c r="D1923" i="15"/>
  <c r="D1924" i="15"/>
  <c r="D1925" i="15"/>
  <c r="D1926" i="15"/>
  <c r="D1927" i="15"/>
  <c r="D1928" i="15"/>
  <c r="D1929" i="15"/>
  <c r="D1930" i="15"/>
  <c r="D1931" i="15"/>
  <c r="D1932" i="15"/>
  <c r="D1933" i="15"/>
  <c r="D1934" i="15"/>
  <c r="D1935" i="15"/>
  <c r="D1936" i="15"/>
  <c r="D1937" i="15"/>
  <c r="D1938" i="15"/>
  <c r="D1939" i="15"/>
  <c r="D1940" i="15"/>
  <c r="D1941" i="15"/>
  <c r="D1942" i="15"/>
  <c r="D1943" i="15"/>
  <c r="D1944" i="15"/>
  <c r="D1945" i="15"/>
  <c r="D1946" i="15"/>
  <c r="D1947" i="15"/>
  <c r="D1948" i="15"/>
  <c r="D1949" i="15"/>
  <c r="D1950" i="15"/>
  <c r="D1951" i="15"/>
  <c r="D1952" i="15"/>
  <c r="D1953" i="15"/>
  <c r="D1954" i="15"/>
  <c r="D1955" i="15"/>
  <c r="D1956" i="15"/>
  <c r="D1957" i="15"/>
  <c r="D1958" i="15"/>
  <c r="D1959" i="15"/>
  <c r="D1960" i="15"/>
  <c r="D1961" i="15"/>
  <c r="D1962" i="15"/>
  <c r="D1963" i="15"/>
  <c r="D1964" i="15"/>
  <c r="D1965" i="15"/>
  <c r="D1966" i="15"/>
  <c r="D1967" i="15"/>
  <c r="D1968" i="15"/>
  <c r="D1969" i="15"/>
  <c r="D1970" i="15"/>
  <c r="D1971" i="15"/>
  <c r="D1972" i="15"/>
  <c r="D1973" i="15"/>
  <c r="D1974" i="15"/>
  <c r="D1975" i="15"/>
  <c r="D1976" i="15"/>
  <c r="D1977" i="15"/>
  <c r="D1978" i="15"/>
  <c r="D1979" i="15"/>
  <c r="D1980" i="15"/>
  <c r="D1981" i="15"/>
  <c r="D1982" i="15"/>
  <c r="D1983" i="15"/>
  <c r="D1984" i="15"/>
  <c r="D1985" i="15"/>
  <c r="D1986" i="15"/>
  <c r="D1987" i="15"/>
  <c r="D1988" i="15"/>
  <c r="D1989" i="15"/>
  <c r="D1990" i="15"/>
  <c r="D1991" i="15"/>
  <c r="D1992" i="15"/>
  <c r="D1993" i="15"/>
  <c r="D1994" i="15"/>
  <c r="D1995" i="15"/>
  <c r="D1996" i="15"/>
  <c r="D1997" i="15"/>
  <c r="D1998" i="15"/>
  <c r="D1999" i="15"/>
  <c r="D2000" i="15"/>
  <c r="D2001" i="15"/>
  <c r="D2002" i="15"/>
  <c r="D2003" i="15"/>
  <c r="D2004" i="15"/>
  <c r="D2005" i="15"/>
  <c r="D2006" i="15"/>
  <c r="D2007" i="15"/>
  <c r="D2008" i="15"/>
  <c r="D2009" i="15"/>
  <c r="D2010" i="15"/>
  <c r="D2011" i="15"/>
  <c r="D2012" i="15"/>
  <c r="D2013" i="15"/>
  <c r="D2014" i="15"/>
  <c r="D2015" i="15"/>
  <c r="D2016" i="15"/>
  <c r="D2017" i="15"/>
  <c r="D2018" i="15"/>
  <c r="D2019" i="15"/>
  <c r="D2020" i="15"/>
  <c r="D2021" i="15"/>
  <c r="D2022" i="15"/>
  <c r="D2023" i="15"/>
  <c r="D2024" i="15"/>
  <c r="D2025" i="15"/>
  <c r="D2026" i="15"/>
  <c r="D2027" i="15"/>
  <c r="D2028" i="15"/>
  <c r="D2029" i="15"/>
  <c r="D2030" i="15"/>
  <c r="D2031" i="15"/>
  <c r="D2032" i="15"/>
  <c r="D2033" i="15"/>
  <c r="D2034" i="15"/>
  <c r="D2035" i="15"/>
  <c r="D2036" i="15"/>
  <c r="D2037" i="15"/>
  <c r="D2038" i="15"/>
  <c r="D2039" i="15"/>
  <c r="D2040" i="15"/>
  <c r="D2041" i="15"/>
  <c r="D2042" i="15"/>
  <c r="D2043" i="15"/>
  <c r="D2044" i="15"/>
  <c r="D2045" i="15"/>
  <c r="D2046" i="15"/>
  <c r="D2047" i="15"/>
  <c r="D2048" i="15"/>
  <c r="D2049" i="15"/>
  <c r="D2050" i="15"/>
  <c r="D2051" i="15"/>
  <c r="D2052" i="15"/>
  <c r="D2053" i="15"/>
  <c r="D2054" i="15"/>
  <c r="D2055" i="15"/>
  <c r="D2056" i="15"/>
  <c r="D2057" i="15"/>
  <c r="D2058" i="15"/>
  <c r="D2059" i="15"/>
  <c r="D2060" i="15"/>
  <c r="D2061" i="15"/>
  <c r="D2062" i="15"/>
  <c r="D2063" i="15"/>
  <c r="D2064" i="15"/>
  <c r="D2065" i="15"/>
  <c r="D2066" i="15"/>
  <c r="D2067" i="15"/>
  <c r="D2068" i="15"/>
  <c r="D2069" i="15"/>
  <c r="D2070" i="15"/>
  <c r="D2071" i="15"/>
  <c r="D2072" i="15"/>
  <c r="D2073" i="15"/>
  <c r="D2074" i="15"/>
  <c r="D2075" i="15"/>
  <c r="D2076" i="15"/>
  <c r="D2077" i="15"/>
  <c r="D2078" i="15"/>
  <c r="D2079" i="15"/>
  <c r="D2080" i="15"/>
  <c r="D2081" i="15"/>
  <c r="D2082" i="15"/>
  <c r="D2083" i="15"/>
  <c r="D2084" i="15"/>
  <c r="D2085" i="15"/>
  <c r="D2086" i="15"/>
  <c r="D2087" i="15"/>
  <c r="D2088" i="15"/>
  <c r="D2089" i="15"/>
  <c r="D2090" i="15"/>
  <c r="D2091" i="15"/>
  <c r="D2092" i="15"/>
  <c r="D2093" i="15"/>
  <c r="D2094" i="15"/>
  <c r="D2095" i="15"/>
  <c r="D2096" i="15"/>
  <c r="D2097" i="15"/>
  <c r="D2098" i="15"/>
  <c r="D2099" i="15"/>
  <c r="D2100" i="15"/>
  <c r="D2101" i="15"/>
  <c r="D2102" i="15"/>
  <c r="D2103" i="15"/>
  <c r="D2104" i="15"/>
  <c r="D2105" i="15"/>
  <c r="D2106" i="15"/>
  <c r="D2107" i="15"/>
  <c r="D2108" i="15"/>
  <c r="D2109" i="15"/>
  <c r="D2110" i="15"/>
  <c r="D2111" i="15"/>
  <c r="D2112" i="15"/>
  <c r="D2113" i="15"/>
  <c r="D2114" i="15"/>
  <c r="D2115" i="15"/>
  <c r="D2116" i="15"/>
  <c r="D2117" i="15"/>
  <c r="D2118" i="15"/>
  <c r="D2119" i="15"/>
  <c r="D2120" i="15"/>
  <c r="D2121" i="15"/>
  <c r="D2122" i="15"/>
  <c r="D2123" i="15"/>
  <c r="D2124" i="15"/>
  <c r="D2125" i="15"/>
  <c r="D2126" i="15"/>
  <c r="D2127" i="15"/>
  <c r="D2128" i="15"/>
  <c r="D2129" i="15"/>
  <c r="D2130" i="15"/>
  <c r="D2131" i="15"/>
  <c r="D2132" i="15"/>
  <c r="D2133" i="15"/>
  <c r="D2134" i="15"/>
  <c r="D2135" i="15"/>
  <c r="D2136" i="15"/>
  <c r="D2137" i="15"/>
  <c r="D2138" i="15"/>
  <c r="D2139" i="15"/>
  <c r="D2140" i="15"/>
  <c r="D2141" i="15"/>
  <c r="D2142" i="15"/>
  <c r="D2143" i="15"/>
  <c r="D2144" i="15"/>
  <c r="D2145" i="15"/>
  <c r="D2146" i="15"/>
  <c r="D2147" i="15"/>
  <c r="D2148" i="15"/>
  <c r="D2149" i="15"/>
  <c r="D2150" i="15"/>
  <c r="D2151" i="15"/>
  <c r="D2152" i="15"/>
  <c r="D2153" i="15"/>
  <c r="D2154" i="15"/>
  <c r="D2155" i="15"/>
  <c r="D2156" i="15"/>
  <c r="D2157" i="15"/>
  <c r="D2158" i="15"/>
  <c r="D2159" i="15"/>
  <c r="D2160" i="15"/>
  <c r="D2161" i="15"/>
  <c r="D2162" i="15"/>
  <c r="D2163" i="15"/>
  <c r="D2164" i="15"/>
  <c r="D2165" i="15"/>
  <c r="D2166" i="15"/>
  <c r="D2167" i="15"/>
  <c r="D2168" i="15"/>
  <c r="D2169" i="15"/>
  <c r="D2170" i="15"/>
  <c r="D2171" i="15"/>
  <c r="D2172" i="15"/>
  <c r="D2173" i="15"/>
  <c r="D2174" i="15"/>
  <c r="D2175" i="15"/>
  <c r="D2176" i="15"/>
  <c r="D2177" i="15"/>
  <c r="D2178" i="15"/>
  <c r="D2179" i="15"/>
  <c r="D2180" i="15"/>
  <c r="D2181" i="15"/>
  <c r="D2182" i="15"/>
  <c r="D2183" i="15"/>
  <c r="D2184" i="15"/>
  <c r="D2185" i="15"/>
  <c r="D2186" i="15"/>
  <c r="D2187" i="15"/>
  <c r="D2188" i="15"/>
  <c r="D2189" i="15"/>
  <c r="D2190" i="15"/>
  <c r="D2191" i="15"/>
  <c r="D2192" i="15"/>
  <c r="D2193" i="15"/>
  <c r="D2194" i="15"/>
  <c r="D2195" i="15"/>
  <c r="D2196" i="15"/>
  <c r="D2197" i="15"/>
  <c r="D2198" i="15"/>
  <c r="D2199" i="15"/>
  <c r="D2200" i="15"/>
  <c r="D2201" i="15"/>
  <c r="D2202" i="15"/>
  <c r="D2203" i="15"/>
  <c r="D2204" i="15"/>
  <c r="D2205" i="15"/>
  <c r="D2206" i="15"/>
  <c r="D2207" i="15"/>
  <c r="D2208" i="15"/>
  <c r="D2209" i="15"/>
  <c r="D2210" i="15"/>
  <c r="D2211" i="15"/>
  <c r="D2212" i="15"/>
  <c r="D2213" i="15"/>
  <c r="D2214" i="15"/>
  <c r="D2215" i="15"/>
  <c r="D2216" i="15"/>
  <c r="D2217" i="15"/>
  <c r="D2218" i="15"/>
  <c r="D2219" i="15"/>
  <c r="D2220" i="15"/>
  <c r="D2221" i="15"/>
  <c r="D2222" i="15"/>
  <c r="D2223" i="15"/>
  <c r="D2224" i="15"/>
  <c r="D2225" i="15"/>
  <c r="D2226" i="15"/>
  <c r="D2227" i="15"/>
  <c r="D2228" i="15"/>
  <c r="D2229" i="15"/>
  <c r="D2230" i="15"/>
  <c r="D2231" i="15"/>
  <c r="D2232" i="15"/>
  <c r="D2233" i="15"/>
  <c r="D2234" i="15"/>
  <c r="D2235" i="15"/>
  <c r="D2236" i="15"/>
  <c r="D2237" i="15"/>
  <c r="D2238" i="15"/>
  <c r="D2239" i="15"/>
  <c r="D2240" i="15"/>
  <c r="D2241" i="15"/>
  <c r="D2242" i="15"/>
  <c r="D2243" i="15"/>
  <c r="D2244" i="15"/>
  <c r="D2245" i="15"/>
  <c r="D2246" i="15"/>
  <c r="D2247" i="15"/>
  <c r="D2248" i="15"/>
  <c r="D2249" i="15"/>
  <c r="D2250" i="15"/>
  <c r="D2251" i="15"/>
  <c r="D2252" i="15"/>
  <c r="D2253" i="15"/>
  <c r="D2254" i="15"/>
  <c r="D2255" i="15"/>
  <c r="D2256" i="15"/>
  <c r="D2257" i="15"/>
  <c r="D2258" i="15"/>
  <c r="D2259" i="15"/>
  <c r="D2260" i="15"/>
  <c r="D2261" i="15"/>
  <c r="D2262" i="15"/>
  <c r="D2263" i="15"/>
  <c r="D2264" i="15"/>
  <c r="D2265" i="15"/>
  <c r="D2266" i="15"/>
  <c r="D2267" i="15"/>
  <c r="D2268" i="15"/>
  <c r="D2269" i="15"/>
  <c r="D2270" i="15"/>
  <c r="D2271" i="15"/>
  <c r="D2272" i="15"/>
  <c r="D2273" i="15"/>
  <c r="D2274" i="15"/>
  <c r="D2275" i="15"/>
  <c r="D2276" i="15"/>
  <c r="D2277" i="15"/>
  <c r="D2278" i="15"/>
  <c r="D2279" i="15"/>
  <c r="D2280" i="15"/>
  <c r="D2281" i="15"/>
  <c r="D2282" i="15"/>
  <c r="D2283" i="15"/>
  <c r="D2284" i="15"/>
  <c r="D2285" i="15"/>
  <c r="D2286" i="15"/>
  <c r="D2287" i="15"/>
  <c r="D2288" i="15"/>
  <c r="D2289" i="15"/>
  <c r="D2290" i="15"/>
  <c r="D2291" i="15"/>
  <c r="D2292" i="15"/>
  <c r="D2293" i="15"/>
  <c r="D2294" i="15"/>
  <c r="D2295" i="15"/>
  <c r="D2296" i="15"/>
  <c r="D2297" i="15"/>
  <c r="D2298" i="15"/>
  <c r="D2299" i="15"/>
  <c r="D2300" i="15"/>
  <c r="D2301" i="15"/>
  <c r="D2302" i="15"/>
  <c r="D2303" i="15"/>
  <c r="D2304" i="15"/>
  <c r="D2305" i="15"/>
  <c r="D2306" i="15"/>
  <c r="D2307" i="15"/>
  <c r="D2308" i="15"/>
  <c r="D2309" i="15"/>
  <c r="D2310" i="15"/>
  <c r="D2311" i="15"/>
  <c r="D2312" i="15"/>
  <c r="D2313" i="15"/>
  <c r="D2314" i="15"/>
  <c r="D2315" i="15"/>
  <c r="D2316" i="15"/>
  <c r="D2317" i="15"/>
  <c r="D2318" i="15"/>
  <c r="D2319" i="15"/>
  <c r="D2320" i="15"/>
  <c r="D2321" i="15"/>
  <c r="D2322" i="15"/>
  <c r="D2323" i="15"/>
  <c r="D2324" i="15"/>
  <c r="D2325" i="15"/>
  <c r="D2326" i="15"/>
  <c r="D2327" i="15"/>
  <c r="D2328" i="15"/>
  <c r="D2329" i="15"/>
  <c r="D2330" i="15"/>
  <c r="D2331" i="15"/>
  <c r="D2332" i="15"/>
  <c r="D2333" i="15"/>
  <c r="D2334" i="15"/>
  <c r="D2335" i="15"/>
  <c r="D2336" i="15"/>
  <c r="D2337" i="15"/>
  <c r="D2338" i="15"/>
  <c r="D2339" i="15"/>
  <c r="D2340" i="15"/>
  <c r="D2341" i="15"/>
  <c r="D2342" i="15"/>
  <c r="D2343" i="15"/>
  <c r="D2344" i="15"/>
  <c r="D2345" i="15"/>
  <c r="D2346" i="15"/>
  <c r="D2347" i="15"/>
  <c r="D2348" i="15"/>
  <c r="D2349" i="15"/>
  <c r="D2350" i="15"/>
  <c r="D2351" i="15"/>
  <c r="D2352" i="15"/>
  <c r="D2353" i="15"/>
  <c r="D2354" i="15"/>
  <c r="D2355" i="15"/>
  <c r="D2356" i="15"/>
  <c r="D2357" i="15"/>
  <c r="D2358" i="15"/>
  <c r="D2359" i="15"/>
  <c r="D2360" i="15"/>
  <c r="D2361" i="15"/>
  <c r="D2362" i="15"/>
  <c r="D2363" i="15"/>
  <c r="D2364" i="15"/>
  <c r="D2365" i="15"/>
  <c r="D2366" i="15"/>
  <c r="D2367" i="15"/>
  <c r="D2368" i="15"/>
  <c r="D2369" i="15"/>
  <c r="D2370" i="15"/>
  <c r="D2371" i="15"/>
  <c r="D2372" i="15"/>
  <c r="D2373" i="15"/>
  <c r="D2374" i="15"/>
  <c r="D2375" i="15"/>
  <c r="D2376" i="15"/>
  <c r="D2377" i="15"/>
  <c r="D2378" i="15"/>
  <c r="D2379" i="15"/>
  <c r="D2380" i="15"/>
  <c r="D2381" i="15"/>
  <c r="D2382" i="15"/>
  <c r="D2383" i="15"/>
  <c r="D2384" i="15"/>
  <c r="D2385" i="15"/>
  <c r="D2386" i="15"/>
  <c r="D2387" i="15"/>
  <c r="D2388" i="15"/>
  <c r="D2389" i="15"/>
  <c r="D2390" i="15"/>
  <c r="D2391" i="15"/>
  <c r="D2392" i="15"/>
  <c r="D2393" i="15"/>
  <c r="D2394" i="15"/>
  <c r="D2395" i="15"/>
  <c r="D2396" i="15"/>
  <c r="D2397" i="15"/>
  <c r="D2398" i="15"/>
  <c r="D2399" i="15"/>
  <c r="D2400" i="15"/>
  <c r="D2401" i="15"/>
  <c r="D2402" i="15"/>
  <c r="D2403" i="15"/>
  <c r="D2404" i="15"/>
  <c r="D2405" i="15"/>
  <c r="D2406" i="15"/>
  <c r="D2407" i="15"/>
  <c r="D2408" i="15"/>
  <c r="D2409" i="15"/>
  <c r="D2410" i="15"/>
  <c r="D2411" i="15"/>
  <c r="D2412" i="15"/>
  <c r="D2413" i="15"/>
  <c r="D2414" i="15"/>
  <c r="D2415" i="15"/>
  <c r="D2416" i="15"/>
  <c r="D2417" i="15"/>
  <c r="D2418" i="15"/>
  <c r="D2419" i="15"/>
  <c r="D2420" i="15"/>
  <c r="D2421" i="15"/>
  <c r="D2422" i="15"/>
  <c r="D2423" i="15"/>
  <c r="D2424" i="15"/>
  <c r="D2425" i="15"/>
  <c r="D2426" i="15"/>
  <c r="D2427" i="15"/>
  <c r="D2428" i="15"/>
  <c r="D2429" i="15"/>
  <c r="D2430" i="15"/>
  <c r="D2431" i="15"/>
  <c r="D2432" i="15"/>
  <c r="D2433" i="15"/>
  <c r="D2434" i="15"/>
  <c r="D2435" i="15"/>
  <c r="D2436" i="15"/>
  <c r="D2437" i="15"/>
  <c r="D2438" i="15"/>
  <c r="D2439" i="15"/>
  <c r="D2440" i="15"/>
  <c r="D2441" i="15"/>
  <c r="D2442" i="15"/>
  <c r="D2443" i="15"/>
  <c r="D2444" i="15"/>
  <c r="D2445" i="15"/>
  <c r="D2446" i="15"/>
  <c r="D2447" i="15"/>
  <c r="D2448" i="15"/>
  <c r="D2449" i="15"/>
  <c r="D2450" i="15"/>
  <c r="D2451" i="15"/>
  <c r="D2452" i="15"/>
  <c r="D2453" i="15"/>
  <c r="D2454" i="15"/>
  <c r="D2455" i="15"/>
  <c r="D2456" i="15"/>
  <c r="D2457" i="15"/>
  <c r="D2458" i="15"/>
  <c r="D2459" i="15"/>
  <c r="D2460" i="15"/>
  <c r="D2461" i="15"/>
  <c r="D2462" i="15"/>
  <c r="D2463" i="15"/>
  <c r="D2464" i="15"/>
  <c r="D2465" i="15"/>
  <c r="D2466" i="15"/>
  <c r="D2467" i="15"/>
  <c r="D2468" i="15"/>
  <c r="D2469" i="15"/>
  <c r="D2470" i="15"/>
  <c r="D2471" i="15"/>
  <c r="D2472" i="15"/>
  <c r="D2473" i="15"/>
  <c r="D2474" i="15"/>
  <c r="D2475" i="15"/>
  <c r="D2476" i="15"/>
  <c r="D2477" i="15"/>
  <c r="D2478" i="15"/>
  <c r="D2479" i="15"/>
  <c r="D2480" i="15"/>
  <c r="D2481" i="15"/>
  <c r="D2482" i="15"/>
  <c r="D2483" i="15"/>
  <c r="D2484" i="15"/>
  <c r="D2485" i="15"/>
  <c r="D10" i="15"/>
  <c r="D9" i="15"/>
  <c r="D15" i="12"/>
  <c r="D17" i="12" s="1"/>
  <c r="C36" i="12"/>
  <c r="C51" i="12"/>
  <c r="G77" i="10"/>
  <c r="D55" i="10"/>
  <c r="C226" i="13" l="1"/>
  <c r="C184" i="13"/>
  <c r="E184" i="13"/>
  <c r="F184" i="13"/>
  <c r="G184" i="13"/>
  <c r="H17" i="13"/>
  <c r="H28" i="13"/>
  <c r="I28" i="13"/>
  <c r="J28" i="13"/>
  <c r="K28" i="13"/>
  <c r="L28" i="13"/>
  <c r="M28" i="13"/>
  <c r="N28" i="13"/>
  <c r="O28" i="13"/>
  <c r="P28" i="13" s="1"/>
  <c r="Q28" i="13" s="1"/>
  <c r="H80" i="13"/>
  <c r="I80" i="13" s="1"/>
  <c r="J80" i="13" s="1"/>
  <c r="K80" i="13" s="1"/>
  <c r="L80" i="13" s="1"/>
  <c r="M80" i="13" s="1"/>
  <c r="N80" i="13" s="1"/>
  <c r="O80" i="13" s="1"/>
  <c r="P80" i="13" s="1"/>
  <c r="Q80" i="13" s="1"/>
  <c r="I137" i="13"/>
  <c r="H156" i="13"/>
  <c r="I157" i="13"/>
  <c r="J157" i="13" s="1"/>
  <c r="K157" i="13" s="1"/>
  <c r="L157" i="13" s="1"/>
  <c r="M157" i="13" s="1"/>
  <c r="N157" i="13" s="1"/>
  <c r="O157" i="13" s="1"/>
  <c r="P157" i="13" s="1"/>
  <c r="Q157" i="13" s="1"/>
  <c r="H220" i="13"/>
  <c r="H75" i="13" l="1"/>
  <c r="H42" i="13"/>
  <c r="H51" i="13" s="1"/>
  <c r="H18" i="13" l="1"/>
  <c r="H20" i="13"/>
  <c r="H32" i="13"/>
  <c r="H27" i="13"/>
  <c r="H31" i="13"/>
  <c r="I31" i="13" s="1"/>
  <c r="J31" i="13" s="1"/>
  <c r="K31" i="13" s="1"/>
  <c r="L31" i="13" s="1"/>
  <c r="M31" i="13" s="1"/>
  <c r="N31" i="13" s="1"/>
  <c r="O31" i="13" s="1"/>
  <c r="P31" i="13" s="1"/>
  <c r="Q31" i="13" s="1"/>
  <c r="H30" i="13"/>
  <c r="I30" i="13" s="1"/>
  <c r="J30" i="13" s="1"/>
  <c r="K30" i="13" s="1"/>
  <c r="L30" i="13" s="1"/>
  <c r="M30" i="13" s="1"/>
  <c r="N30" i="13" s="1"/>
  <c r="O30" i="13" s="1"/>
  <c r="P30" i="13" s="1"/>
  <c r="Q30" i="13" s="1"/>
  <c r="H26" i="13"/>
  <c r="I26" i="13" s="1"/>
  <c r="J26" i="13" s="1"/>
  <c r="K26" i="13" s="1"/>
  <c r="L26" i="13" s="1"/>
  <c r="M26" i="13" s="1"/>
  <c r="N26" i="13" s="1"/>
  <c r="O26" i="13" s="1"/>
  <c r="P26" i="13" s="1"/>
  <c r="Q26" i="13" s="1"/>
  <c r="H24" i="13"/>
  <c r="I24" i="13" s="1"/>
  <c r="J24" i="13" s="1"/>
  <c r="K24" i="13" s="1"/>
  <c r="L24" i="13" s="1"/>
  <c r="M24" i="13" s="1"/>
  <c r="N24" i="13" s="1"/>
  <c r="O24" i="13" s="1"/>
  <c r="P24" i="13" s="1"/>
  <c r="Q24" i="13" s="1"/>
  <c r="H16" i="13"/>
  <c r="I16" i="13" s="1"/>
  <c r="J16" i="13" s="1"/>
  <c r="K16" i="13" s="1"/>
  <c r="L16" i="13" s="1"/>
  <c r="M16" i="13" s="1"/>
  <c r="N16" i="13" s="1"/>
  <c r="O16" i="13" s="1"/>
  <c r="P16" i="13" s="1"/>
  <c r="Q16" i="13" s="1"/>
  <c r="C253" i="13"/>
  <c r="C261" i="13" s="1"/>
  <c r="D247" i="13" l="1"/>
  <c r="D253" i="13" s="1"/>
  <c r="D261" i="13" s="1"/>
  <c r="C236" i="13"/>
  <c r="C116" i="13"/>
  <c r="D109" i="13" s="1"/>
  <c r="D116" i="13" s="1"/>
  <c r="E109" i="13" s="1"/>
  <c r="E116" i="13" s="1"/>
  <c r="F109" i="13" s="1"/>
  <c r="F116" i="13" s="1"/>
  <c r="G109" i="13" s="1"/>
  <c r="G116" i="13" s="1"/>
  <c r="H109" i="13" s="1"/>
  <c r="H170" i="13"/>
  <c r="C178" i="13"/>
  <c r="D175" i="13" s="1"/>
  <c r="D178" i="13" s="1"/>
  <c r="E175" i="13" s="1"/>
  <c r="E178" i="13" s="1"/>
  <c r="F175" i="13" s="1"/>
  <c r="F178" i="13" s="1"/>
  <c r="G175" i="13" s="1"/>
  <c r="G178" i="13" s="1"/>
  <c r="C75" i="13"/>
  <c r="D67" i="13" s="1"/>
  <c r="D75" i="13" s="1"/>
  <c r="E67" i="13" s="1"/>
  <c r="E75" i="13" s="1"/>
  <c r="F67" i="13" s="1"/>
  <c r="F75" i="13" s="1"/>
  <c r="G67" i="13" s="1"/>
  <c r="G75" i="13" s="1"/>
  <c r="C42" i="13"/>
  <c r="H14" i="13"/>
  <c r="I14" i="13"/>
  <c r="J14" i="13"/>
  <c r="K14" i="13"/>
  <c r="L14" i="13"/>
  <c r="M14" i="13"/>
  <c r="N14" i="13"/>
  <c r="O14" i="13"/>
  <c r="P14" i="13"/>
  <c r="Q14" i="13"/>
  <c r="I17" i="13"/>
  <c r="J17" i="13" s="1"/>
  <c r="K17" i="13" s="1"/>
  <c r="L17" i="13" s="1"/>
  <c r="M17" i="13" s="1"/>
  <c r="N17" i="13" s="1"/>
  <c r="O17" i="13" s="1"/>
  <c r="P17" i="13" s="1"/>
  <c r="Q17" i="13" s="1"/>
  <c r="H15" i="13"/>
  <c r="I15" i="13" s="1"/>
  <c r="J15" i="13" s="1"/>
  <c r="K15" i="13" s="1"/>
  <c r="L15" i="13" s="1"/>
  <c r="M15" i="13" s="1"/>
  <c r="N15" i="13" s="1"/>
  <c r="O15" i="13" s="1"/>
  <c r="P15" i="13" s="1"/>
  <c r="Q15" i="13" s="1"/>
  <c r="H13" i="13"/>
  <c r="I13" i="13" s="1"/>
  <c r="J13" i="13" s="1"/>
  <c r="K13" i="13" s="1"/>
  <c r="L13" i="13" s="1"/>
  <c r="M13" i="13" s="1"/>
  <c r="N13" i="13" s="1"/>
  <c r="O13" i="13" s="1"/>
  <c r="P13" i="13" s="1"/>
  <c r="Q13" i="13" s="1"/>
  <c r="C18" i="13"/>
  <c r="D12" i="13" s="1"/>
  <c r="D18" i="13" s="1"/>
  <c r="E12" i="13" s="1"/>
  <c r="E18" i="13" s="1"/>
  <c r="F12" i="13" s="1"/>
  <c r="F18" i="13" s="1"/>
  <c r="G12" i="13" s="1"/>
  <c r="G18" i="13" s="1"/>
  <c r="G20" i="13" s="1"/>
  <c r="F259" i="11"/>
  <c r="D259" i="11"/>
  <c r="D261" i="11" s="1"/>
  <c r="E46" i="16"/>
  <c r="D39" i="16"/>
  <c r="E39" i="16"/>
  <c r="F39" i="16"/>
  <c r="G39" i="16"/>
  <c r="E31" i="10"/>
  <c r="F31" i="10"/>
  <c r="G31" i="10"/>
  <c r="D31" i="10"/>
  <c r="D25" i="9"/>
  <c r="E25" i="9"/>
  <c r="E27" i="9" s="1"/>
  <c r="F25" i="9"/>
  <c r="G25" i="9"/>
  <c r="H25" i="9"/>
  <c r="C34" i="18"/>
  <c r="D34" i="18"/>
  <c r="E34" i="18"/>
  <c r="F34" i="18"/>
  <c r="G34" i="18"/>
  <c r="I35" i="9"/>
  <c r="J35" i="9"/>
  <c r="K35" i="9"/>
  <c r="L35" i="9"/>
  <c r="M35" i="9"/>
  <c r="N35" i="9"/>
  <c r="O35" i="9"/>
  <c r="P35" i="9"/>
  <c r="Q35" i="9" s="1"/>
  <c r="R35" i="9" s="1"/>
  <c r="H35" i="9"/>
  <c r="G35" i="9"/>
  <c r="F35" i="9"/>
  <c r="E35" i="9"/>
  <c r="D35" i="9"/>
  <c r="H32" i="9"/>
  <c r="G32" i="9"/>
  <c r="F32" i="9"/>
  <c r="E32" i="9"/>
  <c r="D32" i="9"/>
  <c r="E20" i="9"/>
  <c r="F20" i="9"/>
  <c r="G20" i="9"/>
  <c r="H20" i="9"/>
  <c r="E21" i="9"/>
  <c r="F21" i="9"/>
  <c r="G21" i="9"/>
  <c r="H21" i="9"/>
  <c r="E22" i="9"/>
  <c r="F22" i="9"/>
  <c r="G22" i="9"/>
  <c r="H22" i="9"/>
  <c r="E23" i="9"/>
  <c r="F23" i="9"/>
  <c r="G23" i="9"/>
  <c r="H23" i="9"/>
  <c r="E24" i="9"/>
  <c r="F24" i="9"/>
  <c r="G24" i="9"/>
  <c r="H24" i="9"/>
  <c r="D21" i="9"/>
  <c r="D22" i="9"/>
  <c r="D23" i="9"/>
  <c r="D24" i="9"/>
  <c r="D20" i="9"/>
  <c r="E13" i="9"/>
  <c r="F13" i="9"/>
  <c r="G13" i="9"/>
  <c r="H13" i="9"/>
  <c r="E14" i="9"/>
  <c r="F14" i="9"/>
  <c r="G14" i="9"/>
  <c r="H14" i="9"/>
  <c r="E15" i="9"/>
  <c r="F15" i="9"/>
  <c r="G15" i="9"/>
  <c r="H15" i="9"/>
  <c r="E16" i="9"/>
  <c r="F16" i="9"/>
  <c r="G16" i="9"/>
  <c r="H16" i="9"/>
  <c r="E17" i="9"/>
  <c r="F17" i="9"/>
  <c r="G17" i="9"/>
  <c r="H17" i="9"/>
  <c r="E18" i="9"/>
  <c r="F18" i="9"/>
  <c r="G18" i="9"/>
  <c r="H18" i="9"/>
  <c r="D18" i="9"/>
  <c r="D17" i="9"/>
  <c r="D16" i="9"/>
  <c r="D15" i="9"/>
  <c r="D14" i="9"/>
  <c r="D13" i="9"/>
  <c r="G55" i="8"/>
  <c r="C55" i="8"/>
  <c r="C49" i="8"/>
  <c r="D49" i="8"/>
  <c r="E49" i="8"/>
  <c r="F49" i="8"/>
  <c r="G49" i="8"/>
  <c r="H25" i="5"/>
  <c r="D25" i="5"/>
  <c r="E25" i="5"/>
  <c r="F25" i="5"/>
  <c r="G25" i="5"/>
  <c r="C25" i="5"/>
  <c r="C24" i="5"/>
  <c r="D24" i="5"/>
  <c r="E24" i="5"/>
  <c r="F24" i="5"/>
  <c r="G24" i="5"/>
  <c r="E32" i="14"/>
  <c r="F32" i="14"/>
  <c r="F33" i="14" s="1"/>
  <c r="G32" i="14"/>
  <c r="G33" i="14" s="1"/>
  <c r="H32" i="14"/>
  <c r="D32" i="14"/>
  <c r="D33" i="14" s="1"/>
  <c r="H33" i="14"/>
  <c r="I33" i="14" s="1"/>
  <c r="E33" i="14"/>
  <c r="E19" i="14"/>
  <c r="E20" i="14" s="1"/>
  <c r="F19" i="14"/>
  <c r="F20" i="14" s="1"/>
  <c r="G19" i="14"/>
  <c r="G20" i="14" s="1"/>
  <c r="H19" i="14"/>
  <c r="H20" i="14" s="1"/>
  <c r="I20" i="14" s="1"/>
  <c r="D19" i="14"/>
  <c r="D20" i="14" s="1"/>
  <c r="C244" i="13" l="1"/>
  <c r="C271" i="13" s="1"/>
  <c r="D230" i="13"/>
  <c r="D236" i="13" s="1"/>
  <c r="E247" i="13"/>
  <c r="E253" i="13" s="1"/>
  <c r="E261" i="13"/>
  <c r="F247" i="13"/>
  <c r="F253" i="13" s="1"/>
  <c r="D244" i="13"/>
  <c r="E230" i="13"/>
  <c r="E236" i="13" s="1"/>
  <c r="G182" i="13"/>
  <c r="H175" i="13"/>
  <c r="H178" i="13" s="1"/>
  <c r="H182" i="13" s="1"/>
  <c r="D182" i="13"/>
  <c r="C182" i="13"/>
  <c r="F182" i="13"/>
  <c r="E182" i="13"/>
  <c r="G85" i="13"/>
  <c r="C85" i="13"/>
  <c r="E85" i="13"/>
  <c r="F85" i="13"/>
  <c r="D85" i="13"/>
  <c r="C51" i="13"/>
  <c r="D35" i="13"/>
  <c r="D42" i="13" s="1"/>
  <c r="D51" i="13" s="1"/>
  <c r="C20" i="13"/>
  <c r="H12" i="13"/>
  <c r="F20" i="13"/>
  <c r="E20" i="13"/>
  <c r="D20" i="13"/>
  <c r="G27" i="9"/>
  <c r="F27" i="9"/>
  <c r="D27" i="9"/>
  <c r="H27" i="9"/>
  <c r="I25" i="5"/>
  <c r="J33" i="14"/>
  <c r="J20" i="14"/>
  <c r="I175" i="13" l="1"/>
  <c r="I178" i="13" s="1"/>
  <c r="I182" i="13" s="1"/>
  <c r="F261" i="13"/>
  <c r="G247" i="13"/>
  <c r="G253" i="13" s="1"/>
  <c r="G261" i="13" s="1"/>
  <c r="E244" i="13"/>
  <c r="F230" i="13"/>
  <c r="F236" i="13" s="1"/>
  <c r="I12" i="13"/>
  <c r="I18" i="13" s="1"/>
  <c r="I20" i="13" s="1"/>
  <c r="J25" i="5"/>
  <c r="K33" i="14"/>
  <c r="K20" i="14"/>
  <c r="J175" i="13" l="1"/>
  <c r="J178" i="13" s="1"/>
  <c r="K175" i="13" s="1"/>
  <c r="K178" i="13" s="1"/>
  <c r="F244" i="13"/>
  <c r="G230" i="13"/>
  <c r="G236" i="13" s="1"/>
  <c r="G244" i="13" s="1"/>
  <c r="J12" i="13"/>
  <c r="J18" i="13" s="1"/>
  <c r="J20" i="13" s="1"/>
  <c r="K25" i="5"/>
  <c r="L33" i="14"/>
  <c r="L20" i="14"/>
  <c r="J182" i="13" l="1"/>
  <c r="K182" i="13"/>
  <c r="L175" i="13"/>
  <c r="L178" i="13" s="1"/>
  <c r="K12" i="13"/>
  <c r="K18" i="13" s="1"/>
  <c r="K20" i="13" s="1"/>
  <c r="L25" i="5"/>
  <c r="M33" i="14"/>
  <c r="M20" i="14"/>
  <c r="M175" i="13" l="1"/>
  <c r="M178" i="13" s="1"/>
  <c r="L182" i="13"/>
  <c r="L12" i="13"/>
  <c r="L18" i="13" s="1"/>
  <c r="L20" i="13" s="1"/>
  <c r="M25" i="5"/>
  <c r="N33" i="14"/>
  <c r="N20" i="14"/>
  <c r="M182" i="13" l="1"/>
  <c r="N175" i="13"/>
  <c r="N178" i="13" s="1"/>
  <c r="M12" i="13"/>
  <c r="M18" i="13" s="1"/>
  <c r="M20" i="13" s="1"/>
  <c r="N25" i="5"/>
  <c r="O33" i="14"/>
  <c r="O20" i="14"/>
  <c r="N182" i="13" l="1"/>
  <c r="O175" i="13"/>
  <c r="O178" i="13" s="1"/>
  <c r="N12" i="13"/>
  <c r="N18" i="13" s="1"/>
  <c r="N20" i="13" s="1"/>
  <c r="O25" i="5"/>
  <c r="P33" i="14"/>
  <c r="P20" i="14"/>
  <c r="O182" i="13" l="1"/>
  <c r="P175" i="13"/>
  <c r="P178" i="13" s="1"/>
  <c r="O12" i="13"/>
  <c r="O18" i="13" s="1"/>
  <c r="O20" i="13" s="1"/>
  <c r="P25" i="5"/>
  <c r="Q33" i="14"/>
  <c r="Q20" i="14"/>
  <c r="Q175" i="13" l="1"/>
  <c r="Q178" i="13" s="1"/>
  <c r="Q182" i="13" s="1"/>
  <c r="P182" i="13"/>
  <c r="P12" i="13"/>
  <c r="P18" i="13" s="1"/>
  <c r="P20" i="13" s="1"/>
  <c r="Q25" i="5"/>
  <c r="R33" i="14"/>
  <c r="R20" i="14"/>
  <c r="Q12" i="13" l="1"/>
  <c r="Q18" i="13" s="1"/>
  <c r="Q20" i="13" s="1"/>
  <c r="D55" i="14"/>
  <c r="E26" i="14"/>
  <c r="F26" i="14"/>
  <c r="G26" i="14"/>
  <c r="H26" i="14"/>
  <c r="D26" i="14"/>
  <c r="E24" i="14"/>
  <c r="F24" i="14"/>
  <c r="G24" i="14"/>
  <c r="H24" i="14"/>
  <c r="I24" i="14" s="1"/>
  <c r="D24" i="14"/>
  <c r="D23" i="14"/>
  <c r="E23" i="14"/>
  <c r="F23" i="14"/>
  <c r="G23" i="14"/>
  <c r="H23" i="14"/>
  <c r="J24" i="14" l="1"/>
  <c r="C195" i="13"/>
  <c r="D195" i="13"/>
  <c r="E195" i="13"/>
  <c r="F195" i="13"/>
  <c r="G195" i="13"/>
  <c r="K24" i="14" l="1"/>
  <c r="H188" i="13"/>
  <c r="H67" i="13"/>
  <c r="C224" i="13"/>
  <c r="D220" i="13" s="1"/>
  <c r="D224" i="13" s="1"/>
  <c r="E220" i="13" s="1"/>
  <c r="E224" i="13" s="1"/>
  <c r="F220" i="13" s="1"/>
  <c r="F224" i="13" s="1"/>
  <c r="G220" i="13" s="1"/>
  <c r="G224" i="13" s="1"/>
  <c r="H224" i="13" s="1"/>
  <c r="C210" i="13"/>
  <c r="D206" i="13" s="1"/>
  <c r="D210" i="13" s="1"/>
  <c r="E206" i="13" s="1"/>
  <c r="E210" i="13" s="1"/>
  <c r="F206" i="13" s="1"/>
  <c r="F210" i="13" s="1"/>
  <c r="G206" i="13" s="1"/>
  <c r="G210" i="13" s="1"/>
  <c r="H206" i="13" s="1"/>
  <c r="C27" i="13"/>
  <c r="I220" i="13" l="1"/>
  <c r="I224" i="13" s="1"/>
  <c r="I67" i="13"/>
  <c r="I75" i="13" s="1"/>
  <c r="D23" i="13"/>
  <c r="D27" i="13" s="1"/>
  <c r="C32" i="13"/>
  <c r="H195" i="13"/>
  <c r="I188" i="13" s="1"/>
  <c r="I195" i="13" s="1"/>
  <c r="J188" i="13" s="1"/>
  <c r="J195" i="13" s="1"/>
  <c r="K188" i="13" s="1"/>
  <c r="K195" i="13" s="1"/>
  <c r="L188" i="13" s="1"/>
  <c r="L195" i="13" s="1"/>
  <c r="M188" i="13" s="1"/>
  <c r="M195" i="13" s="1"/>
  <c r="N188" i="13" s="1"/>
  <c r="N195" i="13" s="1"/>
  <c r="O188" i="13" s="1"/>
  <c r="O195" i="13" s="1"/>
  <c r="P188" i="13" s="1"/>
  <c r="P195" i="13" s="1"/>
  <c r="Q188" i="13" s="1"/>
  <c r="Q195" i="13" s="1"/>
  <c r="L24" i="14"/>
  <c r="C217" i="13"/>
  <c r="D213" i="13" s="1"/>
  <c r="D217" i="13" s="1"/>
  <c r="E213" i="13" s="1"/>
  <c r="E217" i="13" s="1"/>
  <c r="F213" i="13" s="1"/>
  <c r="F217" i="13" s="1"/>
  <c r="G213" i="13" s="1"/>
  <c r="G217" i="13" s="1"/>
  <c r="H213" i="13" s="1"/>
  <c r="C203" i="13"/>
  <c r="D198" i="13" s="1"/>
  <c r="D203" i="13" s="1"/>
  <c r="E198" i="13" s="1"/>
  <c r="E203" i="13" s="1"/>
  <c r="F198" i="13" s="1"/>
  <c r="F203" i="13" s="1"/>
  <c r="G198" i="13" s="1"/>
  <c r="G203" i="13" s="1"/>
  <c r="H198" i="13" s="1"/>
  <c r="D31" i="5"/>
  <c r="E31" i="5"/>
  <c r="F31" i="5"/>
  <c r="G31" i="5"/>
  <c r="H41" i="5" s="1"/>
  <c r="I41" i="5" s="1"/>
  <c r="J41" i="5" s="1"/>
  <c r="K41" i="5" s="1"/>
  <c r="L41" i="5" s="1"/>
  <c r="M41" i="5" s="1"/>
  <c r="N41" i="5" s="1"/>
  <c r="O41" i="5" s="1"/>
  <c r="P41" i="5" s="1"/>
  <c r="Q41" i="5" s="1"/>
  <c r="D30" i="5"/>
  <c r="E30" i="5"/>
  <c r="F30" i="5"/>
  <c r="G30" i="5"/>
  <c r="J220" i="13" l="1"/>
  <c r="J224" i="13" s="1"/>
  <c r="H85" i="13"/>
  <c r="E35" i="13"/>
  <c r="E42" i="13" s="1"/>
  <c r="E51" i="13" s="1"/>
  <c r="E23" i="13"/>
  <c r="E27" i="13" s="1"/>
  <c r="D32" i="13"/>
  <c r="I85" i="13"/>
  <c r="M24" i="14"/>
  <c r="J67" i="13"/>
  <c r="J75" i="13" s="1"/>
  <c r="J85" i="13" s="1"/>
  <c r="H39" i="5"/>
  <c r="I39" i="5" s="1"/>
  <c r="J39" i="5" s="1"/>
  <c r="K39" i="5" s="1"/>
  <c r="L39" i="5" s="1"/>
  <c r="M39" i="5" s="1"/>
  <c r="N39" i="5" s="1"/>
  <c r="O39" i="5" s="1"/>
  <c r="P39" i="5" s="1"/>
  <c r="Q39" i="5" s="1"/>
  <c r="I40" i="5"/>
  <c r="J40" i="5" s="1"/>
  <c r="K40" i="5" s="1"/>
  <c r="L40" i="5" s="1"/>
  <c r="M40" i="5" s="1"/>
  <c r="N40" i="5" s="1"/>
  <c r="O40" i="5" s="1"/>
  <c r="P40" i="5" s="1"/>
  <c r="Q40" i="5" s="1"/>
  <c r="K220" i="13" l="1"/>
  <c r="K224" i="13" s="1"/>
  <c r="F35" i="13"/>
  <c r="F42" i="13" s="1"/>
  <c r="F51" i="13" s="1"/>
  <c r="F23" i="13"/>
  <c r="F27" i="13" s="1"/>
  <c r="E32" i="13"/>
  <c r="N24" i="14"/>
  <c r="K67" i="13"/>
  <c r="K75" i="13" s="1"/>
  <c r="L67" i="13" s="1"/>
  <c r="L75" i="13" s="1"/>
  <c r="M67" i="13" s="1"/>
  <c r="M75" i="13" s="1"/>
  <c r="M85" i="13" s="1"/>
  <c r="G21" i="6"/>
  <c r="F21" i="6"/>
  <c r="E21" i="6"/>
  <c r="D21" i="6"/>
  <c r="C21" i="6"/>
  <c r="D88" i="3"/>
  <c r="D85" i="3"/>
  <c r="L220" i="13" l="1"/>
  <c r="L224" i="13" s="1"/>
  <c r="G35" i="13"/>
  <c r="G42" i="13" s="1"/>
  <c r="G51" i="13" s="1"/>
  <c r="G23" i="13"/>
  <c r="G27" i="13" s="1"/>
  <c r="F32" i="13"/>
  <c r="L85" i="13"/>
  <c r="K85" i="13"/>
  <c r="O24" i="14"/>
  <c r="N67" i="13"/>
  <c r="N75" i="13" s="1"/>
  <c r="C29" i="5"/>
  <c r="D29" i="5"/>
  <c r="E29" i="5"/>
  <c r="F29" i="5"/>
  <c r="G29" i="5"/>
  <c r="M220" i="13" l="1"/>
  <c r="M224" i="13" s="1"/>
  <c r="H23" i="13"/>
  <c r="G32" i="13"/>
  <c r="F11" i="5"/>
  <c r="F13" i="5" s="1"/>
  <c r="F15" i="5"/>
  <c r="E11" i="5"/>
  <c r="E13" i="5" s="1"/>
  <c r="E15" i="5"/>
  <c r="D15" i="5"/>
  <c r="D11" i="5"/>
  <c r="D13" i="5" s="1"/>
  <c r="C11" i="5"/>
  <c r="C13" i="5" s="1"/>
  <c r="C15" i="5"/>
  <c r="G11" i="5"/>
  <c r="G13" i="5" s="1"/>
  <c r="H13" i="5" s="1"/>
  <c r="I13" i="5" s="1"/>
  <c r="J13" i="5" s="1"/>
  <c r="K13" i="5" s="1"/>
  <c r="L13" i="5" s="1"/>
  <c r="M13" i="5" s="1"/>
  <c r="N13" i="5" s="1"/>
  <c r="O13" i="5" s="1"/>
  <c r="P13" i="5" s="1"/>
  <c r="Q13" i="5" s="1"/>
  <c r="G15" i="5"/>
  <c r="P24" i="14"/>
  <c r="O67" i="13"/>
  <c r="O75" i="13" s="1"/>
  <c r="N85" i="13"/>
  <c r="E56" i="4"/>
  <c r="F56" i="4"/>
  <c r="G56" i="4"/>
  <c r="H56" i="4"/>
  <c r="E58" i="4"/>
  <c r="F58" i="4"/>
  <c r="G58" i="4"/>
  <c r="H58" i="4"/>
  <c r="E59" i="4"/>
  <c r="F59" i="4"/>
  <c r="G59" i="4"/>
  <c r="H59" i="4"/>
  <c r="E60" i="4"/>
  <c r="F60" i="4"/>
  <c r="G60" i="4"/>
  <c r="H60" i="4"/>
  <c r="E61" i="4"/>
  <c r="F61" i="4"/>
  <c r="G61" i="4"/>
  <c r="H61" i="4"/>
  <c r="E62" i="4"/>
  <c r="F62" i="4"/>
  <c r="G62" i="4"/>
  <c r="H62" i="4"/>
  <c r="E63" i="4"/>
  <c r="F63" i="4"/>
  <c r="G63" i="4"/>
  <c r="H63" i="4"/>
  <c r="E64" i="4"/>
  <c r="F64" i="4"/>
  <c r="G64" i="4"/>
  <c r="H64" i="4"/>
  <c r="E65" i="4"/>
  <c r="F65" i="4"/>
  <c r="G65" i="4"/>
  <c r="H65" i="4"/>
  <c r="D58" i="4"/>
  <c r="D59" i="4"/>
  <c r="D60" i="4"/>
  <c r="D61" i="4"/>
  <c r="D62" i="4"/>
  <c r="D63" i="4"/>
  <c r="D64" i="4"/>
  <c r="D65" i="4"/>
  <c r="D53" i="4"/>
  <c r="E53" i="4"/>
  <c r="F53" i="4"/>
  <c r="G53" i="4"/>
  <c r="H53" i="4"/>
  <c r="D41" i="4"/>
  <c r="D33" i="4"/>
  <c r="E33" i="4"/>
  <c r="F33" i="4"/>
  <c r="G33" i="4"/>
  <c r="H33" i="4"/>
  <c r="E32" i="4"/>
  <c r="D32" i="4"/>
  <c r="D31" i="4"/>
  <c r="E31" i="4"/>
  <c r="F31" i="4"/>
  <c r="G31" i="4"/>
  <c r="H31" i="4"/>
  <c r="D30" i="4"/>
  <c r="E30" i="4"/>
  <c r="F30" i="4"/>
  <c r="G30" i="4"/>
  <c r="H30" i="4"/>
  <c r="E29" i="4"/>
  <c r="F29" i="4"/>
  <c r="G29" i="4"/>
  <c r="H29" i="4"/>
  <c r="D29" i="4"/>
  <c r="E28" i="4"/>
  <c r="F28" i="4"/>
  <c r="G28" i="4"/>
  <c r="H28" i="4"/>
  <c r="D28" i="4"/>
  <c r="D27" i="4"/>
  <c r="E27" i="4"/>
  <c r="F27" i="4"/>
  <c r="G27" i="4"/>
  <c r="H27" i="4"/>
  <c r="D11" i="4"/>
  <c r="H88" i="3"/>
  <c r="G88" i="3"/>
  <c r="F88" i="3"/>
  <c r="E88" i="3"/>
  <c r="D87" i="3"/>
  <c r="E87" i="3"/>
  <c r="F87" i="3"/>
  <c r="G87" i="3"/>
  <c r="H87" i="3"/>
  <c r="E86" i="3"/>
  <c r="F86" i="3"/>
  <c r="G86" i="3"/>
  <c r="H86" i="3"/>
  <c r="D86" i="3"/>
  <c r="E85" i="3"/>
  <c r="F85" i="3"/>
  <c r="G85" i="3"/>
  <c r="H85" i="3"/>
  <c r="D82" i="3"/>
  <c r="E83" i="3"/>
  <c r="F83" i="3"/>
  <c r="G83" i="3"/>
  <c r="H83" i="3"/>
  <c r="D83" i="3"/>
  <c r="C55" i="2"/>
  <c r="C54" i="2"/>
  <c r="C52" i="2"/>
  <c r="C51" i="2"/>
  <c r="C50" i="2"/>
  <c r="C49" i="2"/>
  <c r="D51" i="3"/>
  <c r="E51" i="3"/>
  <c r="F51" i="3"/>
  <c r="G51" i="3"/>
  <c r="H51" i="3"/>
  <c r="D41" i="3"/>
  <c r="E41" i="3"/>
  <c r="F41" i="3"/>
  <c r="G41" i="3"/>
  <c r="H41" i="3"/>
  <c r="D27" i="3"/>
  <c r="E27" i="3"/>
  <c r="F27" i="3"/>
  <c r="G27" i="3"/>
  <c r="H27" i="3"/>
  <c r="E49" i="2"/>
  <c r="D22" i="2"/>
  <c r="E22" i="2"/>
  <c r="F22" i="2"/>
  <c r="G22" i="2"/>
  <c r="C22" i="2"/>
  <c r="N220" i="13" l="1"/>
  <c r="N224" i="13" s="1"/>
  <c r="I23" i="13"/>
  <c r="I27" i="13" s="1"/>
  <c r="Q24" i="14"/>
  <c r="P67" i="13"/>
  <c r="P75" i="13" s="1"/>
  <c r="O85" i="13"/>
  <c r="H55" i="8"/>
  <c r="I55" i="8" s="1"/>
  <c r="J55" i="8" s="1"/>
  <c r="K55" i="8" s="1"/>
  <c r="L55" i="8" s="1"/>
  <c r="M55" i="8" s="1"/>
  <c r="N55" i="8" s="1"/>
  <c r="O55" i="8" s="1"/>
  <c r="P55" i="8" s="1"/>
  <c r="Q55" i="8" s="1"/>
  <c r="D33" i="9"/>
  <c r="E33" i="9"/>
  <c r="F33" i="9"/>
  <c r="G33" i="9"/>
  <c r="H33" i="9"/>
  <c r="D36" i="9"/>
  <c r="E36" i="9"/>
  <c r="F36" i="9"/>
  <c r="G36" i="9"/>
  <c r="H36" i="9"/>
  <c r="I36" i="9" s="1"/>
  <c r="J36" i="9" s="1"/>
  <c r="K36" i="9" s="1"/>
  <c r="L36" i="9" s="1"/>
  <c r="M36" i="9" s="1"/>
  <c r="N36" i="9" s="1"/>
  <c r="O36" i="9" s="1"/>
  <c r="P36" i="9" s="1"/>
  <c r="Q36" i="9" s="1"/>
  <c r="R36" i="9" s="1"/>
  <c r="Q33" i="10" s="1"/>
  <c r="D37" i="9"/>
  <c r="E37" i="9"/>
  <c r="F37" i="9"/>
  <c r="G37" i="9"/>
  <c r="H37" i="9"/>
  <c r="D38" i="9"/>
  <c r="E38" i="9"/>
  <c r="F38" i="9"/>
  <c r="G38" i="9"/>
  <c r="H38" i="9"/>
  <c r="D39" i="9"/>
  <c r="E39" i="9"/>
  <c r="F39" i="9"/>
  <c r="G39" i="9"/>
  <c r="H39" i="9"/>
  <c r="E30" i="9"/>
  <c r="F30" i="9"/>
  <c r="G30" i="9"/>
  <c r="H30" i="9"/>
  <c r="D30" i="9"/>
  <c r="D46" i="10"/>
  <c r="I16" i="9"/>
  <c r="J16" i="9" s="1"/>
  <c r="K16" i="9" s="1"/>
  <c r="L16" i="9" s="1"/>
  <c r="M16" i="9" s="1"/>
  <c r="N16" i="9" s="1"/>
  <c r="O16" i="9" s="1"/>
  <c r="P16" i="9" s="1"/>
  <c r="Q16" i="9" s="1"/>
  <c r="R16" i="9" s="1"/>
  <c r="I21" i="9"/>
  <c r="J21" i="9" s="1"/>
  <c r="K21" i="9" s="1"/>
  <c r="L21" i="9" s="1"/>
  <c r="M21" i="9" s="1"/>
  <c r="N21" i="9" s="1"/>
  <c r="O21" i="9" s="1"/>
  <c r="P21" i="9" s="1"/>
  <c r="Q21" i="9" s="1"/>
  <c r="R21" i="9" s="1"/>
  <c r="E30" i="14"/>
  <c r="F30" i="14"/>
  <c r="G30" i="14"/>
  <c r="H30" i="14"/>
  <c r="D30" i="14"/>
  <c r="E28" i="14"/>
  <c r="F28" i="14"/>
  <c r="G28" i="14"/>
  <c r="H28" i="14"/>
  <c r="D28" i="14"/>
  <c r="D274" i="13"/>
  <c r="E274" i="13"/>
  <c r="F274" i="13"/>
  <c r="G274" i="13"/>
  <c r="C274" i="13"/>
  <c r="H104" i="13"/>
  <c r="I104" i="13" s="1"/>
  <c r="J104" i="13" s="1"/>
  <c r="K104" i="13" s="1"/>
  <c r="L104" i="13" s="1"/>
  <c r="M104" i="13" s="1"/>
  <c r="N104" i="13" s="1"/>
  <c r="O104" i="13" s="1"/>
  <c r="P104" i="13" s="1"/>
  <c r="Q104" i="13" s="1"/>
  <c r="C266" i="13"/>
  <c r="C268" i="13" s="1"/>
  <c r="H171" i="13"/>
  <c r="I171" i="13" s="1"/>
  <c r="J171" i="13" s="1"/>
  <c r="K171" i="13" s="1"/>
  <c r="L171" i="13" s="1"/>
  <c r="M171" i="13" s="1"/>
  <c r="N171" i="13" s="1"/>
  <c r="O171" i="13" s="1"/>
  <c r="P171" i="13" s="1"/>
  <c r="Q171" i="13" s="1"/>
  <c r="C169" i="13"/>
  <c r="C172" i="13" s="1"/>
  <c r="C156" i="13"/>
  <c r="C136" i="13"/>
  <c r="C145" i="13" s="1"/>
  <c r="C125" i="13"/>
  <c r="C97" i="13"/>
  <c r="C58" i="13"/>
  <c r="D54" i="13" s="1"/>
  <c r="H34" i="9"/>
  <c r="C50" i="12" s="1"/>
  <c r="G34" i="9"/>
  <c r="F34" i="9"/>
  <c r="E34" i="9"/>
  <c r="D34" i="9"/>
  <c r="D74" i="10" s="1"/>
  <c r="J137" i="13" l="1"/>
  <c r="K137" i="13" s="1"/>
  <c r="L137" i="13" s="1"/>
  <c r="M137" i="13" s="1"/>
  <c r="N137" i="13" s="1"/>
  <c r="O137" i="13" s="1"/>
  <c r="P137" i="13" s="1"/>
  <c r="Q137" i="13" s="1"/>
  <c r="O220" i="13"/>
  <c r="O224" i="13" s="1"/>
  <c r="C165" i="13"/>
  <c r="D148" i="13"/>
  <c r="D128" i="13"/>
  <c r="D136" i="13" s="1"/>
  <c r="D145" i="13" s="1"/>
  <c r="D88" i="13"/>
  <c r="D97" i="13" s="1"/>
  <c r="C106" i="13"/>
  <c r="J23" i="13"/>
  <c r="J27" i="13" s="1"/>
  <c r="I32" i="13"/>
  <c r="R24" i="14"/>
  <c r="P85" i="13"/>
  <c r="Q67" i="13"/>
  <c r="Q75" i="13" s="1"/>
  <c r="Q85" i="13" s="1"/>
  <c r="H217" i="13"/>
  <c r="I213" i="13" s="1"/>
  <c r="H210" i="13"/>
  <c r="I206" i="13" s="1"/>
  <c r="H203" i="13"/>
  <c r="I198" i="13" s="1"/>
  <c r="D169" i="13"/>
  <c r="D172" i="13" s="1"/>
  <c r="D156" i="13"/>
  <c r="D125" i="13"/>
  <c r="D34" i="10"/>
  <c r="D33" i="10"/>
  <c r="E33" i="10"/>
  <c r="E53" i="10"/>
  <c r="F33" i="10"/>
  <c r="F46" i="10"/>
  <c r="G46" i="10"/>
  <c r="E46" i="10"/>
  <c r="F53" i="10"/>
  <c r="D53" i="10"/>
  <c r="H33" i="10"/>
  <c r="L33" i="10"/>
  <c r="P33" i="10"/>
  <c r="I33" i="10"/>
  <c r="M33" i="10"/>
  <c r="J33" i="10"/>
  <c r="N33" i="10"/>
  <c r="G53" i="10"/>
  <c r="G33" i="10"/>
  <c r="K33" i="10"/>
  <c r="O33" i="10"/>
  <c r="D264" i="13"/>
  <c r="D266" i="13" s="1"/>
  <c r="I170" i="13"/>
  <c r="J170" i="13" s="1"/>
  <c r="K170" i="13" s="1"/>
  <c r="L170" i="13" s="1"/>
  <c r="M170" i="13" s="1"/>
  <c r="N170" i="13" s="1"/>
  <c r="O170" i="13" s="1"/>
  <c r="P170" i="13" s="1"/>
  <c r="Q170" i="13" s="1"/>
  <c r="P220" i="13" l="1"/>
  <c r="P224" i="13" s="1"/>
  <c r="E148" i="13"/>
  <c r="D165" i="13"/>
  <c r="E128" i="13"/>
  <c r="E136" i="13" s="1"/>
  <c r="E145" i="13" s="1"/>
  <c r="E88" i="13"/>
  <c r="E97" i="13" s="1"/>
  <c r="D106" i="13"/>
  <c r="I210" i="13"/>
  <c r="J206" i="13" s="1"/>
  <c r="J210" i="13" s="1"/>
  <c r="K206" i="13" s="1"/>
  <c r="K210" i="13" s="1"/>
  <c r="L206" i="13" s="1"/>
  <c r="L210" i="13" s="1"/>
  <c r="M206" i="13" s="1"/>
  <c r="M210" i="13" s="1"/>
  <c r="N206" i="13" s="1"/>
  <c r="N210" i="13" s="1"/>
  <c r="O206" i="13" s="1"/>
  <c r="O210" i="13" s="1"/>
  <c r="P206" i="13" s="1"/>
  <c r="P210" i="13" s="1"/>
  <c r="Q206" i="13" s="1"/>
  <c r="Q210" i="13" s="1"/>
  <c r="K23" i="13"/>
  <c r="K27" i="13" s="1"/>
  <c r="J32" i="13"/>
  <c r="I203" i="13"/>
  <c r="J198" i="13" s="1"/>
  <c r="J203" i="13" s="1"/>
  <c r="K198" i="13" s="1"/>
  <c r="K203" i="13" s="1"/>
  <c r="L198" i="13" s="1"/>
  <c r="L203" i="13" s="1"/>
  <c r="M198" i="13" s="1"/>
  <c r="M203" i="13" s="1"/>
  <c r="N198" i="13" s="1"/>
  <c r="N203" i="13" s="1"/>
  <c r="O198" i="13" s="1"/>
  <c r="O203" i="13" s="1"/>
  <c r="P198" i="13" s="1"/>
  <c r="P203" i="13" s="1"/>
  <c r="Q198" i="13" s="1"/>
  <c r="Q203" i="13" s="1"/>
  <c r="I217" i="13"/>
  <c r="J213" i="13" s="1"/>
  <c r="E169" i="13"/>
  <c r="E172" i="13" s="1"/>
  <c r="E156" i="13"/>
  <c r="D268" i="13"/>
  <c r="D271" i="13" s="1"/>
  <c r="E264" i="13"/>
  <c r="E266" i="13" s="1"/>
  <c r="Q220" i="13" l="1"/>
  <c r="Q224" i="13" s="1"/>
  <c r="F148" i="13"/>
  <c r="E165" i="13"/>
  <c r="F128" i="13"/>
  <c r="F136" i="13" s="1"/>
  <c r="F145" i="13" s="1"/>
  <c r="F125" i="13"/>
  <c r="E125" i="13"/>
  <c r="F88" i="13"/>
  <c r="F97" i="13" s="1"/>
  <c r="E106" i="13"/>
  <c r="L23" i="13"/>
  <c r="L27" i="13" s="1"/>
  <c r="K32" i="13"/>
  <c r="J217" i="13"/>
  <c r="K213" i="13" s="1"/>
  <c r="F169" i="13"/>
  <c r="F156" i="13"/>
  <c r="E268" i="13"/>
  <c r="E271" i="13" s="1"/>
  <c r="F264" i="13"/>
  <c r="F266" i="13" s="1"/>
  <c r="G125" i="13"/>
  <c r="G169" i="13" l="1"/>
  <c r="G172" i="13" s="1"/>
  <c r="F172" i="13"/>
  <c r="G148" i="13"/>
  <c r="F165" i="13"/>
  <c r="G128" i="13"/>
  <c r="G136" i="13" s="1"/>
  <c r="G145" i="13" s="1"/>
  <c r="G88" i="13"/>
  <c r="G97" i="13" s="1"/>
  <c r="F106" i="13"/>
  <c r="M23" i="13"/>
  <c r="M27" i="13" s="1"/>
  <c r="L32" i="13"/>
  <c r="K217" i="13"/>
  <c r="L213" i="13" s="1"/>
  <c r="G156" i="13"/>
  <c r="G165" i="13" s="1"/>
  <c r="F268" i="13"/>
  <c r="F271" i="13" s="1"/>
  <c r="G264" i="13"/>
  <c r="G266" i="13" s="1"/>
  <c r="H168" i="13"/>
  <c r="H169" i="13" s="1"/>
  <c r="D72" i="9"/>
  <c r="D71" i="9"/>
  <c r="D70" i="9"/>
  <c r="D69" i="9"/>
  <c r="D67" i="9"/>
  <c r="D66" i="9"/>
  <c r="D60" i="9"/>
  <c r="D59" i="9"/>
  <c r="D58" i="9"/>
  <c r="D57" i="9"/>
  <c r="D56" i="9"/>
  <c r="D55" i="9"/>
  <c r="D49" i="9"/>
  <c r="D48" i="9"/>
  <c r="C277" i="13"/>
  <c r="C45" i="8"/>
  <c r="C30" i="18" s="1"/>
  <c r="C41" i="8"/>
  <c r="C39" i="8"/>
  <c r="C35" i="8"/>
  <c r="C26" i="18" s="1"/>
  <c r="C33" i="8"/>
  <c r="C27" i="18" s="1"/>
  <c r="C25" i="8"/>
  <c r="C20" i="18" s="1"/>
  <c r="C24" i="8"/>
  <c r="C18" i="18" s="1"/>
  <c r="C18" i="8"/>
  <c r="C17" i="8"/>
  <c r="C16" i="8"/>
  <c r="C31" i="6"/>
  <c r="C32" i="6" s="1"/>
  <c r="C28" i="6"/>
  <c r="C25" i="6"/>
  <c r="C19" i="6"/>
  <c r="C16" i="6"/>
  <c r="C13" i="6"/>
  <c r="C12" i="7"/>
  <c r="C11" i="7"/>
  <c r="D57" i="14"/>
  <c r="D53" i="14"/>
  <c r="D51" i="14"/>
  <c r="D49" i="14"/>
  <c r="D46" i="14"/>
  <c r="D44" i="14"/>
  <c r="D42" i="14"/>
  <c r="D40" i="14"/>
  <c r="D38" i="14"/>
  <c r="D21" i="14"/>
  <c r="D17" i="14"/>
  <c r="D15" i="14"/>
  <c r="D13" i="14"/>
  <c r="C13" i="7"/>
  <c r="D62" i="3"/>
  <c r="H128" i="13" l="1"/>
  <c r="H136" i="13" s="1"/>
  <c r="H145" i="13" s="1"/>
  <c r="H116" i="13"/>
  <c r="H88" i="13"/>
  <c r="H97" i="13" s="1"/>
  <c r="H106" i="13" s="1"/>
  <c r="G106" i="13"/>
  <c r="N23" i="13"/>
  <c r="N27" i="13" s="1"/>
  <c r="M32" i="13"/>
  <c r="L217" i="13"/>
  <c r="M213" i="13" s="1"/>
  <c r="H148" i="13"/>
  <c r="H165" i="13" s="1"/>
  <c r="C22" i="5"/>
  <c r="H247" i="13"/>
  <c r="G268" i="13"/>
  <c r="G271" i="13" s="1"/>
  <c r="H264" i="13"/>
  <c r="H266" i="13" s="1"/>
  <c r="H172" i="13"/>
  <c r="I168" i="13"/>
  <c r="I169" i="13" s="1"/>
  <c r="D74" i="3"/>
  <c r="D76" i="3" s="1"/>
  <c r="D51" i="9"/>
  <c r="C35" i="16" s="1"/>
  <c r="C15" i="7"/>
  <c r="D62" i="9"/>
  <c r="D68" i="9"/>
  <c r="D74" i="9" s="1"/>
  <c r="C19" i="5"/>
  <c r="D41" i="9"/>
  <c r="C20" i="8"/>
  <c r="C13" i="18" s="1"/>
  <c r="I128" i="13" l="1"/>
  <c r="I136" i="13" s="1"/>
  <c r="I145" i="13" s="1"/>
  <c r="I88" i="13"/>
  <c r="I97" i="13" s="1"/>
  <c r="I106" i="13" s="1"/>
  <c r="H125" i="13"/>
  <c r="I109" i="13"/>
  <c r="I116" i="13" s="1"/>
  <c r="O23" i="13"/>
  <c r="O27" i="13" s="1"/>
  <c r="N32" i="13"/>
  <c r="I148" i="13"/>
  <c r="I156" i="13" s="1"/>
  <c r="I165" i="13" s="1"/>
  <c r="M217" i="13"/>
  <c r="N213" i="13" s="1"/>
  <c r="H268" i="13"/>
  <c r="I264" i="13"/>
  <c r="I266" i="13" s="1"/>
  <c r="I172" i="13"/>
  <c r="J168" i="13"/>
  <c r="J169" i="13" s="1"/>
  <c r="D43" i="3"/>
  <c r="D56" i="4" s="1"/>
  <c r="D76" i="9"/>
  <c r="C36" i="16"/>
  <c r="C29" i="16"/>
  <c r="C30" i="16"/>
  <c r="D43" i="9"/>
  <c r="C11" i="6"/>
  <c r="C19" i="7"/>
  <c r="C20" i="7"/>
  <c r="C44" i="16" s="1"/>
  <c r="J88" i="13" l="1"/>
  <c r="J97" i="13" s="1"/>
  <c r="J106" i="13" s="1"/>
  <c r="J128" i="13"/>
  <c r="J136" i="13" s="1"/>
  <c r="J145" i="13" s="1"/>
  <c r="I125" i="13"/>
  <c r="J109" i="13"/>
  <c r="J116" i="13" s="1"/>
  <c r="J148" i="13"/>
  <c r="J156" i="13" s="1"/>
  <c r="J165" i="13" s="1"/>
  <c r="N217" i="13"/>
  <c r="O213" i="13" s="1"/>
  <c r="P23" i="13"/>
  <c r="P27" i="13" s="1"/>
  <c r="O32" i="13"/>
  <c r="D79" i="4"/>
  <c r="D45" i="4"/>
  <c r="D51" i="4"/>
  <c r="D42" i="4"/>
  <c r="D46" i="4"/>
  <c r="D49" i="4"/>
  <c r="D43" i="4"/>
  <c r="D44" i="4"/>
  <c r="D50" i="4"/>
  <c r="H253" i="13"/>
  <c r="H261" i="13" s="1"/>
  <c r="D77" i="3"/>
  <c r="I268" i="13"/>
  <c r="J264" i="13"/>
  <c r="J266" i="13" s="1"/>
  <c r="K168" i="13"/>
  <c r="K169" i="13" s="1"/>
  <c r="J172" i="13"/>
  <c r="D52" i="4"/>
  <c r="D82" i="4"/>
  <c r="D86" i="4"/>
  <c r="D80" i="4"/>
  <c r="D81" i="4"/>
  <c r="D89" i="4"/>
  <c r="D90" i="4"/>
  <c r="D87" i="4"/>
  <c r="D92" i="4"/>
  <c r="D67" i="4"/>
  <c r="D72" i="4"/>
  <c r="D91" i="4"/>
  <c r="D94" i="4"/>
  <c r="D88" i="4"/>
  <c r="D48" i="4"/>
  <c r="D78" i="4"/>
  <c r="D73" i="4"/>
  <c r="D77" i="4"/>
  <c r="D78" i="9"/>
  <c r="C34" i="16"/>
  <c r="C14" i="6"/>
  <c r="C17" i="6"/>
  <c r="C29" i="6"/>
  <c r="C26" i="6"/>
  <c r="C23" i="6"/>
  <c r="C12" i="16" s="1"/>
  <c r="C13" i="2"/>
  <c r="D22" i="4"/>
  <c r="D20" i="4"/>
  <c r="D17" i="4"/>
  <c r="D19" i="4"/>
  <c r="D16" i="4"/>
  <c r="C11" i="8"/>
  <c r="C13" i="8" s="1"/>
  <c r="D18" i="4"/>
  <c r="D45" i="14"/>
  <c r="D18" i="14"/>
  <c r="D56" i="14"/>
  <c r="D31" i="14"/>
  <c r="D14" i="14"/>
  <c r="D50" i="14"/>
  <c r="D43" i="14"/>
  <c r="D54" i="14"/>
  <c r="C18" i="7"/>
  <c r="C40" i="16" s="1"/>
  <c r="D22" i="14"/>
  <c r="D58" i="14"/>
  <c r="D16" i="14"/>
  <c r="D52" i="14"/>
  <c r="D29" i="14"/>
  <c r="D41" i="14"/>
  <c r="D27" i="14"/>
  <c r="D39" i="14"/>
  <c r="D47" i="14"/>
  <c r="C42" i="16"/>
  <c r="K88" i="13" l="1"/>
  <c r="K97" i="13" s="1"/>
  <c r="K106" i="13" s="1"/>
  <c r="K128" i="13"/>
  <c r="K136" i="13" s="1"/>
  <c r="K145" i="13" s="1"/>
  <c r="K148" i="13"/>
  <c r="K156" i="13" s="1"/>
  <c r="K165" i="13" s="1"/>
  <c r="O217" i="13"/>
  <c r="P213" i="13" s="1"/>
  <c r="P217" i="13" s="1"/>
  <c r="Q213" i="13" s="1"/>
  <c r="J125" i="13"/>
  <c r="K109" i="13"/>
  <c r="K116" i="13" s="1"/>
  <c r="K125" i="13" s="1"/>
  <c r="Q23" i="13"/>
  <c r="Q27" i="13" s="1"/>
  <c r="P32" i="13"/>
  <c r="I247" i="13"/>
  <c r="I253" i="13" s="1"/>
  <c r="I261" i="13" s="1"/>
  <c r="J268" i="13"/>
  <c r="K264" i="13"/>
  <c r="K266" i="13" s="1"/>
  <c r="L168" i="13"/>
  <c r="L169" i="13" s="1"/>
  <c r="K172" i="13"/>
  <c r="C22" i="7"/>
  <c r="C31" i="16" s="1"/>
  <c r="D13" i="4"/>
  <c r="C24" i="2"/>
  <c r="C11" i="18"/>
  <c r="C15" i="18" s="1"/>
  <c r="C17" i="18" s="1"/>
  <c r="C22" i="8"/>
  <c r="C27" i="8" s="1"/>
  <c r="L88" i="13" l="1"/>
  <c r="L97" i="13" s="1"/>
  <c r="L106" i="13" s="1"/>
  <c r="L128" i="13"/>
  <c r="L136" i="13" s="1"/>
  <c r="L145" i="13" s="1"/>
  <c r="L148" i="13"/>
  <c r="L156" i="13" s="1"/>
  <c r="L165" i="13" s="1"/>
  <c r="Q32" i="13"/>
  <c r="L109" i="13"/>
  <c r="J247" i="13"/>
  <c r="J253" i="13" s="1"/>
  <c r="J261" i="13" s="1"/>
  <c r="Q217" i="13"/>
  <c r="K268" i="13"/>
  <c r="L264" i="13"/>
  <c r="L266" i="13" s="1"/>
  <c r="L172" i="13"/>
  <c r="M168" i="13"/>
  <c r="M169" i="13" s="1"/>
  <c r="C21" i="18"/>
  <c r="C13" i="16"/>
  <c r="D24" i="4"/>
  <c r="M88" i="13" l="1"/>
  <c r="M97" i="13" s="1"/>
  <c r="M106" i="13" s="1"/>
  <c r="M128" i="13"/>
  <c r="M136" i="13" s="1"/>
  <c r="M145" i="13" s="1"/>
  <c r="M148" i="13"/>
  <c r="M156" i="13" s="1"/>
  <c r="M165" i="13" s="1"/>
  <c r="L116" i="13"/>
  <c r="M109" i="13" s="1"/>
  <c r="K247" i="13"/>
  <c r="K253" i="13" s="1"/>
  <c r="K261" i="13" s="1"/>
  <c r="L268" i="13"/>
  <c r="M264" i="13"/>
  <c r="M266" i="13" s="1"/>
  <c r="M172" i="13"/>
  <c r="N168" i="13"/>
  <c r="N169" i="13" s="1"/>
  <c r="C32" i="12"/>
  <c r="N128" i="13" l="1"/>
  <c r="N136" i="13" s="1"/>
  <c r="N145" i="13" s="1"/>
  <c r="N88" i="13"/>
  <c r="N97" i="13" s="1"/>
  <c r="N106" i="13" s="1"/>
  <c r="N148" i="13"/>
  <c r="N156" i="13" s="1"/>
  <c r="N165" i="13" s="1"/>
  <c r="M116" i="13"/>
  <c r="N109" i="13" s="1"/>
  <c r="L125" i="13"/>
  <c r="L247" i="13"/>
  <c r="L253" i="13" s="1"/>
  <c r="L261" i="13" s="1"/>
  <c r="M268" i="13"/>
  <c r="N264" i="13"/>
  <c r="N266" i="13" s="1"/>
  <c r="O168" i="13"/>
  <c r="O169" i="13" s="1"/>
  <c r="N172" i="13"/>
  <c r="O128" i="13"/>
  <c r="O136" i="13" s="1"/>
  <c r="O145" i="13" s="1"/>
  <c r="O88" i="13"/>
  <c r="O97" i="13" s="1"/>
  <c r="O106" i="13" s="1"/>
  <c r="F38" i="14"/>
  <c r="G38" i="14"/>
  <c r="H38" i="14"/>
  <c r="E38" i="14"/>
  <c r="F49" i="14"/>
  <c r="G49" i="14"/>
  <c r="H49" i="14"/>
  <c r="E49" i="14"/>
  <c r="F40" i="14"/>
  <c r="G40" i="14"/>
  <c r="H40" i="14"/>
  <c r="E40" i="14"/>
  <c r="E67" i="9"/>
  <c r="D19" i="10" s="1"/>
  <c r="F67" i="9"/>
  <c r="G67" i="9"/>
  <c r="H67" i="9"/>
  <c r="E68" i="9"/>
  <c r="D20" i="10" s="1"/>
  <c r="E69" i="9"/>
  <c r="D21" i="10" s="1"/>
  <c r="F69" i="9"/>
  <c r="G69" i="9"/>
  <c r="H69" i="9"/>
  <c r="E70" i="9"/>
  <c r="D22" i="10" s="1"/>
  <c r="F70" i="9"/>
  <c r="G70" i="9"/>
  <c r="H70" i="9"/>
  <c r="E71" i="9"/>
  <c r="D23" i="10" s="1"/>
  <c r="F71" i="9"/>
  <c r="G71" i="9"/>
  <c r="H71" i="9"/>
  <c r="E72" i="9"/>
  <c r="D24" i="10" s="1"/>
  <c r="F72" i="9"/>
  <c r="G72" i="9"/>
  <c r="H72" i="9"/>
  <c r="F66" i="9"/>
  <c r="G66" i="9"/>
  <c r="H66" i="9"/>
  <c r="E66" i="9"/>
  <c r="D18" i="10" s="1"/>
  <c r="E56" i="9"/>
  <c r="D61" i="10" s="1"/>
  <c r="F56" i="9"/>
  <c r="G56" i="9"/>
  <c r="H56" i="9"/>
  <c r="E57" i="9"/>
  <c r="D62" i="10" s="1"/>
  <c r="F57" i="9"/>
  <c r="G57" i="9"/>
  <c r="H57" i="9"/>
  <c r="E58" i="9"/>
  <c r="D63" i="10" s="1"/>
  <c r="F58" i="9"/>
  <c r="G58" i="9"/>
  <c r="H58" i="9"/>
  <c r="E59" i="9"/>
  <c r="D64" i="10" s="1"/>
  <c r="F59" i="9"/>
  <c r="G59" i="9"/>
  <c r="H59" i="9"/>
  <c r="E60" i="9"/>
  <c r="D65" i="10" s="1"/>
  <c r="F60" i="9"/>
  <c r="G60" i="9"/>
  <c r="H60" i="9"/>
  <c r="F55" i="9"/>
  <c r="G55" i="9"/>
  <c r="H55" i="9"/>
  <c r="E55" i="9"/>
  <c r="E49" i="9"/>
  <c r="F49" i="9"/>
  <c r="G49" i="9"/>
  <c r="H49" i="9"/>
  <c r="F48" i="9"/>
  <c r="G48" i="9"/>
  <c r="H48" i="9"/>
  <c r="G67" i="10" s="1"/>
  <c r="E48" i="9"/>
  <c r="D67" i="10" s="1"/>
  <c r="D32" i="10"/>
  <c r="D35" i="10"/>
  <c r="D36" i="10"/>
  <c r="D30" i="10"/>
  <c r="D48" i="10"/>
  <c r="D49" i="10"/>
  <c r="D50" i="10"/>
  <c r="D51" i="10"/>
  <c r="D52" i="10"/>
  <c r="G45" i="8"/>
  <c r="G30" i="18" s="1"/>
  <c r="E45" i="8"/>
  <c r="E30" i="18" s="1"/>
  <c r="F45" i="8"/>
  <c r="F30" i="18" s="1"/>
  <c r="D45" i="8"/>
  <c r="D30" i="18" s="1"/>
  <c r="G41" i="8"/>
  <c r="F41" i="8"/>
  <c r="E41" i="8"/>
  <c r="D41" i="8"/>
  <c r="E39" i="8"/>
  <c r="F39" i="8"/>
  <c r="G39" i="8"/>
  <c r="D39" i="8"/>
  <c r="E35" i="8"/>
  <c r="E26" i="18" s="1"/>
  <c r="F35" i="8"/>
  <c r="F26" i="18" s="1"/>
  <c r="G35" i="8"/>
  <c r="G26" i="18" s="1"/>
  <c r="D35" i="8"/>
  <c r="D26" i="18" s="1"/>
  <c r="E29" i="8"/>
  <c r="F29" i="8"/>
  <c r="G29" i="8"/>
  <c r="D29" i="8"/>
  <c r="D45" i="10" s="1"/>
  <c r="D17" i="8"/>
  <c r="E17" i="8"/>
  <c r="F17" i="8"/>
  <c r="G17" i="8"/>
  <c r="D18" i="8"/>
  <c r="E18" i="8"/>
  <c r="F18" i="8"/>
  <c r="G18" i="8"/>
  <c r="D24" i="8"/>
  <c r="D18" i="18" s="1"/>
  <c r="D19" i="18" s="1"/>
  <c r="E24" i="8"/>
  <c r="E18" i="18" s="1"/>
  <c r="F24" i="8"/>
  <c r="F18" i="18" s="1"/>
  <c r="G24" i="8"/>
  <c r="G18" i="18" s="1"/>
  <c r="D25" i="8"/>
  <c r="D20" i="18" s="1"/>
  <c r="E25" i="8"/>
  <c r="E20" i="18" s="1"/>
  <c r="F25" i="8"/>
  <c r="F20" i="18" s="1"/>
  <c r="G25" i="8"/>
  <c r="G20" i="18" s="1"/>
  <c r="E16" i="8"/>
  <c r="F16" i="8"/>
  <c r="G16" i="8"/>
  <c r="D16" i="8"/>
  <c r="E19" i="6"/>
  <c r="O148" i="13" l="1"/>
  <c r="O156" i="13" s="1"/>
  <c r="O165" i="13" s="1"/>
  <c r="N116" i="13"/>
  <c r="O109" i="13" s="1"/>
  <c r="M125" i="13"/>
  <c r="I57" i="9"/>
  <c r="J57" i="9"/>
  <c r="E23" i="18"/>
  <c r="E45" i="10"/>
  <c r="F67" i="10"/>
  <c r="M247" i="13"/>
  <c r="M253" i="13" s="1"/>
  <c r="M261" i="13" s="1"/>
  <c r="G23" i="18"/>
  <c r="G45" i="10"/>
  <c r="F23" i="18"/>
  <c r="F45" i="10"/>
  <c r="E67" i="10"/>
  <c r="D27" i="10"/>
  <c r="D43" i="10"/>
  <c r="E27" i="10"/>
  <c r="E43" i="10"/>
  <c r="G27" i="10"/>
  <c r="G43" i="10"/>
  <c r="F27" i="10"/>
  <c r="F43" i="10"/>
  <c r="O264" i="13"/>
  <c r="O266" i="13" s="1"/>
  <c r="N268" i="13"/>
  <c r="P168" i="13"/>
  <c r="P169" i="13" s="1"/>
  <c r="O172" i="13"/>
  <c r="P128" i="13"/>
  <c r="P136" i="13" s="1"/>
  <c r="P145" i="13" s="1"/>
  <c r="P88" i="13"/>
  <c r="P97" i="13" s="1"/>
  <c r="P106" i="13" s="1"/>
  <c r="D60" i="10"/>
  <c r="F277" i="13"/>
  <c r="G277" i="13"/>
  <c r="E277" i="13"/>
  <c r="D277" i="13"/>
  <c r="D278" i="13" s="1"/>
  <c r="D23" i="18"/>
  <c r="D13" i="12"/>
  <c r="D15" i="10"/>
  <c r="D69" i="10"/>
  <c r="D16" i="10"/>
  <c r="D28" i="10"/>
  <c r="E52" i="10"/>
  <c r="G32" i="10"/>
  <c r="E51" i="10"/>
  <c r="E50" i="10"/>
  <c r="E49" i="10"/>
  <c r="E48" i="10"/>
  <c r="E36" i="10"/>
  <c r="E35" i="10"/>
  <c r="E34" i="10"/>
  <c r="E60" i="10"/>
  <c r="E32" i="10"/>
  <c r="G19" i="18"/>
  <c r="G20" i="8"/>
  <c r="G13" i="18" s="1"/>
  <c r="F19" i="18"/>
  <c r="E19" i="18"/>
  <c r="G52" i="10"/>
  <c r="G51" i="10"/>
  <c r="G50" i="10"/>
  <c r="G49" i="10"/>
  <c r="G48" i="10"/>
  <c r="G36" i="10"/>
  <c r="G35" i="10"/>
  <c r="G34" i="10"/>
  <c r="F20" i="8"/>
  <c r="F13" i="18" s="1"/>
  <c r="F52" i="10"/>
  <c r="F51" i="10"/>
  <c r="F50" i="10"/>
  <c r="F49" i="10"/>
  <c r="F48" i="10"/>
  <c r="F36" i="10"/>
  <c r="F35" i="10"/>
  <c r="F34" i="10"/>
  <c r="F32" i="10"/>
  <c r="F63" i="10"/>
  <c r="F61" i="10"/>
  <c r="D20" i="8"/>
  <c r="D13" i="18" s="1"/>
  <c r="D14" i="18" s="1"/>
  <c r="E20" i="8"/>
  <c r="E13" i="18" s="1"/>
  <c r="G24" i="10"/>
  <c r="G23" i="10"/>
  <c r="G19" i="10"/>
  <c r="F65" i="10"/>
  <c r="F64" i="10"/>
  <c r="F62" i="10"/>
  <c r="G65" i="10"/>
  <c r="G63" i="10"/>
  <c r="G61" i="10"/>
  <c r="G60" i="10"/>
  <c r="G64" i="10"/>
  <c r="G62" i="10"/>
  <c r="F60" i="10"/>
  <c r="E65" i="10"/>
  <c r="E64" i="10"/>
  <c r="E63" i="10"/>
  <c r="E62" i="10"/>
  <c r="E61" i="10"/>
  <c r="G22" i="10"/>
  <c r="E19" i="10"/>
  <c r="E24" i="10"/>
  <c r="E23" i="10"/>
  <c r="E22" i="10"/>
  <c r="E21" i="10"/>
  <c r="G21" i="10"/>
  <c r="F24" i="10"/>
  <c r="F23" i="10"/>
  <c r="F22" i="10"/>
  <c r="F21" i="10"/>
  <c r="F19" i="10"/>
  <c r="D13" i="7"/>
  <c r="E12" i="7"/>
  <c r="F12" i="7"/>
  <c r="G12" i="7"/>
  <c r="H12" i="7" s="1"/>
  <c r="I12" i="7" s="1"/>
  <c r="J12" i="7" s="1"/>
  <c r="K12" i="7" s="1"/>
  <c r="L12" i="7" s="1"/>
  <c r="M12" i="7" s="1"/>
  <c r="N12" i="7" s="1"/>
  <c r="O12" i="7" s="1"/>
  <c r="P12" i="7" s="1"/>
  <c r="Q12" i="7" s="1"/>
  <c r="D12" i="7"/>
  <c r="E11" i="7"/>
  <c r="F11" i="7"/>
  <c r="G11" i="7"/>
  <c r="H11" i="7" s="1"/>
  <c r="D11" i="7"/>
  <c r="F53" i="14"/>
  <c r="G53" i="14"/>
  <c r="H53" i="14"/>
  <c r="E53" i="14"/>
  <c r="F51" i="14"/>
  <c r="G51" i="14"/>
  <c r="H51" i="14"/>
  <c r="E51" i="14"/>
  <c r="E55" i="14"/>
  <c r="F55" i="14"/>
  <c r="G55" i="14"/>
  <c r="H55" i="14"/>
  <c r="H57" i="14"/>
  <c r="G57" i="14"/>
  <c r="F57" i="14"/>
  <c r="E57" i="14"/>
  <c r="C59" i="14"/>
  <c r="F46" i="14"/>
  <c r="G46" i="14"/>
  <c r="H46" i="14"/>
  <c r="E46" i="14"/>
  <c r="F44" i="14"/>
  <c r="G44" i="14"/>
  <c r="H44" i="14"/>
  <c r="E44" i="14"/>
  <c r="F42" i="14"/>
  <c r="G42" i="14"/>
  <c r="H42" i="14"/>
  <c r="E42" i="14"/>
  <c r="F21" i="14"/>
  <c r="G21" i="14"/>
  <c r="H21" i="14"/>
  <c r="E21" i="14"/>
  <c r="F17" i="14"/>
  <c r="G17" i="14"/>
  <c r="H17" i="14"/>
  <c r="E17" i="14"/>
  <c r="F15" i="14"/>
  <c r="G15" i="14"/>
  <c r="H15" i="14"/>
  <c r="E15" i="14"/>
  <c r="F13" i="14"/>
  <c r="G13" i="14"/>
  <c r="H13" i="14"/>
  <c r="E13" i="14"/>
  <c r="C13" i="14"/>
  <c r="F19" i="6"/>
  <c r="G19" i="6"/>
  <c r="D19" i="6"/>
  <c r="P148" i="13" l="1"/>
  <c r="P156" i="13" s="1"/>
  <c r="P165" i="13" s="1"/>
  <c r="O116" i="13"/>
  <c r="P109" i="13" s="1"/>
  <c r="N125" i="13"/>
  <c r="K57" i="9"/>
  <c r="I11" i="7"/>
  <c r="I33" i="9"/>
  <c r="N247" i="13"/>
  <c r="N253" i="13" s="1"/>
  <c r="N261" i="13" s="1"/>
  <c r="D14" i="12"/>
  <c r="O268" i="13"/>
  <c r="P264" i="13"/>
  <c r="P266" i="13" s="1"/>
  <c r="P172" i="13"/>
  <c r="Q168" i="13"/>
  <c r="Q169" i="13" s="1"/>
  <c r="Q172" i="13" s="1"/>
  <c r="Q128" i="13"/>
  <c r="Q136" i="13" s="1"/>
  <c r="Q145" i="13" s="1"/>
  <c r="Q88" i="13"/>
  <c r="Q97" i="13" s="1"/>
  <c r="Q106" i="13" s="1"/>
  <c r="G278" i="13"/>
  <c r="E278" i="13"/>
  <c r="F278" i="13"/>
  <c r="E59" i="14"/>
  <c r="D59" i="14"/>
  <c r="D60" i="14" s="1"/>
  <c r="E14" i="18"/>
  <c r="F14" i="18"/>
  <c r="G14" i="18"/>
  <c r="H59" i="14"/>
  <c r="G59" i="14"/>
  <c r="F59" i="14"/>
  <c r="E16" i="6"/>
  <c r="F16" i="6"/>
  <c r="G16" i="6"/>
  <c r="D16" i="6"/>
  <c r="Q148" i="13" l="1"/>
  <c r="Q156" i="13" s="1"/>
  <c r="Q165" i="13" s="1"/>
  <c r="P116" i="13"/>
  <c r="Q109" i="13" s="1"/>
  <c r="O125" i="13"/>
  <c r="L57" i="9"/>
  <c r="O247" i="13"/>
  <c r="O253" i="13" s="1"/>
  <c r="O261" i="13" s="1"/>
  <c r="J11" i="7"/>
  <c r="J33" i="9"/>
  <c r="P268" i="13"/>
  <c r="Q264" i="13"/>
  <c r="Q266" i="13" s="1"/>
  <c r="H277" i="13"/>
  <c r="I14" i="9" s="1"/>
  <c r="H46" i="10" s="1"/>
  <c r="C31" i="4"/>
  <c r="C30" i="4"/>
  <c r="C29" i="4"/>
  <c r="C17" i="4"/>
  <c r="C16" i="4"/>
  <c r="E74" i="3"/>
  <c r="F62" i="3"/>
  <c r="H62" i="3"/>
  <c r="E62" i="3"/>
  <c r="Q116" i="13" l="1"/>
  <c r="Q125" i="13" s="1"/>
  <c r="P125" i="13"/>
  <c r="M57" i="9"/>
  <c r="K11" i="7"/>
  <c r="K33" i="9"/>
  <c r="Q268" i="13"/>
  <c r="P247" i="13"/>
  <c r="P253" i="13" s="1"/>
  <c r="P261" i="13" s="1"/>
  <c r="E82" i="3"/>
  <c r="I277" i="13"/>
  <c r="J14" i="9" s="1"/>
  <c r="I46" i="10" s="1"/>
  <c r="E81" i="3"/>
  <c r="G68" i="9"/>
  <c r="F13" i="7"/>
  <c r="H68" i="9"/>
  <c r="H31" i="6" s="1"/>
  <c r="G13" i="7"/>
  <c r="H13" i="7" s="1"/>
  <c r="I13" i="7" s="1"/>
  <c r="J13" i="7" s="1"/>
  <c r="K13" i="7" s="1"/>
  <c r="L13" i="7" s="1"/>
  <c r="M13" i="7" s="1"/>
  <c r="N13" i="7" s="1"/>
  <c r="O13" i="7" s="1"/>
  <c r="P13" i="7" s="1"/>
  <c r="Q13" i="7" s="1"/>
  <c r="F68" i="9"/>
  <c r="E20" i="10" s="1"/>
  <c r="E13" i="7"/>
  <c r="E76" i="3"/>
  <c r="E43" i="3"/>
  <c r="E33" i="8"/>
  <c r="E27" i="18" s="1"/>
  <c r="F33" i="8"/>
  <c r="F27" i="18" s="1"/>
  <c r="G33" i="8"/>
  <c r="G27" i="18" s="1"/>
  <c r="D33" i="8"/>
  <c r="D27" i="18" s="1"/>
  <c r="N57" i="9" l="1"/>
  <c r="D55" i="2"/>
  <c r="E51" i="4"/>
  <c r="E44" i="4"/>
  <c r="E49" i="4"/>
  <c r="E45" i="4"/>
  <c r="E79" i="4"/>
  <c r="E42" i="4"/>
  <c r="E46" i="4"/>
  <c r="E43" i="4"/>
  <c r="Q247" i="13"/>
  <c r="Q253" i="13" s="1"/>
  <c r="Q261" i="13" s="1"/>
  <c r="L11" i="7"/>
  <c r="L33" i="9"/>
  <c r="H43" i="3"/>
  <c r="H48" i="4" s="1"/>
  <c r="D42" i="10"/>
  <c r="D26" i="10"/>
  <c r="F20" i="10"/>
  <c r="G20" i="10"/>
  <c r="E26" i="10"/>
  <c r="E42" i="10"/>
  <c r="E55" i="10" s="1"/>
  <c r="G26" i="10"/>
  <c r="G42" i="10"/>
  <c r="G55" i="10" s="1"/>
  <c r="F42" i="10"/>
  <c r="F55" i="10" s="1"/>
  <c r="F26" i="10"/>
  <c r="E77" i="3"/>
  <c r="E78" i="4"/>
  <c r="E80" i="4"/>
  <c r="E81" i="4"/>
  <c r="E82" i="4"/>
  <c r="E92" i="4"/>
  <c r="E87" i="4"/>
  <c r="E88" i="4"/>
  <c r="E89" i="4"/>
  <c r="E90" i="4"/>
  <c r="E91" i="4"/>
  <c r="E50" i="4"/>
  <c r="E52" i="4"/>
  <c r="E48" i="4"/>
  <c r="G13" i="12"/>
  <c r="F13" i="12"/>
  <c r="E13" i="12"/>
  <c r="O57" i="9" l="1"/>
  <c r="H52" i="4"/>
  <c r="H91" i="4"/>
  <c r="H88" i="4"/>
  <c r="M11" i="7"/>
  <c r="M33" i="9"/>
  <c r="G55" i="2"/>
  <c r="H45" i="4"/>
  <c r="H51" i="4"/>
  <c r="H42" i="4"/>
  <c r="H46" i="4"/>
  <c r="H49" i="4"/>
  <c r="H43" i="4"/>
  <c r="H79" i="4"/>
  <c r="H44" i="4"/>
  <c r="H89" i="4"/>
  <c r="H92" i="4"/>
  <c r="H86" i="4"/>
  <c r="H80" i="4"/>
  <c r="H78" i="4"/>
  <c r="H87" i="4"/>
  <c r="H77" i="4"/>
  <c r="H81" i="4"/>
  <c r="H50" i="4"/>
  <c r="H82" i="4"/>
  <c r="H90" i="4"/>
  <c r="E74" i="9"/>
  <c r="F62" i="9"/>
  <c r="H62" i="9"/>
  <c r="E62" i="9"/>
  <c r="H41" i="9"/>
  <c r="E41" i="9"/>
  <c r="P57" i="9" l="1"/>
  <c r="N11" i="7"/>
  <c r="N33" i="9"/>
  <c r="D29" i="16"/>
  <c r="D30" i="16"/>
  <c r="F51" i="9"/>
  <c r="G51" i="9"/>
  <c r="H51" i="9"/>
  <c r="E51" i="9"/>
  <c r="P6" i="16"/>
  <c r="Q57" i="9" l="1"/>
  <c r="O11" i="7"/>
  <c r="O33" i="9"/>
  <c r="D36" i="16"/>
  <c r="D35" i="16"/>
  <c r="F36" i="16"/>
  <c r="F35" i="16"/>
  <c r="E36" i="16"/>
  <c r="E35" i="16"/>
  <c r="E76" i="9"/>
  <c r="G36" i="16"/>
  <c r="G35" i="16"/>
  <c r="C57" i="12"/>
  <c r="C60" i="12"/>
  <c r="C21" i="12"/>
  <c r="R57" i="9" l="1"/>
  <c r="P11" i="7"/>
  <c r="P33" i="9"/>
  <c r="C24" i="12"/>
  <c r="Q11" i="7" l="1"/>
  <c r="R33" i="9" s="1"/>
  <c r="Q33" i="9"/>
  <c r="C26" i="12"/>
  <c r="C31" i="12" s="1"/>
  <c r="F69" i="10"/>
  <c r="G69" i="10"/>
  <c r="E69" i="10"/>
  <c r="F28" i="10"/>
  <c r="G28" i="10"/>
  <c r="F16" i="10"/>
  <c r="G16" i="10"/>
  <c r="F15" i="10"/>
  <c r="G15" i="10"/>
  <c r="E28" i="10"/>
  <c r="E16" i="10"/>
  <c r="E15" i="10"/>
  <c r="F30" i="10"/>
  <c r="G30" i="10"/>
  <c r="E30" i="10"/>
  <c r="F18" i="10"/>
  <c r="G18" i="10"/>
  <c r="E18" i="10"/>
  <c r="B12" i="14"/>
  <c r="B25" i="14"/>
  <c r="I48" i="9"/>
  <c r="H67" i="10" s="1"/>
  <c r="G62" i="9"/>
  <c r="G41" i="9"/>
  <c r="F41" i="9"/>
  <c r="E31" i="6"/>
  <c r="E32" i="6" s="1"/>
  <c r="F31" i="6"/>
  <c r="F32" i="6" s="1"/>
  <c r="G31" i="6"/>
  <c r="G32" i="6" s="1"/>
  <c r="H32" i="6" s="1"/>
  <c r="D31" i="6"/>
  <c r="D32" i="6" s="1"/>
  <c r="B12" i="7"/>
  <c r="I32" i="6" l="1"/>
  <c r="J32" i="6" s="1"/>
  <c r="K32" i="6" s="1"/>
  <c r="L32" i="6" s="1"/>
  <c r="M32" i="6" s="1"/>
  <c r="N32" i="6" s="1"/>
  <c r="O32" i="6" s="1"/>
  <c r="P32" i="6" s="1"/>
  <c r="Q32" i="6" s="1"/>
  <c r="F15" i="12"/>
  <c r="G15" i="12"/>
  <c r="E15" i="12"/>
  <c r="J48" i="9"/>
  <c r="I67" i="10" s="1"/>
  <c r="D15" i="7"/>
  <c r="H74" i="9"/>
  <c r="H76" i="9" s="1"/>
  <c r="G74" i="9"/>
  <c r="G76" i="9" s="1"/>
  <c r="F74" i="9"/>
  <c r="F76" i="9" s="1"/>
  <c r="K48" i="9" l="1"/>
  <c r="J67" i="10" s="1"/>
  <c r="F30" i="16"/>
  <c r="F29" i="16"/>
  <c r="E30" i="16"/>
  <c r="E29" i="16"/>
  <c r="G29" i="16"/>
  <c r="G30" i="16"/>
  <c r="L48" i="9" l="1"/>
  <c r="K67" i="10" s="1"/>
  <c r="M48" i="9" l="1"/>
  <c r="L67" i="10" s="1"/>
  <c r="N48" i="9" l="1"/>
  <c r="M67" i="10" s="1"/>
  <c r="O48" i="9" l="1"/>
  <c r="N67" i="10" s="1"/>
  <c r="P48" i="9" l="1"/>
  <c r="O67" i="10" s="1"/>
  <c r="Q48" i="9" l="1"/>
  <c r="P67" i="10" s="1"/>
  <c r="R48" i="9" l="1"/>
  <c r="Q67" i="10" s="1"/>
  <c r="D226" i="13" l="1"/>
  <c r="E28" i="6" l="1"/>
  <c r="F28" i="6"/>
  <c r="G28" i="6"/>
  <c r="D28" i="6"/>
  <c r="E25" i="6"/>
  <c r="F25" i="6"/>
  <c r="G25" i="6"/>
  <c r="D25" i="6"/>
  <c r="E13" i="6"/>
  <c r="F13" i="6"/>
  <c r="G13" i="6"/>
  <c r="D13" i="6"/>
  <c r="B11" i="6"/>
  <c r="D41" i="16" l="1"/>
  <c r="D43" i="16"/>
  <c r="D19" i="7"/>
  <c r="D42" i="16" s="1"/>
  <c r="D20" i="7"/>
  <c r="D44" i="16" s="1"/>
  <c r="G41" i="16"/>
  <c r="G43" i="16"/>
  <c r="G19" i="7"/>
  <c r="G20" i="7"/>
  <c r="E41" i="16"/>
  <c r="E43" i="16"/>
  <c r="E19" i="7"/>
  <c r="E20" i="7"/>
  <c r="F41" i="16"/>
  <c r="F43" i="16"/>
  <c r="F19" i="7"/>
  <c r="F20" i="7"/>
  <c r="E43" i="9"/>
  <c r="D34" i="16" s="1"/>
  <c r="F226" i="13"/>
  <c r="E226" i="13"/>
  <c r="F74" i="3"/>
  <c r="G62" i="3"/>
  <c r="D18" i="1"/>
  <c r="I39" i="14" s="1"/>
  <c r="D26" i="1"/>
  <c r="C35" i="12" s="1"/>
  <c r="H31" i="5" l="1" a="1"/>
  <c r="F76" i="3"/>
  <c r="G226" i="13"/>
  <c r="G15" i="7"/>
  <c r="H74" i="3"/>
  <c r="H82" i="3" s="1"/>
  <c r="F15" i="7"/>
  <c r="G74" i="3"/>
  <c r="F82" i="3"/>
  <c r="E94" i="4"/>
  <c r="E78" i="9"/>
  <c r="E15" i="7"/>
  <c r="H41" i="4"/>
  <c r="H67" i="4"/>
  <c r="H72" i="4"/>
  <c r="H73" i="4"/>
  <c r="E41" i="4"/>
  <c r="E67" i="4"/>
  <c r="E72" i="4"/>
  <c r="E73" i="4"/>
  <c r="E77" i="4"/>
  <c r="E86" i="4"/>
  <c r="C37" i="12"/>
  <c r="D32" i="12" l="1"/>
  <c r="E32" i="12" s="1"/>
  <c r="D31" i="12"/>
  <c r="E31" i="12" s="1"/>
  <c r="E33" i="12" s="1"/>
  <c r="H230" i="13"/>
  <c r="H236" i="13" s="1"/>
  <c r="H244" i="13" s="1"/>
  <c r="H31" i="5"/>
  <c r="H28" i="5" s="1"/>
  <c r="J31" i="5"/>
  <c r="Q31" i="5"/>
  <c r="P31" i="5"/>
  <c r="O31" i="5"/>
  <c r="N31" i="5"/>
  <c r="I31" i="5"/>
  <c r="M31" i="5"/>
  <c r="L31" i="5"/>
  <c r="K31" i="5"/>
  <c r="G22" i="5"/>
  <c r="H22" i="5"/>
  <c r="I22" i="5" s="1"/>
  <c r="J22" i="5" s="1"/>
  <c r="K22" i="5" s="1"/>
  <c r="L22" i="5" s="1"/>
  <c r="M22" i="5" s="1"/>
  <c r="N22" i="5" s="1"/>
  <c r="O22" i="5" s="1"/>
  <c r="P22" i="5" s="1"/>
  <c r="Q22" i="5" s="1"/>
  <c r="F19" i="5"/>
  <c r="F22" i="5"/>
  <c r="D22" i="5"/>
  <c r="E19" i="5"/>
  <c r="E22" i="5"/>
  <c r="G82" i="3"/>
  <c r="F43" i="3"/>
  <c r="F81" i="3"/>
  <c r="H76" i="3"/>
  <c r="H81" i="3"/>
  <c r="G43" i="3"/>
  <c r="G81" i="3"/>
  <c r="G76" i="3"/>
  <c r="D19" i="5"/>
  <c r="G19" i="5"/>
  <c r="H19" i="5" s="1"/>
  <c r="I19" i="5" s="1"/>
  <c r="J19" i="5" s="1"/>
  <c r="K19" i="5" s="1"/>
  <c r="L19" i="5" s="1"/>
  <c r="M19" i="5" s="1"/>
  <c r="N19" i="5" s="1"/>
  <c r="O19" i="5" s="1"/>
  <c r="P19" i="5" s="1"/>
  <c r="Q19" i="5" s="1"/>
  <c r="H271" i="13" l="1"/>
  <c r="I28" i="5"/>
  <c r="J28" i="5" s="1"/>
  <c r="K28" i="5" s="1"/>
  <c r="L28" i="5" s="1"/>
  <c r="M28" i="5" s="1"/>
  <c r="N28" i="5" s="1"/>
  <c r="O28" i="5" s="1"/>
  <c r="P28" i="5" s="1"/>
  <c r="Q28" i="5" s="1"/>
  <c r="G77" i="4"/>
  <c r="G79" i="4"/>
  <c r="G42" i="4"/>
  <c r="G46" i="4"/>
  <c r="G43" i="4"/>
  <c r="G51" i="4"/>
  <c r="G44" i="4"/>
  <c r="G49" i="4"/>
  <c r="G45" i="4"/>
  <c r="F86" i="4"/>
  <c r="F43" i="4"/>
  <c r="F79" i="4"/>
  <c r="F44" i="4"/>
  <c r="F45" i="4"/>
  <c r="F51" i="4"/>
  <c r="F42" i="4"/>
  <c r="F46" i="4"/>
  <c r="F49" i="4"/>
  <c r="H35" i="5"/>
  <c r="I35" i="5" s="1"/>
  <c r="J35" i="5" s="1"/>
  <c r="K35" i="5" s="1"/>
  <c r="L35" i="5" s="1"/>
  <c r="M35" i="5" s="1"/>
  <c r="N35" i="5" s="1"/>
  <c r="O35" i="5" s="1"/>
  <c r="P35" i="5" s="1"/>
  <c r="Q35" i="5" s="1"/>
  <c r="H33" i="5"/>
  <c r="I33" i="5" s="1"/>
  <c r="F94" i="4"/>
  <c r="F87" i="4"/>
  <c r="F67" i="4"/>
  <c r="F52" i="4"/>
  <c r="F80" i="4"/>
  <c r="G77" i="3"/>
  <c r="G88" i="4"/>
  <c r="G72" i="4"/>
  <c r="G87" i="4"/>
  <c r="G92" i="4"/>
  <c r="G80" i="4"/>
  <c r="G52" i="4"/>
  <c r="G73" i="4"/>
  <c r="G91" i="4"/>
  <c r="H77" i="3"/>
  <c r="G67" i="4"/>
  <c r="G41" i="4"/>
  <c r="H94" i="4"/>
  <c r="G48" i="4"/>
  <c r="G90" i="4"/>
  <c r="G82" i="4"/>
  <c r="G78" i="4"/>
  <c r="G94" i="4"/>
  <c r="G89" i="4"/>
  <c r="G81" i="4"/>
  <c r="G50" i="4"/>
  <c r="G86" i="4"/>
  <c r="I34" i="5"/>
  <c r="E41" i="14"/>
  <c r="D16" i="5"/>
  <c r="F41" i="4"/>
  <c r="F50" i="4"/>
  <c r="F77" i="4"/>
  <c r="F91" i="4"/>
  <c r="F92" i="4"/>
  <c r="F73" i="4"/>
  <c r="F48" i="4"/>
  <c r="F90" i="4"/>
  <c r="F82" i="4"/>
  <c r="F78" i="4"/>
  <c r="F72" i="4"/>
  <c r="F88" i="4"/>
  <c r="F89" i="4"/>
  <c r="F81" i="4"/>
  <c r="G48" i="2"/>
  <c r="G54" i="2"/>
  <c r="F55" i="2"/>
  <c r="F54" i="2"/>
  <c r="F77" i="3"/>
  <c r="E55" i="2"/>
  <c r="D11" i="6"/>
  <c r="F43" i="9"/>
  <c r="E34" i="16" s="1"/>
  <c r="H35" i="13"/>
  <c r="E14" i="12"/>
  <c r="E16" i="5"/>
  <c r="G11" i="8"/>
  <c r="H39" i="14"/>
  <c r="J39" i="14" s="1"/>
  <c r="K39" i="14" s="1"/>
  <c r="L39" i="14" s="1"/>
  <c r="M39" i="14" s="1"/>
  <c r="N39" i="14" s="1"/>
  <c r="O39" i="14" s="1"/>
  <c r="P39" i="14" s="1"/>
  <c r="Q39" i="14" s="1"/>
  <c r="R39" i="14" s="1"/>
  <c r="H60" i="14"/>
  <c r="I60" i="14" s="1"/>
  <c r="J60" i="14" s="1"/>
  <c r="K60" i="14" s="1"/>
  <c r="L60" i="14" s="1"/>
  <c r="M60" i="14" s="1"/>
  <c r="N60" i="14" s="1"/>
  <c r="O60" i="14" s="1"/>
  <c r="P60" i="14" s="1"/>
  <c r="Q60" i="14" s="1"/>
  <c r="R60" i="14" s="1"/>
  <c r="H41" i="14"/>
  <c r="I41" i="14" s="1"/>
  <c r="J41" i="14" s="1"/>
  <c r="K41" i="14" s="1"/>
  <c r="L41" i="14" s="1"/>
  <c r="M41" i="14" s="1"/>
  <c r="N41" i="14" s="1"/>
  <c r="O41" i="14" s="1"/>
  <c r="P41" i="14" s="1"/>
  <c r="Q41" i="14" s="1"/>
  <c r="R41" i="14" s="1"/>
  <c r="H54" i="14"/>
  <c r="I54" i="14" s="1"/>
  <c r="J54" i="14" s="1"/>
  <c r="K54" i="14" s="1"/>
  <c r="L54" i="14" s="1"/>
  <c r="M54" i="14" s="1"/>
  <c r="N54" i="14" s="1"/>
  <c r="O54" i="14" s="1"/>
  <c r="P54" i="14" s="1"/>
  <c r="Q54" i="14" s="1"/>
  <c r="R54" i="14" s="1"/>
  <c r="H52" i="14"/>
  <c r="I52" i="14" s="1"/>
  <c r="J52" i="14" s="1"/>
  <c r="K52" i="14" s="1"/>
  <c r="L52" i="14" s="1"/>
  <c r="M52" i="14" s="1"/>
  <c r="N52" i="14" s="1"/>
  <c r="O52" i="14" s="1"/>
  <c r="P52" i="14" s="1"/>
  <c r="Q52" i="14" s="1"/>
  <c r="R52" i="14" s="1"/>
  <c r="H14" i="14"/>
  <c r="I14" i="14" s="1"/>
  <c r="J14" i="14" s="1"/>
  <c r="K14" i="14" s="1"/>
  <c r="L14" i="14" s="1"/>
  <c r="M14" i="14" s="1"/>
  <c r="N14" i="14" s="1"/>
  <c r="O14" i="14" s="1"/>
  <c r="P14" i="14" s="1"/>
  <c r="Q14" i="14" s="1"/>
  <c r="R14" i="14" s="1"/>
  <c r="F11" i="8"/>
  <c r="G60" i="14"/>
  <c r="G39" i="14"/>
  <c r="G54" i="14"/>
  <c r="G52" i="14"/>
  <c r="G41" i="14"/>
  <c r="G14" i="14"/>
  <c r="G11" i="6"/>
  <c r="G17" i="4"/>
  <c r="G25" i="4"/>
  <c r="G19" i="4"/>
  <c r="G16" i="4"/>
  <c r="G18" i="4"/>
  <c r="G20" i="4"/>
  <c r="H22" i="4"/>
  <c r="H17" i="4"/>
  <c r="H18" i="4"/>
  <c r="H19" i="4"/>
  <c r="H20" i="4"/>
  <c r="H16" i="4"/>
  <c r="H25" i="4"/>
  <c r="F11" i="6"/>
  <c r="E11" i="6"/>
  <c r="F16" i="5"/>
  <c r="G13" i="2"/>
  <c r="G16" i="5"/>
  <c r="H11" i="4"/>
  <c r="F13" i="2"/>
  <c r="F18" i="7"/>
  <c r="F40" i="16" s="1"/>
  <c r="G22" i="4"/>
  <c r="H43" i="14"/>
  <c r="I43" i="14" s="1"/>
  <c r="J43" i="14" s="1"/>
  <c r="K43" i="14" s="1"/>
  <c r="L43" i="14" s="1"/>
  <c r="M43" i="14" s="1"/>
  <c r="N43" i="14" s="1"/>
  <c r="O43" i="14" s="1"/>
  <c r="P43" i="14" s="1"/>
  <c r="Q43" i="14" s="1"/>
  <c r="R43" i="14" s="1"/>
  <c r="H45" i="14"/>
  <c r="I45" i="14" s="1"/>
  <c r="J45" i="14" s="1"/>
  <c r="K45" i="14" s="1"/>
  <c r="L45" i="14" s="1"/>
  <c r="M45" i="14" s="1"/>
  <c r="N45" i="14" s="1"/>
  <c r="O45" i="14" s="1"/>
  <c r="P45" i="14" s="1"/>
  <c r="Q45" i="14" s="1"/>
  <c r="R45" i="14" s="1"/>
  <c r="H31" i="14"/>
  <c r="I31" i="14" s="1"/>
  <c r="J31" i="14" s="1"/>
  <c r="K31" i="14" s="1"/>
  <c r="L31" i="14" s="1"/>
  <c r="M31" i="14" s="1"/>
  <c r="N31" i="14" s="1"/>
  <c r="O31" i="14" s="1"/>
  <c r="P31" i="14" s="1"/>
  <c r="Q31" i="14" s="1"/>
  <c r="R31" i="14" s="1"/>
  <c r="H22" i="14"/>
  <c r="I22" i="14" s="1"/>
  <c r="J22" i="14" s="1"/>
  <c r="K22" i="14" s="1"/>
  <c r="L22" i="14" s="1"/>
  <c r="M22" i="14" s="1"/>
  <c r="N22" i="14" s="1"/>
  <c r="O22" i="14" s="1"/>
  <c r="P22" i="14" s="1"/>
  <c r="Q22" i="14" s="1"/>
  <c r="R22" i="14" s="1"/>
  <c r="H16" i="14"/>
  <c r="I16" i="14" s="1"/>
  <c r="J16" i="14" s="1"/>
  <c r="K16" i="14" s="1"/>
  <c r="L16" i="14" s="1"/>
  <c r="M16" i="14" s="1"/>
  <c r="N16" i="14" s="1"/>
  <c r="O16" i="14" s="1"/>
  <c r="P16" i="14" s="1"/>
  <c r="Q16" i="14" s="1"/>
  <c r="R16" i="14" s="1"/>
  <c r="H47" i="14"/>
  <c r="I47" i="14" s="1"/>
  <c r="J47" i="14" s="1"/>
  <c r="K47" i="14" s="1"/>
  <c r="L47" i="14" s="1"/>
  <c r="M47" i="14" s="1"/>
  <c r="N47" i="14" s="1"/>
  <c r="O47" i="14" s="1"/>
  <c r="P47" i="14" s="1"/>
  <c r="Q47" i="14" s="1"/>
  <c r="R47" i="14" s="1"/>
  <c r="H58" i="14"/>
  <c r="I58" i="14" s="1"/>
  <c r="J58" i="14" s="1"/>
  <c r="K58" i="14" s="1"/>
  <c r="L58" i="14" s="1"/>
  <c r="M58" i="14" s="1"/>
  <c r="N58" i="14" s="1"/>
  <c r="O58" i="14" s="1"/>
  <c r="P58" i="14" s="1"/>
  <c r="Q58" i="14" s="1"/>
  <c r="R58" i="14" s="1"/>
  <c r="H50" i="14"/>
  <c r="I50" i="14" s="1"/>
  <c r="J50" i="14" s="1"/>
  <c r="K50" i="14" s="1"/>
  <c r="L50" i="14" s="1"/>
  <c r="M50" i="14" s="1"/>
  <c r="N50" i="14" s="1"/>
  <c r="O50" i="14" s="1"/>
  <c r="P50" i="14" s="1"/>
  <c r="Q50" i="14" s="1"/>
  <c r="R50" i="14" s="1"/>
  <c r="H27" i="14"/>
  <c r="I27" i="14" s="1"/>
  <c r="J27" i="14" s="1"/>
  <c r="K27" i="14" s="1"/>
  <c r="L27" i="14" s="1"/>
  <c r="M27" i="14" s="1"/>
  <c r="N27" i="14" s="1"/>
  <c r="O27" i="14" s="1"/>
  <c r="P27" i="14" s="1"/>
  <c r="Q27" i="14" s="1"/>
  <c r="R27" i="14" s="1"/>
  <c r="H29" i="14"/>
  <c r="I29" i="14" s="1"/>
  <c r="J29" i="14" s="1"/>
  <c r="K29" i="14" s="1"/>
  <c r="L29" i="14" s="1"/>
  <c r="M29" i="14" s="1"/>
  <c r="N29" i="14" s="1"/>
  <c r="O29" i="14" s="1"/>
  <c r="P29" i="14" s="1"/>
  <c r="Q29" i="14" s="1"/>
  <c r="R29" i="14" s="1"/>
  <c r="H18" i="14"/>
  <c r="I18" i="14" s="1"/>
  <c r="J18" i="14" s="1"/>
  <c r="K18" i="14" s="1"/>
  <c r="L18" i="14" s="1"/>
  <c r="M18" i="14" s="1"/>
  <c r="N18" i="14" s="1"/>
  <c r="O18" i="14" s="1"/>
  <c r="P18" i="14" s="1"/>
  <c r="Q18" i="14" s="1"/>
  <c r="R18" i="14" s="1"/>
  <c r="H56" i="14"/>
  <c r="I56" i="14" s="1"/>
  <c r="J56" i="14" s="1"/>
  <c r="K56" i="14" s="1"/>
  <c r="L56" i="14" s="1"/>
  <c r="M56" i="14" s="1"/>
  <c r="N56" i="14" s="1"/>
  <c r="O56" i="14" s="1"/>
  <c r="P56" i="14" s="1"/>
  <c r="Q56" i="14" s="1"/>
  <c r="R56" i="14" s="1"/>
  <c r="E16" i="4"/>
  <c r="G18" i="7"/>
  <c r="G58" i="14"/>
  <c r="G27" i="14"/>
  <c r="G18" i="14"/>
  <c r="G50" i="14"/>
  <c r="G45" i="14"/>
  <c r="G22" i="14"/>
  <c r="G47" i="14"/>
  <c r="G29" i="14"/>
  <c r="G31" i="14"/>
  <c r="G16" i="14"/>
  <c r="G43" i="14"/>
  <c r="G56" i="14"/>
  <c r="G11" i="4"/>
  <c r="J34" i="5" l="1"/>
  <c r="D23" i="6"/>
  <c r="D12" i="16" s="1"/>
  <c r="G14" i="6"/>
  <c r="H14" i="6" s="1"/>
  <c r="I14" i="6" s="1"/>
  <c r="J14" i="6" s="1"/>
  <c r="K14" i="6" s="1"/>
  <c r="L14" i="6" s="1"/>
  <c r="M14" i="6" s="1"/>
  <c r="N14" i="6" s="1"/>
  <c r="O14" i="6" s="1"/>
  <c r="P14" i="6" s="1"/>
  <c r="Q14" i="6" s="1"/>
  <c r="D13" i="2"/>
  <c r="D49" i="2" s="1"/>
  <c r="E22" i="4"/>
  <c r="E16" i="14"/>
  <c r="E14" i="14"/>
  <c r="D18" i="7"/>
  <c r="D40" i="16" s="1"/>
  <c r="E43" i="14"/>
  <c r="E18" i="14"/>
  <c r="E54" i="14"/>
  <c r="E29" i="14"/>
  <c r="E58" i="14"/>
  <c r="E18" i="4"/>
  <c r="E11" i="4"/>
  <c r="E25" i="4"/>
  <c r="D11" i="8"/>
  <c r="D20" i="16" s="1"/>
  <c r="E52" i="14"/>
  <c r="E45" i="14"/>
  <c r="E31" i="14"/>
  <c r="E27" i="14"/>
  <c r="E19" i="4"/>
  <c r="E60" i="14"/>
  <c r="E22" i="14"/>
  <c r="E56" i="14"/>
  <c r="E50" i="14"/>
  <c r="E47" i="14"/>
  <c r="E20" i="4"/>
  <c r="E17" i="4"/>
  <c r="E39" i="14"/>
  <c r="D48" i="2"/>
  <c r="D54" i="2"/>
  <c r="D17" i="6"/>
  <c r="F78" i="9"/>
  <c r="D14" i="6"/>
  <c r="D29" i="6"/>
  <c r="D26" i="6"/>
  <c r="G13" i="4"/>
  <c r="F49" i="2"/>
  <c r="H13" i="4"/>
  <c r="G49" i="2"/>
  <c r="F17" i="4"/>
  <c r="E48" i="2"/>
  <c r="F43" i="14"/>
  <c r="E13" i="4"/>
  <c r="E54" i="2"/>
  <c r="F48" i="2"/>
  <c r="F25" i="4"/>
  <c r="G29" i="6"/>
  <c r="H29" i="6" s="1"/>
  <c r="I29" i="6" s="1"/>
  <c r="J29" i="6" s="1"/>
  <c r="K29" i="6" s="1"/>
  <c r="L29" i="6" s="1"/>
  <c r="M29" i="6" s="1"/>
  <c r="N29" i="6" s="1"/>
  <c r="O29" i="6" s="1"/>
  <c r="P29" i="6" s="1"/>
  <c r="Q29" i="6" s="1"/>
  <c r="E18" i="7"/>
  <c r="E40" i="16" s="1"/>
  <c r="F56" i="14"/>
  <c r="E13" i="2"/>
  <c r="F29" i="14"/>
  <c r="F20" i="4"/>
  <c r="G13" i="8"/>
  <c r="G11" i="18" s="1"/>
  <c r="G45" i="16"/>
  <c r="F45" i="16"/>
  <c r="F13" i="8"/>
  <c r="F11" i="18" s="1"/>
  <c r="F22" i="4"/>
  <c r="F18" i="14"/>
  <c r="F31" i="14"/>
  <c r="G17" i="6"/>
  <c r="H17" i="6" s="1"/>
  <c r="I17" i="6" s="1"/>
  <c r="J17" i="6" s="1"/>
  <c r="K17" i="6" s="1"/>
  <c r="L17" i="6" s="1"/>
  <c r="M17" i="6" s="1"/>
  <c r="N17" i="6" s="1"/>
  <c r="O17" i="6" s="1"/>
  <c r="P17" i="6" s="1"/>
  <c r="Q17" i="6" s="1"/>
  <c r="G26" i="6"/>
  <c r="H26" i="6" s="1"/>
  <c r="I26" i="6" s="1"/>
  <c r="J26" i="6" s="1"/>
  <c r="K26" i="6" s="1"/>
  <c r="L26" i="6" s="1"/>
  <c r="M26" i="6" s="1"/>
  <c r="N26" i="6" s="1"/>
  <c r="O26" i="6" s="1"/>
  <c r="P26" i="6" s="1"/>
  <c r="Q26" i="6" s="1"/>
  <c r="G23" i="6"/>
  <c r="G12" i="16" s="1"/>
  <c r="F17" i="6"/>
  <c r="F23" i="6"/>
  <c r="F12" i="16" s="1"/>
  <c r="E14" i="6"/>
  <c r="E23" i="6"/>
  <c r="E12" i="16" s="1"/>
  <c r="G40" i="16"/>
  <c r="F16" i="4"/>
  <c r="E11" i="8"/>
  <c r="F39" i="14"/>
  <c r="F60" i="14"/>
  <c r="F41" i="14"/>
  <c r="F54" i="14"/>
  <c r="F52" i="14"/>
  <c r="F14" i="14"/>
  <c r="G46" i="16"/>
  <c r="E26" i="6"/>
  <c r="G24" i="2"/>
  <c r="H24" i="4" s="1"/>
  <c r="F14" i="6"/>
  <c r="F44" i="16"/>
  <c r="F29" i="6"/>
  <c r="F11" i="4"/>
  <c r="F47" i="14"/>
  <c r="F27" i="14"/>
  <c r="F16" i="14"/>
  <c r="F50" i="14"/>
  <c r="F19" i="4"/>
  <c r="F45" i="14"/>
  <c r="F22" i="14"/>
  <c r="F58" i="14"/>
  <c r="F18" i="4"/>
  <c r="F14" i="12"/>
  <c r="E29" i="6"/>
  <c r="E17" i="6"/>
  <c r="F26" i="6"/>
  <c r="F24" i="2"/>
  <c r="D24" i="2"/>
  <c r="D50" i="2" s="1"/>
  <c r="K34" i="5" l="1"/>
  <c r="D13" i="8"/>
  <c r="D11" i="18" s="1"/>
  <c r="D12" i="18" s="1"/>
  <c r="D45" i="16"/>
  <c r="G28" i="2"/>
  <c r="G34" i="2" s="1"/>
  <c r="I230" i="13"/>
  <c r="I236" i="13" s="1"/>
  <c r="H226" i="13"/>
  <c r="I15" i="9" s="1"/>
  <c r="F50" i="2"/>
  <c r="G50" i="2"/>
  <c r="F13" i="4"/>
  <c r="F15" i="18"/>
  <c r="G12" i="18"/>
  <c r="G15" i="18"/>
  <c r="E24" i="2"/>
  <c r="E28" i="2" s="1"/>
  <c r="G43" i="9"/>
  <c r="F20" i="16" s="1"/>
  <c r="G22" i="8"/>
  <c r="G27" i="8" s="1"/>
  <c r="G13" i="16" s="1"/>
  <c r="F22" i="8"/>
  <c r="F27" i="8" s="1"/>
  <c r="E20" i="16"/>
  <c r="E45" i="16"/>
  <c r="E13" i="8"/>
  <c r="E11" i="18" s="1"/>
  <c r="F12" i="18" s="1"/>
  <c r="F46" i="16"/>
  <c r="F42" i="16"/>
  <c r="G24" i="4"/>
  <c r="E44" i="16"/>
  <c r="F28" i="2"/>
  <c r="E24" i="4"/>
  <c r="D28" i="2"/>
  <c r="D51" i="2" s="1"/>
  <c r="E42" i="16"/>
  <c r="J33" i="5"/>
  <c r="I244" i="13" l="1"/>
  <c r="I271" i="13" s="1"/>
  <c r="I17" i="9"/>
  <c r="L34" i="5"/>
  <c r="H26" i="4"/>
  <c r="D15" i="18"/>
  <c r="D16" i="18" s="1"/>
  <c r="G51" i="2"/>
  <c r="D22" i="8"/>
  <c r="D27" i="8" s="1"/>
  <c r="D13" i="16" s="1"/>
  <c r="F24" i="4"/>
  <c r="D17" i="18"/>
  <c r="I35" i="13"/>
  <c r="I42" i="13" s="1"/>
  <c r="E51" i="2"/>
  <c r="E50" i="2"/>
  <c r="F51" i="2"/>
  <c r="F13" i="16"/>
  <c r="F21" i="18"/>
  <c r="F17" i="18"/>
  <c r="E15" i="18"/>
  <c r="F16" i="18" s="1"/>
  <c r="E12" i="18"/>
  <c r="G31" i="8"/>
  <c r="G24" i="18" s="1"/>
  <c r="G21" i="18"/>
  <c r="G16" i="18"/>
  <c r="G17" i="18"/>
  <c r="F31" i="8"/>
  <c r="F24" i="18" s="1"/>
  <c r="E22" i="8"/>
  <c r="E27" i="8" s="1"/>
  <c r="G78" i="9"/>
  <c r="F34" i="16"/>
  <c r="F22" i="7"/>
  <c r="F31" i="16" s="1"/>
  <c r="G40" i="2"/>
  <c r="D34" i="2"/>
  <c r="F26" i="4"/>
  <c r="G26" i="4"/>
  <c r="D22" i="7"/>
  <c r="D31" i="16" s="1"/>
  <c r="F34" i="2"/>
  <c r="E34" i="2"/>
  <c r="E22" i="7"/>
  <c r="E31" i="16" s="1"/>
  <c r="E26" i="4"/>
  <c r="G44" i="16"/>
  <c r="G42" i="16"/>
  <c r="G22" i="7"/>
  <c r="G31" i="16" s="1"/>
  <c r="K33" i="5"/>
  <c r="I51" i="13" l="1"/>
  <c r="H32" i="4"/>
  <c r="M34" i="5"/>
  <c r="G16" i="16"/>
  <c r="I226" i="13"/>
  <c r="J15" i="9" s="1"/>
  <c r="D31" i="8"/>
  <c r="D14" i="16" s="1"/>
  <c r="D21" i="18"/>
  <c r="D22" i="18" s="1"/>
  <c r="J230" i="13"/>
  <c r="J236" i="13" s="1"/>
  <c r="J244" i="13" s="1"/>
  <c r="J271" i="13" s="1"/>
  <c r="G11" i="12"/>
  <c r="G22" i="18"/>
  <c r="G25" i="18"/>
  <c r="F14" i="16"/>
  <c r="G14" i="16"/>
  <c r="E13" i="16"/>
  <c r="E21" i="18"/>
  <c r="G37" i="8"/>
  <c r="G43" i="8" s="1"/>
  <c r="E17" i="18"/>
  <c r="E16" i="18"/>
  <c r="F37" i="8"/>
  <c r="F43" i="8" s="1"/>
  <c r="F28" i="18" s="1"/>
  <c r="F11" i="12"/>
  <c r="H43" i="9"/>
  <c r="H78" i="9" s="1"/>
  <c r="E31" i="8"/>
  <c r="E37" i="8" s="1"/>
  <c r="E43" i="8" s="1"/>
  <c r="E28" i="18" s="1"/>
  <c r="G14" i="12"/>
  <c r="G44" i="2"/>
  <c r="D40" i="2"/>
  <c r="D34" i="6" s="1"/>
  <c r="F40" i="2"/>
  <c r="G32" i="4" s="1"/>
  <c r="E40" i="2"/>
  <c r="L33" i="5"/>
  <c r="G12" i="12" l="1"/>
  <c r="E34" i="6"/>
  <c r="F32" i="4"/>
  <c r="N34" i="5"/>
  <c r="E22" i="18"/>
  <c r="D37" i="8"/>
  <c r="D43" i="8" s="1"/>
  <c r="D21" i="16" s="1"/>
  <c r="D11" i="12"/>
  <c r="D12" i="12" s="1"/>
  <c r="D24" i="18"/>
  <c r="D16" i="16"/>
  <c r="J35" i="13"/>
  <c r="J42" i="13" s="1"/>
  <c r="F29" i="18"/>
  <c r="H34" i="4"/>
  <c r="G52" i="2"/>
  <c r="G56" i="2"/>
  <c r="G53" i="2"/>
  <c r="G20" i="16"/>
  <c r="G34" i="16"/>
  <c r="J17" i="9"/>
  <c r="F22" i="18"/>
  <c r="G13" i="10"/>
  <c r="G38" i="10" s="1"/>
  <c r="G28" i="18"/>
  <c r="G29" i="18" s="1"/>
  <c r="G22" i="16"/>
  <c r="G47" i="8"/>
  <c r="G15" i="16"/>
  <c r="E11" i="12"/>
  <c r="E12" i="12" s="1"/>
  <c r="E17" i="12" s="1"/>
  <c r="E24" i="18"/>
  <c r="G21" i="16"/>
  <c r="F13" i="10"/>
  <c r="F38" i="10" s="1"/>
  <c r="F21" i="16"/>
  <c r="F47" i="8"/>
  <c r="F15" i="16"/>
  <c r="F22" i="16"/>
  <c r="E21" i="16"/>
  <c r="E13" i="10"/>
  <c r="E14" i="16"/>
  <c r="G17" i="12"/>
  <c r="E47" i="8"/>
  <c r="E15" i="16"/>
  <c r="E22" i="16"/>
  <c r="D44" i="2"/>
  <c r="F44" i="2"/>
  <c r="F34" i="6"/>
  <c r="E44" i="2"/>
  <c r="E16" i="16"/>
  <c r="M33" i="5"/>
  <c r="J51" i="13" l="1"/>
  <c r="O34" i="5"/>
  <c r="D47" i="8"/>
  <c r="D13" i="10"/>
  <c r="D38" i="10" s="1"/>
  <c r="D15" i="16"/>
  <c r="D28" i="18"/>
  <c r="E29" i="18" s="1"/>
  <c r="D22" i="16"/>
  <c r="D26" i="16"/>
  <c r="D52" i="8"/>
  <c r="D31" i="18"/>
  <c r="D33" i="18" s="1"/>
  <c r="D17" i="16"/>
  <c r="D47" i="16"/>
  <c r="D24" i="16"/>
  <c r="D25" i="16"/>
  <c r="D66" i="10"/>
  <c r="D23" i="16"/>
  <c r="D53" i="2"/>
  <c r="D56" i="2"/>
  <c r="D52" i="2"/>
  <c r="K230" i="13"/>
  <c r="K236" i="13" s="1"/>
  <c r="F31" i="18"/>
  <c r="F33" i="18" s="1"/>
  <c r="F52" i="8"/>
  <c r="G34" i="4"/>
  <c r="F52" i="2"/>
  <c r="F56" i="2"/>
  <c r="F53" i="2"/>
  <c r="E34" i="4"/>
  <c r="E31" i="18"/>
  <c r="E52" i="8"/>
  <c r="F34" i="4"/>
  <c r="E52" i="2"/>
  <c r="E56" i="2"/>
  <c r="E53" i="2"/>
  <c r="G52" i="8"/>
  <c r="H52" i="8" s="1"/>
  <c r="I52" i="8" s="1"/>
  <c r="J52" i="8" s="1"/>
  <c r="K52" i="8" s="1"/>
  <c r="L52" i="8" s="1"/>
  <c r="M52" i="8" s="1"/>
  <c r="N52" i="8" s="1"/>
  <c r="O52" i="8" s="1"/>
  <c r="P52" i="8" s="1"/>
  <c r="Q52" i="8" s="1"/>
  <c r="E25" i="18"/>
  <c r="F25" i="18"/>
  <c r="G31" i="18"/>
  <c r="G24" i="16"/>
  <c r="G23" i="16"/>
  <c r="G66" i="10"/>
  <c r="G71" i="10" s="1"/>
  <c r="G47" i="16"/>
  <c r="G17" i="16"/>
  <c r="F25" i="16"/>
  <c r="F17" i="16"/>
  <c r="F26" i="16"/>
  <c r="F47" i="16"/>
  <c r="F24" i="16"/>
  <c r="F23" i="16"/>
  <c r="F66" i="10"/>
  <c r="F71" i="10" s="1"/>
  <c r="E38" i="10"/>
  <c r="E66" i="10"/>
  <c r="E71" i="10" s="1"/>
  <c r="J226" i="13"/>
  <c r="K15" i="9" s="1"/>
  <c r="E17" i="16"/>
  <c r="E26" i="16"/>
  <c r="E24" i="16"/>
  <c r="E25" i="16"/>
  <c r="E23" i="16"/>
  <c r="E47" i="16"/>
  <c r="F16" i="16"/>
  <c r="F12" i="12"/>
  <c r="F17" i="12" s="1"/>
  <c r="H35" i="8"/>
  <c r="H26" i="18" s="1"/>
  <c r="N33" i="5"/>
  <c r="K244" i="13" l="1"/>
  <c r="K271" i="13" s="1"/>
  <c r="P34" i="5"/>
  <c r="D71" i="10"/>
  <c r="D73" i="10" s="1"/>
  <c r="D75" i="10" s="1"/>
  <c r="D77" i="10" s="1"/>
  <c r="E32" i="18"/>
  <c r="I34" i="6"/>
  <c r="K17" i="9"/>
  <c r="E33" i="18"/>
  <c r="F32" i="18"/>
  <c r="G33" i="18"/>
  <c r="G32" i="18"/>
  <c r="H16" i="16"/>
  <c r="H69" i="10"/>
  <c r="H16" i="10"/>
  <c r="O33" i="5"/>
  <c r="Q34" i="5" l="1"/>
  <c r="H30" i="5" s="1" a="1"/>
  <c r="E74" i="10"/>
  <c r="L230" i="13"/>
  <c r="L236" i="13" s="1"/>
  <c r="K35" i="13"/>
  <c r="K42" i="13" s="1"/>
  <c r="I16" i="16"/>
  <c r="P33" i="5"/>
  <c r="K51" i="13" l="1"/>
  <c r="Q30" i="5"/>
  <c r="I30" i="5"/>
  <c r="H30" i="5"/>
  <c r="H27" i="5" s="1"/>
  <c r="P30" i="5"/>
  <c r="O30" i="5"/>
  <c r="N30" i="5"/>
  <c r="M30" i="5"/>
  <c r="L30" i="5"/>
  <c r="K30" i="5"/>
  <c r="J30" i="5"/>
  <c r="K34" i="6"/>
  <c r="J16" i="16"/>
  <c r="L244" i="13"/>
  <c r="L271" i="13" s="1"/>
  <c r="Q33" i="5"/>
  <c r="I27" i="5" l="1"/>
  <c r="H29" i="5"/>
  <c r="K226" i="13"/>
  <c r="L15" i="9" s="1"/>
  <c r="M230" i="13"/>
  <c r="M236" i="13" s="1"/>
  <c r="K16" i="16"/>
  <c r="L17" i="9"/>
  <c r="M244" i="13" l="1"/>
  <c r="M271" i="13" s="1"/>
  <c r="H15" i="5"/>
  <c r="H12" i="5"/>
  <c r="H11" i="5" s="1"/>
  <c r="H24" i="5" s="1"/>
  <c r="H41" i="8" s="1"/>
  <c r="J27" i="5"/>
  <c r="I29" i="5"/>
  <c r="M34" i="6"/>
  <c r="L16" i="16"/>
  <c r="I32" i="14" l="1"/>
  <c r="I39" i="9" s="1"/>
  <c r="I19" i="14"/>
  <c r="I23" i="9" s="1"/>
  <c r="I23" i="14"/>
  <c r="I25" i="9" s="1"/>
  <c r="I15" i="5"/>
  <c r="I12" i="5"/>
  <c r="I11" i="5" s="1"/>
  <c r="I24" i="5" s="1"/>
  <c r="I41" i="8" s="1"/>
  <c r="K27" i="5"/>
  <c r="J29" i="5"/>
  <c r="M16" i="16"/>
  <c r="M17" i="9"/>
  <c r="J32" i="14" l="1"/>
  <c r="J39" i="9" s="1"/>
  <c r="J19" i="14"/>
  <c r="J23" i="9" s="1"/>
  <c r="J23" i="14"/>
  <c r="J25" i="9" s="1"/>
  <c r="J12" i="5"/>
  <c r="J11" i="5" s="1"/>
  <c r="J24" i="5" s="1"/>
  <c r="J41" i="8" s="1"/>
  <c r="J15" i="5"/>
  <c r="L27" i="5"/>
  <c r="K29" i="5"/>
  <c r="L226" i="13"/>
  <c r="M15" i="9" s="1"/>
  <c r="O34" i="6"/>
  <c r="N16" i="16"/>
  <c r="K32" i="14" l="1"/>
  <c r="K39" i="9" s="1"/>
  <c r="K19" i="14"/>
  <c r="K23" i="9" s="1"/>
  <c r="K23" i="14"/>
  <c r="K25" i="9" s="1"/>
  <c r="K15" i="5"/>
  <c r="K12" i="5"/>
  <c r="K11" i="5" s="1"/>
  <c r="K24" i="5" s="1"/>
  <c r="K41" i="8" s="1"/>
  <c r="M27" i="5"/>
  <c r="L29" i="5"/>
  <c r="N230" i="13"/>
  <c r="N236" i="13" s="1"/>
  <c r="N244" i="13" s="1"/>
  <c r="N271" i="13" s="1"/>
  <c r="O16" i="16"/>
  <c r="L32" i="14" l="1"/>
  <c r="L39" i="9" s="1"/>
  <c r="L19" i="14"/>
  <c r="L23" i="9" s="1"/>
  <c r="L23" i="14"/>
  <c r="L25" i="9" s="1"/>
  <c r="L15" i="5"/>
  <c r="L12" i="5"/>
  <c r="L11" i="5" s="1"/>
  <c r="L24" i="5" s="1"/>
  <c r="L41" i="8" s="1"/>
  <c r="N27" i="5"/>
  <c r="M29" i="5"/>
  <c r="O230" i="13"/>
  <c r="O236" i="13" s="1"/>
  <c r="Q34" i="6"/>
  <c r="Q16" i="16" s="1"/>
  <c r="P16" i="16"/>
  <c r="N17" i="9"/>
  <c r="M226" i="13"/>
  <c r="N15" i="9" s="1"/>
  <c r="O244" i="13" l="1"/>
  <c r="O271" i="13" s="1"/>
  <c r="M19" i="14"/>
  <c r="M23" i="9" s="1"/>
  <c r="M32" i="14"/>
  <c r="M39" i="9" s="1"/>
  <c r="M23" i="14"/>
  <c r="M25" i="9" s="1"/>
  <c r="M15" i="5"/>
  <c r="M12" i="5"/>
  <c r="M11" i="5" s="1"/>
  <c r="M24" i="5" s="1"/>
  <c r="M41" i="8" s="1"/>
  <c r="O27" i="5"/>
  <c r="N29" i="5"/>
  <c r="N32" i="14" l="1"/>
  <c r="N39" i="9" s="1"/>
  <c r="N19" i="14"/>
  <c r="N23" i="9" s="1"/>
  <c r="N23" i="14"/>
  <c r="N25" i="9" s="1"/>
  <c r="N12" i="5"/>
  <c r="N11" i="5" s="1"/>
  <c r="N24" i="5" s="1"/>
  <c r="N41" i="8" s="1"/>
  <c r="N15" i="5"/>
  <c r="P27" i="5"/>
  <c r="O29" i="5"/>
  <c r="O32" i="14" l="1"/>
  <c r="O39" i="9" s="1"/>
  <c r="O19" i="14"/>
  <c r="O23" i="9" s="1"/>
  <c r="O23" i="14"/>
  <c r="O25" i="9" s="1"/>
  <c r="O15" i="5"/>
  <c r="O12" i="5"/>
  <c r="O11" i="5" s="1"/>
  <c r="O24" i="5" s="1"/>
  <c r="O41" i="8" s="1"/>
  <c r="Q27" i="5"/>
  <c r="Q29" i="5" s="1"/>
  <c r="P29" i="5"/>
  <c r="P230" i="13"/>
  <c r="P236" i="13" s="1"/>
  <c r="O17" i="9"/>
  <c r="P32" i="14" l="1"/>
  <c r="P39" i="9" s="1"/>
  <c r="P19" i="14"/>
  <c r="P23" i="9" s="1"/>
  <c r="P23" i="14"/>
  <c r="P25" i="9" s="1"/>
  <c r="Q15" i="5"/>
  <c r="Q12" i="5"/>
  <c r="Q11" i="5" s="1"/>
  <c r="Q24" i="5" s="1"/>
  <c r="Q41" i="8" s="1"/>
  <c r="P15" i="5"/>
  <c r="P12" i="5"/>
  <c r="P11" i="5" s="1"/>
  <c r="P24" i="5" s="1"/>
  <c r="P41" i="8" s="1"/>
  <c r="N226" i="13"/>
  <c r="O15" i="9" s="1"/>
  <c r="P244" i="13"/>
  <c r="P271" i="13" s="1"/>
  <c r="H54" i="8"/>
  <c r="G25" i="16"/>
  <c r="G26" i="16"/>
  <c r="Q32" i="14" l="1"/>
  <c r="Q39" i="9" s="1"/>
  <c r="Q19" i="14"/>
  <c r="Q23" i="9" s="1"/>
  <c r="Q23" i="14"/>
  <c r="Q25" i="9" s="1"/>
  <c r="R19" i="14"/>
  <c r="R23" i="9" s="1"/>
  <c r="R32" i="14"/>
  <c r="R39" i="9" s="1"/>
  <c r="R23" i="14"/>
  <c r="R25" i="9" s="1"/>
  <c r="I54" i="8"/>
  <c r="P17" i="9" l="1"/>
  <c r="J54" i="8"/>
  <c r="Q230" i="13" l="1"/>
  <c r="Q236" i="13" s="1"/>
  <c r="Q244" i="13" s="1"/>
  <c r="Q271" i="13" s="1"/>
  <c r="O226" i="13"/>
  <c r="P15" i="9" s="1"/>
  <c r="K54" i="8"/>
  <c r="L54" i="8" l="1"/>
  <c r="Q17" i="9" l="1"/>
  <c r="M54" i="8"/>
  <c r="P226" i="13" l="1"/>
  <c r="Q15" i="9" s="1"/>
  <c r="N54" i="8"/>
  <c r="O54" i="8" l="1"/>
  <c r="Q226" i="13" l="1"/>
  <c r="R15" i="9" s="1"/>
  <c r="R17" i="9"/>
  <c r="P54" i="8"/>
  <c r="Q54" i="8"/>
  <c r="G73" i="10" l="1"/>
  <c r="E73" i="10"/>
  <c r="E75" i="10" s="1"/>
  <c r="E77" i="10" s="1"/>
  <c r="F73" i="10"/>
  <c r="F74" i="10" l="1"/>
  <c r="F75" i="10" s="1"/>
  <c r="F77" i="10" s="1"/>
  <c r="G74" i="10" l="1"/>
  <c r="G75" i="10" s="1"/>
  <c r="H74" i="10" l="1"/>
  <c r="I30" i="9"/>
  <c r="H30" i="10" s="1"/>
  <c r="J30" i="9"/>
  <c r="K30" i="9"/>
  <c r="L30" i="9"/>
  <c r="M30" i="9"/>
  <c r="N30" i="9"/>
  <c r="O30" i="9"/>
  <c r="P30" i="9"/>
  <c r="Q30" i="9"/>
  <c r="R30" i="9"/>
  <c r="I68" i="9"/>
  <c r="H20" i="10" s="1"/>
  <c r="J68" i="9"/>
  <c r="K68" i="9"/>
  <c r="L68" i="9"/>
  <c r="M68" i="9"/>
  <c r="N68" i="9"/>
  <c r="O68" i="9"/>
  <c r="P68" i="9"/>
  <c r="Q68" i="9"/>
  <c r="R68" i="9"/>
  <c r="H19" i="6"/>
  <c r="I19" i="6"/>
  <c r="J19" i="6"/>
  <c r="J18" i="8" s="1"/>
  <c r="K19" i="6"/>
  <c r="K18" i="8" s="1"/>
  <c r="L19" i="6"/>
  <c r="L18" i="8" s="1"/>
  <c r="M19" i="6"/>
  <c r="N19" i="6"/>
  <c r="N18" i="8" s="1"/>
  <c r="O19" i="6"/>
  <c r="O18" i="8" s="1"/>
  <c r="P19" i="6"/>
  <c r="P18" i="8" s="1"/>
  <c r="Q19" i="6"/>
  <c r="H15" i="7"/>
  <c r="I15" i="7"/>
  <c r="J15" i="7"/>
  <c r="K15" i="7"/>
  <c r="L15" i="7"/>
  <c r="M15" i="7"/>
  <c r="N15" i="7"/>
  <c r="O15" i="7"/>
  <c r="P15" i="7"/>
  <c r="Q15" i="7"/>
  <c r="O20" i="10" l="1"/>
  <c r="Q30" i="10"/>
  <c r="M30" i="10"/>
  <c r="N30" i="10"/>
  <c r="P20" i="10"/>
  <c r="L20" i="10"/>
  <c r="Q20" i="10"/>
  <c r="N20" i="10"/>
  <c r="P30" i="10"/>
  <c r="L30" i="10"/>
  <c r="K20" i="10"/>
  <c r="I30" i="10"/>
  <c r="O30" i="10"/>
  <c r="K30" i="10"/>
  <c r="M20" i="10"/>
  <c r="J30" i="10"/>
  <c r="I20" i="10"/>
  <c r="J20" i="10"/>
  <c r="Q18" i="8"/>
  <c r="M18" i="8"/>
  <c r="I18" i="8"/>
  <c r="H18" i="8"/>
  <c r="L35" i="13" l="1"/>
  <c r="L42" i="13" l="1"/>
  <c r="L51" i="13" s="1"/>
  <c r="M35" i="13" l="1"/>
  <c r="M42" i="13" s="1"/>
  <c r="M51" i="13" s="1"/>
  <c r="N35" i="13" l="1"/>
  <c r="N42" i="13" l="1"/>
  <c r="N51" i="13" s="1"/>
  <c r="O35" i="13" l="1"/>
  <c r="O42" i="13" l="1"/>
  <c r="P35" i="13" l="1"/>
  <c r="O51" i="13"/>
  <c r="P42" i="13"/>
  <c r="C29" i="8"/>
  <c r="C28" i="2"/>
  <c r="D25" i="4"/>
  <c r="Q35" i="13" l="1"/>
  <c r="P51" i="13"/>
  <c r="Q42" i="13"/>
  <c r="Q51" i="13" s="1"/>
  <c r="D26" i="4"/>
  <c r="C34" i="2"/>
  <c r="C23" i="18"/>
  <c r="C31" i="8"/>
  <c r="C37" i="8" l="1"/>
  <c r="C43" i="8" s="1"/>
  <c r="C14" i="16"/>
  <c r="C24" i="18"/>
  <c r="D25" i="18" s="1"/>
  <c r="C40" i="2"/>
  <c r="C15" i="16" l="1"/>
  <c r="C47" i="8"/>
  <c r="C28" i="18"/>
  <c r="D29" i="18" s="1"/>
  <c r="C34" i="6"/>
  <c r="C16" i="16" s="1"/>
  <c r="C44" i="2"/>
  <c r="C17" i="16" l="1"/>
  <c r="C52" i="8"/>
  <c r="C23" i="16"/>
  <c r="C25" i="16"/>
  <c r="C47" i="16"/>
  <c r="C31" i="18"/>
  <c r="D34" i="4"/>
  <c r="D32" i="18" l="1"/>
  <c r="C33" i="18"/>
  <c r="J277" i="13" l="1"/>
  <c r="K277" i="13" l="1"/>
  <c r="K14" i="9"/>
  <c r="J46" i="10" s="1"/>
  <c r="L277" i="13" l="1"/>
  <c r="L14" i="9"/>
  <c r="K46" i="10" s="1"/>
  <c r="M277" i="13" l="1"/>
  <c r="M14" i="9"/>
  <c r="L46" i="10" s="1"/>
  <c r="N277" i="13" l="1"/>
  <c r="N14" i="9"/>
  <c r="M46" i="10" s="1"/>
  <c r="O277" i="13" l="1"/>
  <c r="O14" i="9"/>
  <c r="N46" i="10" s="1"/>
  <c r="P277" i="13" l="1"/>
  <c r="P14" i="9"/>
  <c r="O46" i="10" s="1"/>
  <c r="Q277" i="13" l="1"/>
  <c r="R14" i="9" s="1"/>
  <c r="Q14" i="9"/>
  <c r="P46" i="10" s="1"/>
  <c r="Q46" i="10" l="1"/>
  <c r="I49" i="14" l="1"/>
  <c r="I66" i="9" s="1"/>
  <c r="I28" i="14"/>
  <c r="I37" i="9" s="1"/>
  <c r="H34" i="10" s="1"/>
  <c r="I15" i="14"/>
  <c r="I20" i="9" s="1"/>
  <c r="H49" i="10" s="1"/>
  <c r="I13" i="14"/>
  <c r="I17" i="14"/>
  <c r="I22" i="9" s="1"/>
  <c r="H51" i="10" s="1"/>
  <c r="I30" i="14"/>
  <c r="I38" i="9" s="1"/>
  <c r="H35" i="10" s="1"/>
  <c r="I40" i="14"/>
  <c r="I56" i="9" s="1"/>
  <c r="H61" i="10" s="1"/>
  <c r="I42" i="14"/>
  <c r="I58" i="9" s="1"/>
  <c r="I46" i="14"/>
  <c r="I60" i="9" s="1"/>
  <c r="H65" i="10" s="1"/>
  <c r="I51" i="14"/>
  <c r="I67" i="9" s="1"/>
  <c r="H19" i="10" s="1"/>
  <c r="I55" i="14"/>
  <c r="I59" i="14"/>
  <c r="H50" i="10"/>
  <c r="I21" i="14"/>
  <c r="I26" i="14"/>
  <c r="I38" i="14"/>
  <c r="I55" i="9" s="1"/>
  <c r="H62" i="10"/>
  <c r="I44" i="14"/>
  <c r="I59" i="9" s="1"/>
  <c r="H64" i="10" s="1"/>
  <c r="I53" i="14"/>
  <c r="I69" i="9" s="1"/>
  <c r="H21" i="10" s="1"/>
  <c r="I57" i="14"/>
  <c r="I71" i="9" s="1"/>
  <c r="H23" i="10" s="1"/>
  <c r="H11" i="6"/>
  <c r="H16" i="5"/>
  <c r="H11" i="8"/>
  <c r="H39" i="16" s="1"/>
  <c r="I72" i="9" l="1"/>
  <c r="H24" i="10" s="1"/>
  <c r="I70" i="9"/>
  <c r="H22" i="10" s="1"/>
  <c r="I62" i="9"/>
  <c r="H36" i="10"/>
  <c r="I32" i="9"/>
  <c r="H31" i="10" s="1"/>
  <c r="H52" i="10"/>
  <c r="I24" i="9"/>
  <c r="H53" i="10" s="1"/>
  <c r="H63" i="10"/>
  <c r="I31" i="6"/>
  <c r="I35" i="8" s="1"/>
  <c r="H60" i="10"/>
  <c r="H18" i="10"/>
  <c r="H32" i="10"/>
  <c r="H13" i="8"/>
  <c r="H18" i="7"/>
  <c r="H13" i="6"/>
  <c r="H28" i="6"/>
  <c r="H25" i="8" s="1"/>
  <c r="H20" i="18" s="1"/>
  <c r="H16" i="6"/>
  <c r="H17" i="8" s="1"/>
  <c r="H25" i="6"/>
  <c r="H24" i="8" s="1"/>
  <c r="H18" i="18" s="1"/>
  <c r="H19" i="18" s="1"/>
  <c r="I18" i="9"/>
  <c r="I74" i="9" l="1"/>
  <c r="H21" i="6"/>
  <c r="H16" i="8"/>
  <c r="H20" i="8" s="1"/>
  <c r="H22" i="8" s="1"/>
  <c r="H27" i="8" s="1"/>
  <c r="H48" i="10"/>
  <c r="H40" i="16"/>
  <c r="H11" i="18"/>
  <c r="I16" i="10"/>
  <c r="I69" i="10"/>
  <c r="I26" i="18"/>
  <c r="H12" i="18" l="1"/>
  <c r="H19" i="7"/>
  <c r="H20" i="7"/>
  <c r="H44" i="16" s="1"/>
  <c r="H13" i="18"/>
  <c r="H14" i="18" s="1"/>
  <c r="H13" i="16"/>
  <c r="H21" i="18"/>
  <c r="H22" i="18" s="1"/>
  <c r="H41" i="16"/>
  <c r="H43" i="16"/>
  <c r="H23" i="6"/>
  <c r="H12" i="16" s="1"/>
  <c r="H42" i="16" l="1"/>
  <c r="H22" i="7"/>
  <c r="H31" i="16" s="1"/>
  <c r="H15" i="18"/>
  <c r="H16" i="18" l="1"/>
  <c r="H17" i="18"/>
  <c r="J28" i="14" l="1"/>
  <c r="J13" i="14" l="1"/>
  <c r="J21" i="14"/>
  <c r="J15" i="14"/>
  <c r="J20" i="9" s="1"/>
  <c r="I49" i="10" s="1"/>
  <c r="I50" i="10"/>
  <c r="J30" i="14"/>
  <c r="J38" i="9" s="1"/>
  <c r="I35" i="10" s="1"/>
  <c r="J40" i="14"/>
  <c r="J56" i="9" s="1"/>
  <c r="I61" i="10" s="1"/>
  <c r="J46" i="14"/>
  <c r="J60" i="9" s="1"/>
  <c r="I65" i="10" s="1"/>
  <c r="J55" i="14"/>
  <c r="I11" i="6"/>
  <c r="J26" i="14"/>
  <c r="I62" i="10"/>
  <c r="J49" i="14"/>
  <c r="J66" i="9" s="1"/>
  <c r="J57" i="14"/>
  <c r="J71" i="9" s="1"/>
  <c r="I23" i="10" s="1"/>
  <c r="J17" i="14"/>
  <c r="J22" i="9" s="1"/>
  <c r="I51" i="10" s="1"/>
  <c r="J42" i="14"/>
  <c r="J58" i="9" s="1"/>
  <c r="J51" i="14"/>
  <c r="J67" i="9" s="1"/>
  <c r="I19" i="10" s="1"/>
  <c r="J59" i="14"/>
  <c r="J53" i="14"/>
  <c r="J69" i="9" s="1"/>
  <c r="I21" i="10" s="1"/>
  <c r="J37" i="9"/>
  <c r="I34" i="10" s="1"/>
  <c r="I11" i="8"/>
  <c r="I39" i="16" s="1"/>
  <c r="J38" i="14"/>
  <c r="J55" i="9" s="1"/>
  <c r="J44" i="14"/>
  <c r="J59" i="9" s="1"/>
  <c r="I64" i="10" s="1"/>
  <c r="I16" i="5"/>
  <c r="J72" i="9" l="1"/>
  <c r="I24" i="10" s="1"/>
  <c r="J70" i="9"/>
  <c r="I22" i="10" s="1"/>
  <c r="I52" i="10"/>
  <c r="J24" i="9"/>
  <c r="I53" i="10" s="1"/>
  <c r="I36" i="10"/>
  <c r="J32" i="9"/>
  <c r="I31" i="10" s="1"/>
  <c r="I63" i="10"/>
  <c r="J31" i="6"/>
  <c r="J35" i="8" s="1"/>
  <c r="I32" i="10"/>
  <c r="J62" i="9"/>
  <c r="I60" i="10"/>
  <c r="I13" i="8"/>
  <c r="I18" i="7"/>
  <c r="I13" i="6"/>
  <c r="I16" i="6"/>
  <c r="I17" i="8" s="1"/>
  <c r="I25" i="6"/>
  <c r="I24" i="8" s="1"/>
  <c r="I18" i="18" s="1"/>
  <c r="I19" i="18" s="1"/>
  <c r="I28" i="6"/>
  <c r="I25" i="8" s="1"/>
  <c r="I20" i="18" s="1"/>
  <c r="I18" i="10"/>
  <c r="J18" i="9"/>
  <c r="J74" i="9" l="1"/>
  <c r="I21" i="6"/>
  <c r="I11" i="18"/>
  <c r="I16" i="8"/>
  <c r="I20" i="8" s="1"/>
  <c r="I22" i="8" s="1"/>
  <c r="I27" i="8" s="1"/>
  <c r="I48" i="10"/>
  <c r="I40" i="16"/>
  <c r="J16" i="10"/>
  <c r="J69" i="10"/>
  <c r="J26" i="18"/>
  <c r="I13" i="16" l="1"/>
  <c r="I21" i="18"/>
  <c r="I22" i="18" s="1"/>
  <c r="I41" i="16"/>
  <c r="I43" i="16"/>
  <c r="I23" i="6"/>
  <c r="I12" i="16" s="1"/>
  <c r="I19" i="7"/>
  <c r="I20" i="7"/>
  <c r="I44" i="16" s="1"/>
  <c r="I13" i="18"/>
  <c r="I14" i="18" s="1"/>
  <c r="I12" i="18"/>
  <c r="I15" i="18" l="1"/>
  <c r="I16" i="18" s="1"/>
  <c r="I42" i="16"/>
  <c r="I22" i="7"/>
  <c r="I31" i="16" s="1"/>
  <c r="I17" i="18" l="1"/>
  <c r="K28" i="14" l="1"/>
  <c r="K13" i="14" l="1"/>
  <c r="K15" i="14"/>
  <c r="K20" i="9" s="1"/>
  <c r="K17" i="14"/>
  <c r="K22" i="9" s="1"/>
  <c r="K21" i="14"/>
  <c r="K24" i="9" s="1"/>
  <c r="J53" i="10" s="1"/>
  <c r="K37" i="9"/>
  <c r="K30" i="14"/>
  <c r="K38" i="9" s="1"/>
  <c r="K26" i="14"/>
  <c r="K38" i="14"/>
  <c r="K55" i="9" s="1"/>
  <c r="K40" i="14"/>
  <c r="K56" i="9" s="1"/>
  <c r="K42" i="14"/>
  <c r="K58" i="9" s="1"/>
  <c r="K44" i="14"/>
  <c r="K59" i="9" s="1"/>
  <c r="K46" i="14"/>
  <c r="K60" i="9" s="1"/>
  <c r="K49" i="14"/>
  <c r="K66" i="9" s="1"/>
  <c r="K51" i="14"/>
  <c r="K67" i="9" s="1"/>
  <c r="K53" i="14"/>
  <c r="K69" i="9" s="1"/>
  <c r="K55" i="14"/>
  <c r="K72" i="9" s="1"/>
  <c r="K57" i="14"/>
  <c r="K71" i="9" s="1"/>
  <c r="K59" i="14"/>
  <c r="K70" i="9" s="1"/>
  <c r="J11" i="6"/>
  <c r="J11" i="8"/>
  <c r="J39" i="16" s="1"/>
  <c r="J16" i="5"/>
  <c r="K74" i="9" l="1"/>
  <c r="K32" i="9"/>
  <c r="J31" i="10" s="1"/>
  <c r="K31" i="6"/>
  <c r="K35" i="8" s="1"/>
  <c r="K32" i="10"/>
  <c r="K16" i="5"/>
  <c r="L28" i="14"/>
  <c r="L37" i="9" s="1"/>
  <c r="K34" i="10" s="1"/>
  <c r="L13" i="14"/>
  <c r="L21" i="14"/>
  <c r="L26" i="14"/>
  <c r="K62" i="10"/>
  <c r="L49" i="14"/>
  <c r="L66" i="9" s="1"/>
  <c r="L57" i="14"/>
  <c r="L71" i="9" s="1"/>
  <c r="K23" i="10" s="1"/>
  <c r="L15" i="14"/>
  <c r="L20" i="9" s="1"/>
  <c r="K49" i="10" s="1"/>
  <c r="L42" i="14"/>
  <c r="L58" i="9" s="1"/>
  <c r="L51" i="14"/>
  <c r="L67" i="9" s="1"/>
  <c r="K19" i="10" s="1"/>
  <c r="L59" i="14"/>
  <c r="K50" i="10"/>
  <c r="L38" i="14"/>
  <c r="L55" i="9" s="1"/>
  <c r="L44" i="14"/>
  <c r="L59" i="9" s="1"/>
  <c r="K64" i="10" s="1"/>
  <c r="L53" i="14"/>
  <c r="L69" i="9" s="1"/>
  <c r="K21" i="10" s="1"/>
  <c r="K11" i="8"/>
  <c r="K39" i="16" s="1"/>
  <c r="L17" i="14"/>
  <c r="L22" i="9" s="1"/>
  <c r="K51" i="10" s="1"/>
  <c r="L30" i="14"/>
  <c r="L38" i="9" s="1"/>
  <c r="K35" i="10" s="1"/>
  <c r="L40" i="14"/>
  <c r="L56" i="9" s="1"/>
  <c r="K61" i="10" s="1"/>
  <c r="L46" i="14"/>
  <c r="L60" i="9" s="1"/>
  <c r="K65" i="10" s="1"/>
  <c r="L55" i="14"/>
  <c r="K11" i="6"/>
  <c r="J23" i="10"/>
  <c r="J62" i="10"/>
  <c r="J52" i="10"/>
  <c r="J13" i="8"/>
  <c r="J18" i="7"/>
  <c r="J22" i="10"/>
  <c r="J65" i="10"/>
  <c r="J61" i="10"/>
  <c r="J35" i="10"/>
  <c r="J51" i="10"/>
  <c r="J18" i="10"/>
  <c r="J36" i="10"/>
  <c r="K18" i="9"/>
  <c r="J13" i="6"/>
  <c r="J16" i="6"/>
  <c r="J17" i="8" s="1"/>
  <c r="J25" i="6"/>
  <c r="J24" i="8" s="1"/>
  <c r="J18" i="18" s="1"/>
  <c r="J28" i="6"/>
  <c r="J25" i="8" s="1"/>
  <c r="J20" i="18" s="1"/>
  <c r="J21" i="10"/>
  <c r="J64" i="10"/>
  <c r="K62" i="9"/>
  <c r="J60" i="10"/>
  <c r="J34" i="10"/>
  <c r="J50" i="10"/>
  <c r="J24" i="10"/>
  <c r="J19" i="10"/>
  <c r="J63" i="10"/>
  <c r="J32" i="10"/>
  <c r="J49" i="10"/>
  <c r="L70" i="9" l="1"/>
  <c r="K22" i="10" s="1"/>
  <c r="L72" i="9"/>
  <c r="K24" i="10" s="1"/>
  <c r="K18" i="10"/>
  <c r="L74" i="9"/>
  <c r="K36" i="10"/>
  <c r="L32" i="9"/>
  <c r="K31" i="10" s="1"/>
  <c r="K52" i="10"/>
  <c r="L24" i="9"/>
  <c r="K53" i="10" s="1"/>
  <c r="K63" i="10"/>
  <c r="L31" i="6"/>
  <c r="L35" i="8" s="1"/>
  <c r="M28" i="14"/>
  <c r="M37" i="9" s="1"/>
  <c r="L34" i="10" s="1"/>
  <c r="J21" i="6"/>
  <c r="K60" i="10"/>
  <c r="L62" i="10"/>
  <c r="L50" i="10"/>
  <c r="K28" i="6"/>
  <c r="K25" i="8" s="1"/>
  <c r="K20" i="18" s="1"/>
  <c r="K25" i="6"/>
  <c r="K24" i="8" s="1"/>
  <c r="K18" i="18" s="1"/>
  <c r="K19" i="18" s="1"/>
  <c r="K13" i="6"/>
  <c r="K16" i="6"/>
  <c r="K17" i="8" s="1"/>
  <c r="L62" i="9"/>
  <c r="K13" i="8"/>
  <c r="K11" i="18" s="1"/>
  <c r="K18" i="7"/>
  <c r="K40" i="16" s="1"/>
  <c r="L18" i="9"/>
  <c r="J40" i="16"/>
  <c r="J11" i="18"/>
  <c r="J48" i="10"/>
  <c r="K69" i="10"/>
  <c r="K16" i="10"/>
  <c r="K26" i="18"/>
  <c r="J19" i="18"/>
  <c r="J16" i="8"/>
  <c r="J20" i="8" s="1"/>
  <c r="M26" i="14" l="1"/>
  <c r="M53" i="14"/>
  <c r="M69" i="9" s="1"/>
  <c r="L21" i="10" s="1"/>
  <c r="L11" i="6"/>
  <c r="L13" i="6" s="1"/>
  <c r="M51" i="14"/>
  <c r="M67" i="9" s="1"/>
  <c r="L19" i="10" s="1"/>
  <c r="L11" i="8"/>
  <c r="L39" i="16" s="1"/>
  <c r="M30" i="14"/>
  <c r="M38" i="9" s="1"/>
  <c r="L35" i="10" s="1"/>
  <c r="M21" i="14"/>
  <c r="M57" i="14"/>
  <c r="M71" i="9" s="1"/>
  <c r="L23" i="10" s="1"/>
  <c r="L32" i="10"/>
  <c r="M13" i="14"/>
  <c r="M18" i="9" s="1"/>
  <c r="M44" i="14"/>
  <c r="M59" i="9" s="1"/>
  <c r="L64" i="10" s="1"/>
  <c r="M15" i="14"/>
  <c r="M20" i="9" s="1"/>
  <c r="L49" i="10" s="1"/>
  <c r="M59" i="14"/>
  <c r="M17" i="14"/>
  <c r="M22" i="9" s="1"/>
  <c r="L51" i="10" s="1"/>
  <c r="M55" i="14"/>
  <c r="M38" i="14"/>
  <c r="M55" i="9" s="1"/>
  <c r="L60" i="10" s="1"/>
  <c r="L16" i="5"/>
  <c r="M42" i="14"/>
  <c r="M58" i="9" s="1"/>
  <c r="M40" i="14"/>
  <c r="M56" i="9" s="1"/>
  <c r="L61" i="10" s="1"/>
  <c r="M46" i="14"/>
  <c r="M60" i="9" s="1"/>
  <c r="L65" i="10" s="1"/>
  <c r="M49" i="14"/>
  <c r="M66" i="9" s="1"/>
  <c r="K21" i="6"/>
  <c r="L69" i="10"/>
  <c r="L16" i="10"/>
  <c r="L26" i="18"/>
  <c r="K48" i="10"/>
  <c r="M50" i="10"/>
  <c r="M62" i="10"/>
  <c r="K16" i="8"/>
  <c r="K20" i="8" s="1"/>
  <c r="J13" i="18"/>
  <c r="J15" i="18" s="1"/>
  <c r="J19" i="7"/>
  <c r="J20" i="7"/>
  <c r="J44" i="16" s="1"/>
  <c r="J12" i="18"/>
  <c r="K12" i="18"/>
  <c r="J41" i="16"/>
  <c r="J43" i="16"/>
  <c r="J23" i="6"/>
  <c r="J12" i="16" s="1"/>
  <c r="J22" i="8"/>
  <c r="J27" i="8" s="1"/>
  <c r="M72" i="9" l="1"/>
  <c r="L24" i="10" s="1"/>
  <c r="M70" i="9"/>
  <c r="L22" i="10" s="1"/>
  <c r="L52" i="10"/>
  <c r="M24" i="9"/>
  <c r="L53" i="10" s="1"/>
  <c r="L36" i="10"/>
  <c r="M32" i="9"/>
  <c r="L31" i="10" s="1"/>
  <c r="L63" i="10"/>
  <c r="M31" i="6"/>
  <c r="M35" i="8" s="1"/>
  <c r="M26" i="18" s="1"/>
  <c r="L25" i="6"/>
  <c r="L24" i="8" s="1"/>
  <c r="L18" i="18" s="1"/>
  <c r="L19" i="18" s="1"/>
  <c r="L16" i="6"/>
  <c r="L17" i="8" s="1"/>
  <c r="L28" i="6"/>
  <c r="L25" i="8" s="1"/>
  <c r="L20" i="18" s="1"/>
  <c r="L13" i="8"/>
  <c r="L11" i="18" s="1"/>
  <c r="L12" i="18" s="1"/>
  <c r="M62" i="9"/>
  <c r="L18" i="7"/>
  <c r="L40" i="16" s="1"/>
  <c r="L18" i="10"/>
  <c r="K22" i="8"/>
  <c r="K27" i="8" s="1"/>
  <c r="K13" i="18"/>
  <c r="K15" i="18" s="1"/>
  <c r="K17" i="18" s="1"/>
  <c r="K19" i="7"/>
  <c r="K20" i="7"/>
  <c r="K44" i="16" s="1"/>
  <c r="L16" i="8"/>
  <c r="L48" i="10"/>
  <c r="K41" i="16"/>
  <c r="K43" i="16"/>
  <c r="K23" i="6"/>
  <c r="K12" i="16" s="1"/>
  <c r="J42" i="16"/>
  <c r="J22" i="7"/>
  <c r="J31" i="16" s="1"/>
  <c r="J13" i="16"/>
  <c r="J21" i="18"/>
  <c r="J14" i="18"/>
  <c r="J16" i="18"/>
  <c r="J17" i="18"/>
  <c r="M74" i="9" l="1"/>
  <c r="L20" i="8"/>
  <c r="L21" i="6"/>
  <c r="L41" i="16" s="1"/>
  <c r="M16" i="10"/>
  <c r="M69" i="10"/>
  <c r="N28" i="14"/>
  <c r="N37" i="9" s="1"/>
  <c r="M34" i="10" s="1"/>
  <c r="N46" i="14"/>
  <c r="N60" i="9" s="1"/>
  <c r="M65" i="10" s="1"/>
  <c r="N15" i="14"/>
  <c r="N20" i="9" s="1"/>
  <c r="M49" i="10" s="1"/>
  <c r="N53" i="14"/>
  <c r="N69" i="9" s="1"/>
  <c r="M21" i="10" s="1"/>
  <c r="N13" i="14"/>
  <c r="N18" i="9" s="1"/>
  <c r="N38" i="14"/>
  <c r="N55" i="9" s="1"/>
  <c r="N55" i="14"/>
  <c r="N30" i="14"/>
  <c r="N38" i="9" s="1"/>
  <c r="M35" i="10" s="1"/>
  <c r="M11" i="6"/>
  <c r="N26" i="14"/>
  <c r="N44" i="14"/>
  <c r="N59" i="9" s="1"/>
  <c r="M64" i="10" s="1"/>
  <c r="M11" i="8"/>
  <c r="M39" i="16" s="1"/>
  <c r="N42" i="14"/>
  <c r="N58" i="9" s="1"/>
  <c r="N59" i="14"/>
  <c r="N17" i="14"/>
  <c r="N22" i="9" s="1"/>
  <c r="M51" i="10" s="1"/>
  <c r="N21" i="14"/>
  <c r="N49" i="14"/>
  <c r="N66" i="9" s="1"/>
  <c r="M16" i="5"/>
  <c r="N40" i="14"/>
  <c r="N56" i="9" s="1"/>
  <c r="M61" i="10" s="1"/>
  <c r="N57" i="14"/>
  <c r="N71" i="9" s="1"/>
  <c r="M23" i="10" s="1"/>
  <c r="N51" i="14"/>
  <c r="N67" i="9" s="1"/>
  <c r="M19" i="10" s="1"/>
  <c r="M32" i="10"/>
  <c r="K16" i="18"/>
  <c r="K14" i="18"/>
  <c r="N50" i="10"/>
  <c r="N62" i="10"/>
  <c r="L43" i="16"/>
  <c r="K42" i="16"/>
  <c r="K22" i="7"/>
  <c r="K31" i="16" s="1"/>
  <c r="L13" i="18"/>
  <c r="L20" i="7"/>
  <c r="L44" i="16" s="1"/>
  <c r="L19" i="7"/>
  <c r="L22" i="8"/>
  <c r="L27" i="8" s="1"/>
  <c r="K13" i="16"/>
  <c r="K21" i="18"/>
  <c r="K22" i="18" s="1"/>
  <c r="J22" i="18"/>
  <c r="L23" i="6" l="1"/>
  <c r="L12" i="16" s="1"/>
  <c r="N72" i="9"/>
  <c r="M24" i="10" s="1"/>
  <c r="N70" i="9"/>
  <c r="M22" i="10" s="1"/>
  <c r="M36" i="10"/>
  <c r="N32" i="9"/>
  <c r="M31" i="10" s="1"/>
  <c r="M52" i="10"/>
  <c r="N24" i="9"/>
  <c r="M53" i="10" s="1"/>
  <c r="M48" i="10"/>
  <c r="M63" i="10"/>
  <c r="N31" i="6"/>
  <c r="N35" i="8" s="1"/>
  <c r="M60" i="10"/>
  <c r="N62" i="9"/>
  <c r="M18" i="7"/>
  <c r="M40" i="16" s="1"/>
  <c r="M13" i="8"/>
  <c r="M11" i="18" s="1"/>
  <c r="M12" i="18" s="1"/>
  <c r="M18" i="10"/>
  <c r="M25" i="6"/>
  <c r="M24" i="8" s="1"/>
  <c r="M18" i="18" s="1"/>
  <c r="M19" i="18" s="1"/>
  <c r="M13" i="6"/>
  <c r="M28" i="6"/>
  <c r="M25" i="8" s="1"/>
  <c r="M20" i="18" s="1"/>
  <c r="M16" i="6"/>
  <c r="M17" i="8" s="1"/>
  <c r="L14" i="18"/>
  <c r="L15" i="18"/>
  <c r="O50" i="10"/>
  <c r="O62" i="10"/>
  <c r="L13" i="16"/>
  <c r="L21" i="18"/>
  <c r="L22" i="18" s="1"/>
  <c r="L42" i="16"/>
  <c r="L22" i="7"/>
  <c r="L31" i="16" s="1"/>
  <c r="N74" i="9" l="1"/>
  <c r="O28" i="14"/>
  <c r="O37" i="9" s="1"/>
  <c r="N34" i="10" s="1"/>
  <c r="O53" i="14"/>
  <c r="O69" i="9" s="1"/>
  <c r="N21" i="10" s="1"/>
  <c r="N11" i="8"/>
  <c r="N39" i="16" s="1"/>
  <c r="O57" i="14"/>
  <c r="O71" i="9" s="1"/>
  <c r="N23" i="10" s="1"/>
  <c r="O59" i="14"/>
  <c r="O42" i="14"/>
  <c r="O58" i="9" s="1"/>
  <c r="N32" i="10"/>
  <c r="O38" i="14"/>
  <c r="O55" i="9" s="1"/>
  <c r="O17" i="14"/>
  <c r="O22" i="9" s="1"/>
  <c r="N51" i="10" s="1"/>
  <c r="O13" i="14"/>
  <c r="O18" i="9" s="1"/>
  <c r="O51" i="14"/>
  <c r="O67" i="9" s="1"/>
  <c r="N19" i="10" s="1"/>
  <c r="O30" i="14"/>
  <c r="O38" i="9" s="1"/>
  <c r="N35" i="10" s="1"/>
  <c r="O21" i="14"/>
  <c r="O40" i="14"/>
  <c r="O56" i="9" s="1"/>
  <c r="N61" i="10" s="1"/>
  <c r="O26" i="14"/>
  <c r="O44" i="14"/>
  <c r="O59" i="9" s="1"/>
  <c r="N64" i="10" s="1"/>
  <c r="O55" i="14"/>
  <c r="O49" i="14"/>
  <c r="O66" i="9" s="1"/>
  <c r="N11" i="6"/>
  <c r="O15" i="14"/>
  <c r="O20" i="9" s="1"/>
  <c r="N49" i="10" s="1"/>
  <c r="N16" i="5"/>
  <c r="O46" i="14"/>
  <c r="O60" i="9" s="1"/>
  <c r="N65" i="10" s="1"/>
  <c r="N69" i="10"/>
  <c r="N26" i="18"/>
  <c r="N16" i="10"/>
  <c r="M16" i="8"/>
  <c r="M20" i="8" s="1"/>
  <c r="M21" i="6"/>
  <c r="P50" i="10"/>
  <c r="Q50" i="10"/>
  <c r="L16" i="18"/>
  <c r="L17" i="18"/>
  <c r="P62" i="10"/>
  <c r="Q32" i="10"/>
  <c r="Q62" i="10"/>
  <c r="P32" i="10"/>
  <c r="O70" i="9" l="1"/>
  <c r="N22" i="10" s="1"/>
  <c r="O72" i="9"/>
  <c r="N24" i="10" s="1"/>
  <c r="O74" i="9"/>
  <c r="N36" i="10"/>
  <c r="O32" i="9"/>
  <c r="N31" i="10" s="1"/>
  <c r="N52" i="10"/>
  <c r="O24" i="9"/>
  <c r="N53" i="10" s="1"/>
  <c r="N48" i="10"/>
  <c r="N63" i="10"/>
  <c r="O31" i="6"/>
  <c r="O35" i="8" s="1"/>
  <c r="N60" i="10"/>
  <c r="O62" i="9"/>
  <c r="M43" i="16"/>
  <c r="M23" i="6"/>
  <c r="M12" i="16" s="1"/>
  <c r="M41" i="16"/>
  <c r="N25" i="6"/>
  <c r="N24" i="8" s="1"/>
  <c r="N18" i="18" s="1"/>
  <c r="N19" i="18" s="1"/>
  <c r="N28" i="6"/>
  <c r="N25" i="8" s="1"/>
  <c r="N20" i="18" s="1"/>
  <c r="N16" i="6"/>
  <c r="N17" i="8" s="1"/>
  <c r="N13" i="6"/>
  <c r="N13" i="8"/>
  <c r="N11" i="18" s="1"/>
  <c r="N12" i="18" s="1"/>
  <c r="N18" i="7"/>
  <c r="N40" i="16" s="1"/>
  <c r="M22" i="8"/>
  <c r="M27" i="8" s="1"/>
  <c r="M20" i="7"/>
  <c r="M44" i="16" s="1"/>
  <c r="M19" i="7"/>
  <c r="M13" i="18"/>
  <c r="N18" i="10"/>
  <c r="N21" i="6" l="1"/>
  <c r="N16" i="8"/>
  <c r="N20" i="8" s="1"/>
  <c r="P28" i="14"/>
  <c r="P37" i="9" s="1"/>
  <c r="O34" i="10" s="1"/>
  <c r="P53" i="14"/>
  <c r="P69" i="9" s="1"/>
  <c r="O21" i="10" s="1"/>
  <c r="P21" i="14"/>
  <c r="P59" i="14"/>
  <c r="P51" i="14"/>
  <c r="P67" i="9" s="1"/>
  <c r="O19" i="10" s="1"/>
  <c r="P40" i="14"/>
  <c r="P56" i="9" s="1"/>
  <c r="O61" i="10" s="1"/>
  <c r="P46" i="14"/>
  <c r="P60" i="9" s="1"/>
  <c r="O65" i="10" s="1"/>
  <c r="P57" i="14"/>
  <c r="P71" i="9" s="1"/>
  <c r="O23" i="10" s="1"/>
  <c r="P17" i="14"/>
  <c r="P22" i="9" s="1"/>
  <c r="O51" i="10" s="1"/>
  <c r="P26" i="14"/>
  <c r="P38" i="14"/>
  <c r="P55" i="9" s="1"/>
  <c r="P49" i="14"/>
  <c r="P66" i="9" s="1"/>
  <c r="O32" i="10"/>
  <c r="P30" i="14"/>
  <c r="P38" i="9" s="1"/>
  <c r="O35" i="10" s="1"/>
  <c r="O11" i="6"/>
  <c r="P15" i="14"/>
  <c r="P20" i="9" s="1"/>
  <c r="O49" i="10" s="1"/>
  <c r="P13" i="14"/>
  <c r="P18" i="9" s="1"/>
  <c r="P42" i="14"/>
  <c r="P58" i="9" s="1"/>
  <c r="P44" i="14"/>
  <c r="P59" i="9" s="1"/>
  <c r="O64" i="10" s="1"/>
  <c r="P55" i="14"/>
  <c r="O16" i="5"/>
  <c r="O11" i="8"/>
  <c r="O39" i="16" s="1"/>
  <c r="M42" i="16"/>
  <c r="M22" i="7"/>
  <c r="M31" i="16" s="1"/>
  <c r="M14" i="18"/>
  <c r="M15" i="18"/>
  <c r="M13" i="16"/>
  <c r="M21" i="18"/>
  <c r="M22" i="18" s="1"/>
  <c r="O26" i="18"/>
  <c r="O69" i="10"/>
  <c r="O16" i="10"/>
  <c r="P72" i="9" l="1"/>
  <c r="O24" i="10" s="1"/>
  <c r="P70" i="9"/>
  <c r="O22" i="10" s="1"/>
  <c r="O52" i="10"/>
  <c r="P24" i="9"/>
  <c r="O53" i="10" s="1"/>
  <c r="O36" i="10"/>
  <c r="P32" i="9"/>
  <c r="O31" i="10" s="1"/>
  <c r="O48" i="10"/>
  <c r="O63" i="10"/>
  <c r="P31" i="6"/>
  <c r="P35" i="8" s="1"/>
  <c r="M16" i="18"/>
  <c r="M17" i="18"/>
  <c r="N22" i="8"/>
  <c r="N27" i="8" s="1"/>
  <c r="N19" i="7"/>
  <c r="N20" i="7"/>
  <c r="N44" i="16" s="1"/>
  <c r="N13" i="18"/>
  <c r="O25" i="6"/>
  <c r="O24" i="8" s="1"/>
  <c r="O18" i="18" s="1"/>
  <c r="O19" i="18" s="1"/>
  <c r="O16" i="6"/>
  <c r="O17" i="8" s="1"/>
  <c r="O13" i="6"/>
  <c r="O28" i="6"/>
  <c r="O25" i="8" s="1"/>
  <c r="O20" i="18" s="1"/>
  <c r="N23" i="6"/>
  <c r="N12" i="16" s="1"/>
  <c r="N43" i="16"/>
  <c r="N41" i="16"/>
  <c r="O13" i="8"/>
  <c r="O18" i="7"/>
  <c r="O40" i="16" s="1"/>
  <c r="O18" i="10"/>
  <c r="O60" i="10"/>
  <c r="P62" i="9"/>
  <c r="P74" i="9" l="1"/>
  <c r="P16" i="10"/>
  <c r="P69" i="10"/>
  <c r="P26" i="18"/>
  <c r="O11" i="18"/>
  <c r="N14" i="18"/>
  <c r="N15" i="18"/>
  <c r="N42" i="16"/>
  <c r="N22" i="7"/>
  <c r="N31" i="16" s="1"/>
  <c r="N21" i="18"/>
  <c r="N22" i="18" s="1"/>
  <c r="N13" i="16"/>
  <c r="Q28" i="14"/>
  <c r="Q37" i="9" s="1"/>
  <c r="P34" i="10" s="1"/>
  <c r="P11" i="6"/>
  <c r="P16" i="5"/>
  <c r="Q21" i="14"/>
  <c r="Q42" i="14"/>
  <c r="Q58" i="9" s="1"/>
  <c r="P11" i="8"/>
  <c r="P39" i="16" s="1"/>
  <c r="Q26" i="14"/>
  <c r="Q51" i="14"/>
  <c r="Q67" i="9" s="1"/>
  <c r="P19" i="10" s="1"/>
  <c r="Q30" i="14"/>
  <c r="Q38" i="9" s="1"/>
  <c r="P35" i="10" s="1"/>
  <c r="Q15" i="14"/>
  <c r="Q20" i="9" s="1"/>
  <c r="P49" i="10" s="1"/>
  <c r="Q17" i="14"/>
  <c r="Q22" i="9" s="1"/>
  <c r="P51" i="10" s="1"/>
  <c r="Q13" i="14"/>
  <c r="Q18" i="9" s="1"/>
  <c r="Q44" i="14"/>
  <c r="Q59" i="9" s="1"/>
  <c r="P64" i="10" s="1"/>
  <c r="Q53" i="14"/>
  <c r="Q69" i="9" s="1"/>
  <c r="P21" i="10" s="1"/>
  <c r="Q59" i="14"/>
  <c r="Q40" i="14"/>
  <c r="Q56" i="9" s="1"/>
  <c r="P61" i="10" s="1"/>
  <c r="Q55" i="14"/>
  <c r="Q49" i="14"/>
  <c r="Q66" i="9" s="1"/>
  <c r="Q38" i="14"/>
  <c r="Q55" i="9" s="1"/>
  <c r="Q46" i="14"/>
  <c r="Q60" i="9" s="1"/>
  <c r="P65" i="10" s="1"/>
  <c r="Q57" i="14"/>
  <c r="Q71" i="9" s="1"/>
  <c r="P23" i="10" s="1"/>
  <c r="O21" i="6"/>
  <c r="O16" i="8"/>
  <c r="O20" i="8" s="1"/>
  <c r="O22" i="8" s="1"/>
  <c r="O27" i="8" s="1"/>
  <c r="Q72" i="9" l="1"/>
  <c r="P24" i="10" s="1"/>
  <c r="Q70" i="9"/>
  <c r="P22" i="10" s="1"/>
  <c r="P52" i="10"/>
  <c r="Q24" i="9"/>
  <c r="P53" i="10" s="1"/>
  <c r="P36" i="10"/>
  <c r="Q32" i="9"/>
  <c r="P31" i="10" s="1"/>
  <c r="P48" i="10"/>
  <c r="P63" i="10"/>
  <c r="Q31" i="6"/>
  <c r="Q35" i="8" s="1"/>
  <c r="O21" i="18"/>
  <c r="O22" i="18" s="1"/>
  <c r="O13" i="16"/>
  <c r="O41" i="16"/>
  <c r="O23" i="6"/>
  <c r="O12" i="16" s="1"/>
  <c r="O43" i="16"/>
  <c r="N16" i="18"/>
  <c r="N17" i="18"/>
  <c r="P16" i="6"/>
  <c r="P17" i="8" s="1"/>
  <c r="P28" i="6"/>
  <c r="P25" i="8" s="1"/>
  <c r="P20" i="18" s="1"/>
  <c r="P25" i="6"/>
  <c r="P24" i="8" s="1"/>
  <c r="P18" i="18" s="1"/>
  <c r="P19" i="18" s="1"/>
  <c r="P13" i="6"/>
  <c r="P18" i="10"/>
  <c r="O12" i="18"/>
  <c r="Q62" i="9"/>
  <c r="P60" i="10"/>
  <c r="O19" i="7"/>
  <c r="O13" i="18"/>
  <c r="O14" i="18" s="1"/>
  <c r="O20" i="7"/>
  <c r="O44" i="16" s="1"/>
  <c r="P18" i="7"/>
  <c r="P13" i="8"/>
  <c r="D58" i="13"/>
  <c r="E54" i="13" s="1"/>
  <c r="C64" i="13"/>
  <c r="Q74" i="9" l="1"/>
  <c r="E58" i="13"/>
  <c r="F54" i="13" s="1"/>
  <c r="Q26" i="18"/>
  <c r="Q69" i="10"/>
  <c r="Q16" i="10"/>
  <c r="O42" i="16"/>
  <c r="O22" i="7"/>
  <c r="O31" i="16" s="1"/>
  <c r="P16" i="8"/>
  <c r="P20" i="8" s="1"/>
  <c r="P22" i="8" s="1"/>
  <c r="P27" i="8" s="1"/>
  <c r="P21" i="6"/>
  <c r="P11" i="18"/>
  <c r="P40" i="16"/>
  <c r="O15" i="18"/>
  <c r="R28" i="14"/>
  <c r="R37" i="9" s="1"/>
  <c r="Q34" i="10" s="1"/>
  <c r="R49" i="14"/>
  <c r="R66" i="9" s="1"/>
  <c r="R26" i="14"/>
  <c r="R59" i="14"/>
  <c r="R17" i="14"/>
  <c r="R22" i="9" s="1"/>
  <c r="Q51" i="10" s="1"/>
  <c r="R40" i="14"/>
  <c r="R56" i="9" s="1"/>
  <c r="Q61" i="10" s="1"/>
  <c r="R57" i="14"/>
  <c r="R71" i="9" s="1"/>
  <c r="Q23" i="10" s="1"/>
  <c r="R42" i="14"/>
  <c r="R58" i="9" s="1"/>
  <c r="Q63" i="10" s="1"/>
  <c r="R46" i="14"/>
  <c r="R60" i="9" s="1"/>
  <c r="Q65" i="10" s="1"/>
  <c r="R21" i="14"/>
  <c r="R51" i="14"/>
  <c r="R67" i="9" s="1"/>
  <c r="Q19" i="10" s="1"/>
  <c r="R55" i="14"/>
  <c r="Q11" i="8"/>
  <c r="Q39" i="16" s="1"/>
  <c r="Q11" i="6"/>
  <c r="R15" i="14"/>
  <c r="R20" i="9" s="1"/>
  <c r="Q49" i="10" s="1"/>
  <c r="R30" i="14"/>
  <c r="R38" i="9" s="1"/>
  <c r="Q35" i="10" s="1"/>
  <c r="R53" i="14"/>
  <c r="R69" i="9" s="1"/>
  <c r="Q21" i="10" s="1"/>
  <c r="R13" i="14"/>
  <c r="R18" i="9" s="1"/>
  <c r="Q16" i="5"/>
  <c r="R38" i="14"/>
  <c r="R55" i="9" s="1"/>
  <c r="R44" i="14"/>
  <c r="R59" i="9" s="1"/>
  <c r="Q64" i="10" s="1"/>
  <c r="D64" i="13"/>
  <c r="D184" i="13" s="1"/>
  <c r="R72" i="9" l="1"/>
  <c r="Q24" i="10" s="1"/>
  <c r="R70" i="9"/>
  <c r="Q22" i="10" s="1"/>
  <c r="R74" i="9"/>
  <c r="Q36" i="10"/>
  <c r="R32" i="9"/>
  <c r="Q31" i="10" s="1"/>
  <c r="Q52" i="10"/>
  <c r="R24" i="9"/>
  <c r="Q53" i="10" s="1"/>
  <c r="Q48" i="10"/>
  <c r="F58" i="13"/>
  <c r="G54" i="13" s="1"/>
  <c r="E64" i="13"/>
  <c r="Q18" i="10"/>
  <c r="P20" i="7"/>
  <c r="P44" i="16" s="1"/>
  <c r="P19" i="7"/>
  <c r="P13" i="18"/>
  <c r="P14" i="18" s="1"/>
  <c r="O16" i="18"/>
  <c r="O17" i="18"/>
  <c r="Q13" i="6"/>
  <c r="Q16" i="6"/>
  <c r="Q17" i="8" s="1"/>
  <c r="Q25" i="6"/>
  <c r="Q24" i="8" s="1"/>
  <c r="Q18" i="18" s="1"/>
  <c r="Q19" i="18" s="1"/>
  <c r="Q28" i="6"/>
  <c r="Q25" i="8" s="1"/>
  <c r="Q20" i="18" s="1"/>
  <c r="P13" i="16"/>
  <c r="P21" i="18"/>
  <c r="P22" i="18" s="1"/>
  <c r="Q60" i="10"/>
  <c r="R62" i="9"/>
  <c r="Q13" i="8"/>
  <c r="Q11" i="18" s="1"/>
  <c r="Q18" i="7"/>
  <c r="P12" i="18"/>
  <c r="P43" i="16"/>
  <c r="P41" i="16"/>
  <c r="P23" i="6"/>
  <c r="P12" i="16" s="1"/>
  <c r="D273" i="13"/>
  <c r="D275" i="13" l="1"/>
  <c r="D281" i="13" s="1"/>
  <c r="E273" i="13"/>
  <c r="E275" i="13" s="1"/>
  <c r="G58" i="13"/>
  <c r="F64" i="13"/>
  <c r="P15" i="18"/>
  <c r="P17" i="18" s="1"/>
  <c r="Q21" i="6"/>
  <c r="Q16" i="8"/>
  <c r="Q20" i="8" s="1"/>
  <c r="P42" i="16"/>
  <c r="P22" i="7"/>
  <c r="P31" i="16" s="1"/>
  <c r="Q40" i="16"/>
  <c r="Q12" i="18"/>
  <c r="P16" i="18" l="1"/>
  <c r="F273" i="13"/>
  <c r="F275" i="13" s="1"/>
  <c r="H54" i="13"/>
  <c r="H64" i="13" s="1"/>
  <c r="H184" i="13" s="1"/>
  <c r="G64" i="13"/>
  <c r="Q22" i="8"/>
  <c r="Q27" i="8" s="1"/>
  <c r="Q19" i="7"/>
  <c r="Q13" i="18"/>
  <c r="Q20" i="7"/>
  <c r="Q44" i="16" s="1"/>
  <c r="Q41" i="16"/>
  <c r="Q43" i="16"/>
  <c r="Q23" i="6"/>
  <c r="Q12" i="16" s="1"/>
  <c r="G273" i="13" l="1"/>
  <c r="G275" i="13" s="1"/>
  <c r="I54" i="13"/>
  <c r="I58" i="13" s="1"/>
  <c r="Q14" i="18"/>
  <c r="Q15" i="18"/>
  <c r="Q42" i="16"/>
  <c r="Q22" i="7"/>
  <c r="Q31" i="16" s="1"/>
  <c r="Q21" i="18"/>
  <c r="Q22" i="18" s="1"/>
  <c r="Q13" i="16"/>
  <c r="J54" i="13" l="1"/>
  <c r="J58" i="13" s="1"/>
  <c r="I64" i="13"/>
  <c r="I184" i="13" s="1"/>
  <c r="I13" i="9"/>
  <c r="I27" i="9" s="1"/>
  <c r="H273" i="13"/>
  <c r="Q17" i="18"/>
  <c r="Q16" i="18"/>
  <c r="K54" i="13" l="1"/>
  <c r="K58" i="13" s="1"/>
  <c r="J64" i="13"/>
  <c r="H45" i="16"/>
  <c r="J13" i="9"/>
  <c r="J27" i="9" s="1"/>
  <c r="I273" i="13"/>
  <c r="J184" i="13" l="1"/>
  <c r="K13" i="9" s="1"/>
  <c r="I45" i="16"/>
  <c r="L54" i="13"/>
  <c r="K64" i="13"/>
  <c r="K184" i="13" s="1"/>
  <c r="K27" i="9" l="1"/>
  <c r="J45" i="16"/>
  <c r="J273" i="13"/>
  <c r="L13" i="9"/>
  <c r="L27" i="9" s="1"/>
  <c r="L58" i="13"/>
  <c r="K273" i="13" l="1"/>
  <c r="L64" i="13"/>
  <c r="L184" i="13" s="1"/>
  <c r="M54" i="13"/>
  <c r="K45" i="16"/>
  <c r="M13" i="9" l="1"/>
  <c r="M27" i="9" s="1"/>
  <c r="M58" i="13"/>
  <c r="L273" i="13" l="1"/>
  <c r="L45" i="16"/>
  <c r="N54" i="13"/>
  <c r="N58" i="13" s="1"/>
  <c r="M64" i="13"/>
  <c r="M184" i="13" s="1"/>
  <c r="N13" i="9" l="1"/>
  <c r="N27" i="9" s="1"/>
  <c r="O54" i="13"/>
  <c r="O58" i="13" s="1"/>
  <c r="N64" i="13"/>
  <c r="N184" i="13" s="1"/>
  <c r="O13" i="9" l="1"/>
  <c r="O27" i="9" s="1"/>
  <c r="M273" i="13"/>
  <c r="P54" i="13"/>
  <c r="P58" i="13" s="1"/>
  <c r="O64" i="13"/>
  <c r="O184" i="13" s="1"/>
  <c r="M45" i="16"/>
  <c r="N273" i="13" l="1"/>
  <c r="P13" i="9"/>
  <c r="P27" i="9" s="1"/>
  <c r="P64" i="13"/>
  <c r="P184" i="13" s="1"/>
  <c r="Q54" i="13"/>
  <c r="Q58" i="13" s="1"/>
  <c r="Q64" i="13" s="1"/>
  <c r="Q184" i="13" s="1"/>
  <c r="N45" i="16"/>
  <c r="I274" i="13" l="1"/>
  <c r="I275" i="13" s="1"/>
  <c r="H275" i="13"/>
  <c r="H281" i="13" s="1"/>
  <c r="O273" i="13"/>
  <c r="Q13" i="9"/>
  <c r="Q27" i="9" s="1"/>
  <c r="R13" i="9"/>
  <c r="R27" i="9" s="1"/>
  <c r="O45" i="16"/>
  <c r="Q273" i="13"/>
  <c r="N274" i="13"/>
  <c r="N275" i="13" s="1"/>
  <c r="J274" i="13"/>
  <c r="J275" i="13" s="1"/>
  <c r="M274" i="13"/>
  <c r="M275" i="13" s="1"/>
  <c r="G281" i="13"/>
  <c r="L274" i="13"/>
  <c r="L275" i="13" s="1"/>
  <c r="K274" i="13"/>
  <c r="K275" i="13" s="1"/>
  <c r="Q274" i="13"/>
  <c r="O274" i="13"/>
  <c r="P274" i="13"/>
  <c r="P273" i="13"/>
  <c r="O29" i="8" l="1"/>
  <c r="O45" i="10" s="1"/>
  <c r="O275" i="13"/>
  <c r="Q29" i="8"/>
  <c r="Q15" i="10" s="1"/>
  <c r="Q275" i="13"/>
  <c r="P29" i="8"/>
  <c r="P13" i="12" s="1"/>
  <c r="P275" i="13"/>
  <c r="E281" i="13"/>
  <c r="F281" i="13"/>
  <c r="K29" i="8"/>
  <c r="K45" i="10" s="1"/>
  <c r="H29" i="8"/>
  <c r="H45" i="10" s="1"/>
  <c r="J29" i="8"/>
  <c r="J45" i="10" s="1"/>
  <c r="J281" i="13"/>
  <c r="L29" i="8"/>
  <c r="L45" i="10" s="1"/>
  <c r="M29" i="8"/>
  <c r="M45" i="10" s="1"/>
  <c r="M281" i="13"/>
  <c r="N29" i="8"/>
  <c r="N45" i="10" s="1"/>
  <c r="P45" i="16"/>
  <c r="I29" i="8"/>
  <c r="I45" i="10" s="1"/>
  <c r="Q45" i="16"/>
  <c r="Q13" i="12" l="1"/>
  <c r="Q45" i="10"/>
  <c r="Q14" i="12" s="1"/>
  <c r="O23" i="18"/>
  <c r="O31" i="8"/>
  <c r="O14" i="16" s="1"/>
  <c r="O15" i="10"/>
  <c r="O13" i="12"/>
  <c r="P45" i="10"/>
  <c r="P14" i="12" s="1"/>
  <c r="Q31" i="8"/>
  <c r="Q14" i="16" s="1"/>
  <c r="Q23" i="18"/>
  <c r="P31" i="8"/>
  <c r="P11" i="12" s="1"/>
  <c r="P23" i="18"/>
  <c r="P15" i="10"/>
  <c r="P281" i="13"/>
  <c r="Q281" i="13"/>
  <c r="N281" i="13"/>
  <c r="K281" i="13"/>
  <c r="O281" i="13"/>
  <c r="L281" i="13"/>
  <c r="I281" i="13"/>
  <c r="N13" i="12"/>
  <c r="N15" i="10"/>
  <c r="N31" i="8"/>
  <c r="N23" i="18"/>
  <c r="L13" i="12"/>
  <c r="L15" i="10"/>
  <c r="L23" i="18"/>
  <c r="L31" i="8"/>
  <c r="H13" i="12"/>
  <c r="H15" i="10"/>
  <c r="H23" i="18"/>
  <c r="H31" i="8"/>
  <c r="O14" i="12"/>
  <c r="M15" i="10"/>
  <c r="M13" i="12"/>
  <c r="M23" i="18"/>
  <c r="M31" i="8"/>
  <c r="J13" i="12"/>
  <c r="J15" i="10"/>
  <c r="J31" i="8"/>
  <c r="J23" i="18"/>
  <c r="I15" i="10"/>
  <c r="I13" i="12"/>
  <c r="I23" i="18"/>
  <c r="I31" i="8"/>
  <c r="K13" i="12"/>
  <c r="K15" i="10"/>
  <c r="K23" i="18"/>
  <c r="K31" i="8"/>
  <c r="O11" i="12" l="1"/>
  <c r="O12" i="12" s="1"/>
  <c r="O24" i="18"/>
  <c r="Q11" i="12"/>
  <c r="Q12" i="12" s="1"/>
  <c r="Q24" i="18"/>
  <c r="P24" i="18"/>
  <c r="P14" i="16"/>
  <c r="H14" i="12"/>
  <c r="L14" i="12"/>
  <c r="N14" i="12"/>
  <c r="J11" i="12"/>
  <c r="J24" i="18"/>
  <c r="J14" i="16"/>
  <c r="K11" i="12"/>
  <c r="K24" i="18"/>
  <c r="K14" i="16"/>
  <c r="J14" i="12"/>
  <c r="P12" i="12"/>
  <c r="I14" i="12"/>
  <c r="M14" i="12"/>
  <c r="H11" i="12"/>
  <c r="H14" i="16"/>
  <c r="H24" i="18"/>
  <c r="H25" i="18" s="1"/>
  <c r="L11" i="12"/>
  <c r="L14" i="16"/>
  <c r="L24" i="18"/>
  <c r="K14" i="12"/>
  <c r="I11" i="12"/>
  <c r="I24" i="18"/>
  <c r="I14" i="16"/>
  <c r="M11" i="12"/>
  <c r="M24" i="18"/>
  <c r="M14" i="16"/>
  <c r="N11" i="12"/>
  <c r="N24" i="18"/>
  <c r="N14" i="16"/>
  <c r="P25" i="18" l="1"/>
  <c r="O25" i="18"/>
  <c r="Q25" i="18"/>
  <c r="K25" i="18"/>
  <c r="M25" i="18"/>
  <c r="I25" i="18"/>
  <c r="L25" i="18"/>
  <c r="N12" i="12"/>
  <c r="J25" i="18"/>
  <c r="L12" i="12"/>
  <c r="H12" i="12"/>
  <c r="K12" i="12"/>
  <c r="J12" i="12"/>
  <c r="N25" i="18"/>
  <c r="M12" i="12"/>
  <c r="I12" i="12"/>
  <c r="H15" i="12" l="1"/>
  <c r="H17" i="12" s="1"/>
  <c r="I15" i="12"/>
  <c r="I17" i="12" s="1"/>
  <c r="J15" i="12"/>
  <c r="J17" i="12" s="1"/>
  <c r="K15" i="12"/>
  <c r="K17" i="12" s="1"/>
  <c r="L15" i="12"/>
  <c r="L17" i="12" s="1"/>
  <c r="M15" i="12"/>
  <c r="M17" i="12" s="1"/>
  <c r="N15" i="12"/>
  <c r="N17" i="12" s="1"/>
  <c r="O15" i="12"/>
  <c r="O17" i="12" s="1"/>
  <c r="P15" i="12"/>
  <c r="P17" i="12" s="1"/>
  <c r="Q15" i="12"/>
  <c r="Q17" i="12" s="1"/>
  <c r="C42" i="12" s="1"/>
  <c r="C46" i="12" s="1"/>
  <c r="C45" i="12" l="1"/>
  <c r="C48" i="12" l="1"/>
  <c r="C55" i="12" s="1"/>
  <c r="C58" i="12" s="1"/>
  <c r="G57" i="12" l="1"/>
  <c r="C62" i="12"/>
  <c r="K21" i="5"/>
  <c r="K39" i="8" s="1"/>
  <c r="K43" i="10" s="1"/>
  <c r="P21" i="5"/>
  <c r="P39" i="8" s="1"/>
  <c r="N21" i="5"/>
  <c r="N39" i="8" s="1"/>
  <c r="N43" i="10" s="1"/>
  <c r="J21" i="5"/>
  <c r="J39" i="8" s="1"/>
  <c r="J43" i="10" s="1"/>
  <c r="Q21" i="5"/>
  <c r="Q39" i="8" s="1"/>
  <c r="Q43" i="10" s="1"/>
  <c r="M21" i="5"/>
  <c r="M39" i="8" s="1"/>
  <c r="M27" i="10" s="1"/>
  <c r="L21" i="5"/>
  <c r="L39" i="8" s="1"/>
  <c r="L43" i="10" s="1"/>
  <c r="L18" i="5"/>
  <c r="L33" i="8" s="1"/>
  <c r="K18" i="5"/>
  <c r="K33" i="8" s="1"/>
  <c r="Q18" i="5"/>
  <c r="Q33" i="8" s="1"/>
  <c r="O21" i="5"/>
  <c r="O39" i="8" s="1"/>
  <c r="O27" i="10" s="1"/>
  <c r="I21" i="5"/>
  <c r="I39" i="8" s="1"/>
  <c r="I43" i="10" s="1"/>
  <c r="M18" i="5"/>
  <c r="M33" i="8" s="1"/>
  <c r="J18" i="5"/>
  <c r="J33" i="8" s="1"/>
  <c r="P18" i="5"/>
  <c r="P33" i="8" s="1"/>
  <c r="I18" i="5"/>
  <c r="I33" i="8" s="1"/>
  <c r="I42" i="10" s="1"/>
  <c r="N18" i="5"/>
  <c r="N33" i="8" s="1"/>
  <c r="N26" i="10" s="1"/>
  <c r="O18" i="5"/>
  <c r="O33" i="8" s="1"/>
  <c r="O26" i="10" s="1"/>
  <c r="M43" i="10" l="1"/>
  <c r="I55" i="10"/>
  <c r="J26" i="10"/>
  <c r="J27" i="18"/>
  <c r="I27" i="10"/>
  <c r="K27" i="10"/>
  <c r="Q27" i="18"/>
  <c r="Q26" i="10"/>
  <c r="Q42" i="10"/>
  <c r="Q55" i="10" s="1"/>
  <c r="Q37" i="8"/>
  <c r="Q43" i="8" s="1"/>
  <c r="K27" i="18"/>
  <c r="K26" i="10"/>
  <c r="K42" i="10"/>
  <c r="K55" i="10" s="1"/>
  <c r="K37" i="8"/>
  <c r="K43" i="8" s="1"/>
  <c r="M42" i="10"/>
  <c r="M55" i="10" s="1"/>
  <c r="M37" i="8"/>
  <c r="M43" i="8" s="1"/>
  <c r="M27" i="18"/>
  <c r="M26" i="10"/>
  <c r="P26" i="10"/>
  <c r="P27" i="18"/>
  <c r="P42" i="10"/>
  <c r="P37" i="8"/>
  <c r="P43" i="8" s="1"/>
  <c r="N37" i="8"/>
  <c r="N43" i="8" s="1"/>
  <c r="N27" i="18"/>
  <c r="N42" i="10"/>
  <c r="N55" i="10" s="1"/>
  <c r="L42" i="10"/>
  <c r="L55" i="10" s="1"/>
  <c r="L37" i="8"/>
  <c r="L43" i="8" s="1"/>
  <c r="L27" i="18"/>
  <c r="L26" i="10"/>
  <c r="P43" i="10"/>
  <c r="P27" i="10"/>
  <c r="I26" i="10"/>
  <c r="I27" i="18"/>
  <c r="J42" i="10"/>
  <c r="J55" i="10" s="1"/>
  <c r="J37" i="8"/>
  <c r="J43" i="8" s="1"/>
  <c r="Q27" i="10"/>
  <c r="O42" i="10"/>
  <c r="O37" i="8"/>
  <c r="O43" i="8" s="1"/>
  <c r="I37" i="8"/>
  <c r="I43" i="8" s="1"/>
  <c r="O43" i="10"/>
  <c r="J27" i="10"/>
  <c r="O27" i="18"/>
  <c r="L27" i="10"/>
  <c r="N27" i="10"/>
  <c r="I45" i="8" l="1"/>
  <c r="I47" i="8" s="1"/>
  <c r="I28" i="18"/>
  <c r="I15" i="16"/>
  <c r="I13" i="10"/>
  <c r="K13" i="10"/>
  <c r="K15" i="16"/>
  <c r="K28" i="18"/>
  <c r="K45" i="8"/>
  <c r="K47" i="8" s="1"/>
  <c r="Q45" i="8"/>
  <c r="Q47" i="8" s="1"/>
  <c r="Q28" i="18"/>
  <c r="Q15" i="16"/>
  <c r="Q13" i="10"/>
  <c r="P45" i="8"/>
  <c r="P13" i="10"/>
  <c r="P15" i="16"/>
  <c r="P28" i="18"/>
  <c r="O55" i="10"/>
  <c r="P55" i="10"/>
  <c r="M15" i="16"/>
  <c r="M13" i="10"/>
  <c r="M28" i="18"/>
  <c r="M45" i="8"/>
  <c r="N45" i="8"/>
  <c r="N13" i="10"/>
  <c r="N28" i="18"/>
  <c r="N15" i="16"/>
  <c r="O45" i="8"/>
  <c r="O47" i="8" s="1"/>
  <c r="O13" i="10"/>
  <c r="O15" i="16"/>
  <c r="O28" i="18"/>
  <c r="J28" i="18"/>
  <c r="J45" i="8"/>
  <c r="J47" i="8" s="1"/>
  <c r="J13" i="10"/>
  <c r="J15" i="16"/>
  <c r="L13" i="10"/>
  <c r="L28" i="18"/>
  <c r="L15" i="16"/>
  <c r="L45" i="8"/>
  <c r="L47" i="8" s="1"/>
  <c r="J29" i="18" l="1"/>
  <c r="L29" i="18"/>
  <c r="N29" i="18"/>
  <c r="O31" i="18"/>
  <c r="O23" i="16"/>
  <c r="O51" i="8"/>
  <c r="O49" i="8"/>
  <c r="O34" i="18" s="1"/>
  <c r="O17" i="16"/>
  <c r="O25" i="16"/>
  <c r="Q31" i="18"/>
  <c r="Q51" i="8"/>
  <c r="Q49" i="8"/>
  <c r="Q34" i="18" s="1"/>
  <c r="Q17" i="16"/>
  <c r="Q25" i="16"/>
  <c r="Q23" i="16"/>
  <c r="Q29" i="18"/>
  <c r="I30" i="18"/>
  <c r="I28" i="10"/>
  <c r="I38" i="10" s="1"/>
  <c r="L30" i="18"/>
  <c r="L28" i="10"/>
  <c r="L38" i="10" s="1"/>
  <c r="J25" i="16"/>
  <c r="J49" i="8"/>
  <c r="J34" i="18" s="1"/>
  <c r="J23" i="16"/>
  <c r="J17" i="16"/>
  <c r="J31" i="18"/>
  <c r="J51" i="8"/>
  <c r="N30" i="18"/>
  <c r="N28" i="10"/>
  <c r="N38" i="10" s="1"/>
  <c r="L49" i="8"/>
  <c r="L34" i="18" s="1"/>
  <c r="L17" i="16"/>
  <c r="L23" i="16"/>
  <c r="L51" i="8"/>
  <c r="L25" i="16"/>
  <c r="L31" i="18"/>
  <c r="P28" i="10"/>
  <c r="P38" i="10" s="1"/>
  <c r="P30" i="18"/>
  <c r="K29" i="18"/>
  <c r="O29" i="18"/>
  <c r="N47" i="8"/>
  <c r="P29" i="18"/>
  <c r="Q30" i="18"/>
  <c r="Q28" i="10"/>
  <c r="Q38" i="10" s="1"/>
  <c r="P47" i="8"/>
  <c r="K49" i="8"/>
  <c r="K34" i="18" s="1"/>
  <c r="K25" i="16"/>
  <c r="K17" i="16"/>
  <c r="K51" i="8"/>
  <c r="K23" i="16"/>
  <c r="K31" i="18"/>
  <c r="J28" i="10"/>
  <c r="J38" i="10" s="1"/>
  <c r="J30" i="18"/>
  <c r="O28" i="10"/>
  <c r="O38" i="10" s="1"/>
  <c r="O30" i="18"/>
  <c r="M28" i="10"/>
  <c r="M38" i="10" s="1"/>
  <c r="M30" i="18"/>
  <c r="K30" i="18"/>
  <c r="K28" i="10"/>
  <c r="K38" i="10" s="1"/>
  <c r="I23" i="16"/>
  <c r="I49" i="8"/>
  <c r="I34" i="18" s="1"/>
  <c r="I31" i="18"/>
  <c r="I51" i="8"/>
  <c r="I25" i="16"/>
  <c r="I17" i="16"/>
  <c r="M47" i="8"/>
  <c r="M29" i="18"/>
  <c r="K33" i="18" l="1"/>
  <c r="K32" i="18"/>
  <c r="P23" i="16"/>
  <c r="P49" i="8"/>
  <c r="P34" i="18" s="1"/>
  <c r="P51" i="8"/>
  <c r="P25" i="16"/>
  <c r="P17" i="16"/>
  <c r="P31" i="18"/>
  <c r="Q32" i="18" s="1"/>
  <c r="Q33" i="18"/>
  <c r="N23" i="16"/>
  <c r="N17" i="16"/>
  <c r="N31" i="18"/>
  <c r="O32" i="18" s="1"/>
  <c r="N49" i="8"/>
  <c r="N34" i="18" s="1"/>
  <c r="N25" i="16"/>
  <c r="N51" i="8"/>
  <c r="M17" i="16"/>
  <c r="M49" i="8"/>
  <c r="M34" i="18" s="1"/>
  <c r="M31" i="18"/>
  <c r="M51" i="8"/>
  <c r="M23" i="16"/>
  <c r="M25" i="16"/>
  <c r="I33" i="18"/>
  <c r="L32" i="18"/>
  <c r="L33" i="18"/>
  <c r="J32" i="18"/>
  <c r="J33" i="18"/>
  <c r="O33" i="18"/>
  <c r="M32" i="18" l="1"/>
  <c r="M33" i="18"/>
  <c r="P33" i="18"/>
  <c r="P32" i="18"/>
  <c r="N32" i="18"/>
  <c r="N33" i="18"/>
  <c r="H21" i="5"/>
  <c r="H39" i="8" s="1"/>
  <c r="H18" i="5"/>
  <c r="H33" i="8" s="1"/>
  <c r="H27" i="10" l="1"/>
  <c r="H43" i="10"/>
  <c r="H42" i="10"/>
  <c r="H26" i="10"/>
  <c r="H37" i="8"/>
  <c r="H43" i="8" s="1"/>
  <c r="H27" i="18"/>
  <c r="H55" i="10" l="1"/>
  <c r="H15" i="16"/>
  <c r="H45" i="8"/>
  <c r="H47" i="8" s="1"/>
  <c r="H28" i="18"/>
  <c r="H13" i="10"/>
  <c r="H29" i="18" l="1"/>
  <c r="I29" i="18"/>
  <c r="H30" i="18"/>
  <c r="H28" i="10"/>
  <c r="H38" i="10" s="1"/>
  <c r="H25" i="16"/>
  <c r="H31" i="18"/>
  <c r="H17" i="16"/>
  <c r="H49" i="8"/>
  <c r="H34" i="18" s="1"/>
  <c r="H23" i="16"/>
  <c r="H51" i="8"/>
  <c r="I49" i="9" s="1"/>
  <c r="J49" i="9" s="1"/>
  <c r="K49" i="9" s="1"/>
  <c r="L49" i="9" s="1"/>
  <c r="M49" i="9" s="1"/>
  <c r="N49" i="9" s="1"/>
  <c r="O49" i="9" s="1"/>
  <c r="P49" i="9" s="1"/>
  <c r="Q49" i="9" s="1"/>
  <c r="R49" i="9" s="1"/>
  <c r="I32" i="18" l="1"/>
  <c r="H32" i="18"/>
  <c r="H33" i="18"/>
  <c r="I51" i="9" l="1"/>
  <c r="H35" i="16" s="1"/>
  <c r="H66" i="10" l="1"/>
  <c r="H71" i="10" s="1"/>
  <c r="H73" i="10" s="1"/>
  <c r="H75" i="10" s="1"/>
  <c r="I74" i="10" s="1"/>
  <c r="J51" i="9"/>
  <c r="I22" i="16" s="1"/>
  <c r="H22" i="16"/>
  <c r="H24" i="16"/>
  <c r="H26" i="16"/>
  <c r="H36" i="16"/>
  <c r="I76" i="9"/>
  <c r="I34" i="9" s="1"/>
  <c r="I41" i="9" s="1"/>
  <c r="H47" i="16"/>
  <c r="I26" i="16" l="1"/>
  <c r="I24" i="16"/>
  <c r="J76" i="9"/>
  <c r="I35" i="16"/>
  <c r="I66" i="10"/>
  <c r="I71" i="10" s="1"/>
  <c r="I73" i="10" s="1"/>
  <c r="I75" i="10" s="1"/>
  <c r="I47" i="16"/>
  <c r="I36" i="16"/>
  <c r="H77" i="10"/>
  <c r="J34" i="9" l="1"/>
  <c r="J41" i="9" s="1"/>
  <c r="K51" i="9"/>
  <c r="J66" i="10"/>
  <c r="J71" i="10" s="1"/>
  <c r="J73" i="10" s="1"/>
  <c r="J74" i="10"/>
  <c r="H46" i="16"/>
  <c r="H30" i="16"/>
  <c r="I43" i="9"/>
  <c r="H29" i="16"/>
  <c r="L51" i="9"/>
  <c r="K66" i="10"/>
  <c r="K71" i="10" s="1"/>
  <c r="K73" i="10" s="1"/>
  <c r="J36" i="16" l="1"/>
  <c r="J24" i="16"/>
  <c r="J26" i="16"/>
  <c r="J22" i="16"/>
  <c r="I30" i="16"/>
  <c r="I29" i="16"/>
  <c r="J43" i="9"/>
  <c r="I34" i="16" s="1"/>
  <c r="I46" i="16"/>
  <c r="I77" i="10"/>
  <c r="K22" i="16"/>
  <c r="K76" i="9"/>
  <c r="H20" i="16"/>
  <c r="H21" i="16"/>
  <c r="K26" i="16"/>
  <c r="K24" i="16"/>
  <c r="J35" i="16"/>
  <c r="J47" i="16"/>
  <c r="J75" i="10"/>
  <c r="M51" i="9"/>
  <c r="L24" i="16" s="1"/>
  <c r="L66" i="10"/>
  <c r="L71" i="10" s="1"/>
  <c r="L73" i="10" s="1"/>
  <c r="I78" i="9"/>
  <c r="H34" i="16"/>
  <c r="L76" i="9"/>
  <c r="K36" i="16"/>
  <c r="K47" i="16"/>
  <c r="K35" i="16"/>
  <c r="L26" i="16" l="1"/>
  <c r="L22" i="16"/>
  <c r="I20" i="16"/>
  <c r="J78" i="9"/>
  <c r="I21" i="16"/>
  <c r="L34" i="9"/>
  <c r="L41" i="9" s="1"/>
  <c r="K34" i="9"/>
  <c r="K74" i="10"/>
  <c r="K75" i="10" s="1"/>
  <c r="N51" i="9"/>
  <c r="M22" i="16" s="1"/>
  <c r="M66" i="10"/>
  <c r="M71" i="10" s="1"/>
  <c r="M73" i="10" s="1"/>
  <c r="L47" i="16"/>
  <c r="M76" i="9"/>
  <c r="L36" i="16"/>
  <c r="L35" i="16"/>
  <c r="K77" i="10" l="1"/>
  <c r="M26" i="16"/>
  <c r="M24" i="16"/>
  <c r="J77" i="10"/>
  <c r="K41" i="9"/>
  <c r="K29" i="16"/>
  <c r="L43" i="9"/>
  <c r="K30" i="16"/>
  <c r="M34" i="9"/>
  <c r="M41" i="9" s="1"/>
  <c r="L74" i="10"/>
  <c r="L75" i="10" s="1"/>
  <c r="N76" i="9"/>
  <c r="M47" i="16"/>
  <c r="M36" i="16"/>
  <c r="M35" i="16"/>
  <c r="N66" i="10"/>
  <c r="N71" i="10" s="1"/>
  <c r="N73" i="10" s="1"/>
  <c r="O51" i="9"/>
  <c r="N22" i="16" s="1"/>
  <c r="N24" i="16" l="1"/>
  <c r="N26" i="16"/>
  <c r="K34" i="16"/>
  <c r="L77" i="10"/>
  <c r="M43" i="9"/>
  <c r="L34" i="16" s="1"/>
  <c r="L46" i="16"/>
  <c r="L29" i="16"/>
  <c r="L30" i="16"/>
  <c r="J46" i="16"/>
  <c r="J29" i="16"/>
  <c r="J30" i="16"/>
  <c r="K43" i="9"/>
  <c r="M74" i="10"/>
  <c r="M75" i="10" s="1"/>
  <c r="N74" i="10" s="1"/>
  <c r="N75" i="10" s="1"/>
  <c r="N34" i="9"/>
  <c r="L78" i="9"/>
  <c r="K46" i="16"/>
  <c r="O66" i="10"/>
  <c r="O71" i="10" s="1"/>
  <c r="O73" i="10" s="1"/>
  <c r="P51" i="9"/>
  <c r="O26" i="16" s="1"/>
  <c r="N47" i="16"/>
  <c r="O76" i="9"/>
  <c r="N36" i="16"/>
  <c r="N35" i="16"/>
  <c r="O22" i="16" l="1"/>
  <c r="O24" i="16"/>
  <c r="J21" i="16"/>
  <c r="J20" i="16"/>
  <c r="L20" i="16"/>
  <c r="L21" i="16"/>
  <c r="M77" i="10"/>
  <c r="N41" i="9"/>
  <c r="M78" i="9"/>
  <c r="K78" i="9"/>
  <c r="J34" i="16"/>
  <c r="K21" i="16"/>
  <c r="K20" i="16"/>
  <c r="O34" i="9"/>
  <c r="O41" i="9" s="1"/>
  <c r="O74" i="10"/>
  <c r="O75" i="10" s="1"/>
  <c r="P76" i="9"/>
  <c r="O36" i="16"/>
  <c r="O47" i="16"/>
  <c r="O35" i="16"/>
  <c r="P66" i="10"/>
  <c r="P71" i="10" s="1"/>
  <c r="P73" i="10" s="1"/>
  <c r="Q51" i="9"/>
  <c r="P26" i="16" s="1"/>
  <c r="P24" i="16" l="1"/>
  <c r="P22" i="16"/>
  <c r="N77" i="10"/>
  <c r="N29" i="16"/>
  <c r="O43" i="9"/>
  <c r="N34" i="16" s="1"/>
  <c r="N46" i="16"/>
  <c r="N30" i="16"/>
  <c r="P34" i="9"/>
  <c r="M30" i="16"/>
  <c r="N43" i="9"/>
  <c r="M29" i="16"/>
  <c r="M46" i="16"/>
  <c r="Q66" i="10"/>
  <c r="Q71" i="10" s="1"/>
  <c r="Q73" i="10" s="1"/>
  <c r="R51" i="9"/>
  <c r="Q26" i="16" s="1"/>
  <c r="P74" i="10"/>
  <c r="P75" i="10" s="1"/>
  <c r="P47" i="16"/>
  <c r="Q76" i="9"/>
  <c r="P36" i="16"/>
  <c r="P35" i="16"/>
  <c r="Q24" i="16" l="1"/>
  <c r="M21" i="16"/>
  <c r="M20" i="16"/>
  <c r="Q22" i="16"/>
  <c r="O78" i="9"/>
  <c r="O77" i="10"/>
  <c r="P41" i="9"/>
  <c r="M34" i="16"/>
  <c r="N78" i="9"/>
  <c r="N20" i="16"/>
  <c r="N21" i="16"/>
  <c r="Q34" i="9"/>
  <c r="Q74" i="10"/>
  <c r="Q75" i="10" s="1"/>
  <c r="R76" i="9"/>
  <c r="Q47" i="16"/>
  <c r="Q36" i="16"/>
  <c r="Q35" i="16"/>
  <c r="P77" i="10" l="1"/>
  <c r="Q41" i="9"/>
  <c r="O30" i="16"/>
  <c r="O29" i="16"/>
  <c r="O46" i="16"/>
  <c r="P43" i="9"/>
  <c r="R34" i="9"/>
  <c r="R41" i="9" s="1"/>
  <c r="O20" i="16" l="1"/>
  <c r="O21" i="16"/>
  <c r="Q30" i="16"/>
  <c r="R43" i="9"/>
  <c r="Q34" i="16" s="1"/>
  <c r="Q46" i="16"/>
  <c r="Q29" i="16"/>
  <c r="Q77" i="10"/>
  <c r="O34" i="16"/>
  <c r="P78" i="9"/>
  <c r="P29" i="16"/>
  <c r="P30" i="16"/>
  <c r="P46" i="16"/>
  <c r="Q43" i="9"/>
  <c r="P20" i="16" s="1"/>
  <c r="P21" i="16" l="1"/>
  <c r="R78" i="9"/>
  <c r="Q21" i="16"/>
  <c r="P34" i="16"/>
  <c r="Q78" i="9"/>
  <c r="Q20" i="16"/>
</calcChain>
</file>

<file path=xl/comments1.xml><?xml version="1.0" encoding="utf-8"?>
<comments xmlns="http://schemas.openxmlformats.org/spreadsheetml/2006/main" xmlns:mc="http://schemas.openxmlformats.org/markup-compatibility/2006" xmlns:xr="http://schemas.microsoft.com/office/spreadsheetml/2014/revision" mc:Ignorable="xr">
  <authors>
    <author>.</author>
  </authors>
  <commentList>
    <comment ref="D33" authorId="0" shapeId="0" xr:uid="{39BACA96-0BBC-014B-9F76-7DCE91F143E1}">
      <text>
        <r>
          <rPr>
            <b/>
            <sz val="10"/>
            <color rgb="FF000000"/>
            <rFont val="Tahoma"/>
            <family val="2"/>
          </rPr>
          <t>.:</t>
        </r>
        <r>
          <rPr>
            <sz val="10"/>
            <color rgb="FF000000"/>
            <rFont val="Tahoma"/>
            <family val="2"/>
          </rPr>
          <t xml:space="preserve">
</t>
        </r>
        <r>
          <rPr>
            <sz val="10"/>
            <color rgb="FF000000"/>
            <rFont val="Tahoma"/>
            <family val="2"/>
          </rPr>
          <t>As on 25th june 2025</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C14BA9B7-635D-E743-A19C-B1DEDCC56C93}" keepAlive="1" name="Query - 532424" description="Connection to the '532424' query in the workbook." type="5" refreshedVersion="0" background="1">
    <dbPr connection="Provider=Microsoft.Mashup.OleDb.1;Data Source=$Workbook$;Location=532424;Extended Properties=&quot;&quot;" command="SELECT * FROM [532424]"/>
  </connection>
  <connection id="2" xr16:uid="{4C03DEA1-DC8B-AB4A-8874-9E51E9D92F38}" keepAlive="1" name="Query - NIFTY 50_Historical_PR_26062020to26062025" description="Connection to the 'NIFTY 50_Historical_PR_26062020to26062025' query in the workbook." type="5" refreshedVersion="0" background="1">
    <dbPr connection="Provider=Microsoft.Mashup.OleDb.1;Data Source=$Workbook$;Location=&quot;NIFTY 50_Historical_PR_26062020to26062025&quot;;Extended Properties=&quot;&quot;" command="SELECT * FROM [NIFTY 50_Historical_PR_26062020to26062025]"/>
  </connection>
  <connection id="3" xr16:uid="{379D428C-7405-4846-BC60-73655C338FB7}" keepAlive="1" name="Query - NIFTY 50_Historical_PR_26062024to26062025" description="Connection to the 'NIFTY 50_Historical_PR_26062024to26062025' query in the workbook." type="5" refreshedVersion="8" background="1" saveData="1">
    <dbPr connection="Provider=Microsoft.Mashup.OleDb.1;Data Source=$Workbook$;Location=&quot;NIFTY 50_Historical_PR_26062024to26062025&quot;;Extended Properties=&quot;&quot;" command="SELECT * FROM [NIFTY 50_Historical_PR_26062024to26062025]"/>
  </connection>
  <connection id="4" xr16:uid="{0CC0F7B1-7E20-B44B-B3CB-29F4B3CECBF4}" keepAlive="1" name="Query - NIFTY 50_Historical_PR_28062020to28062025" description="Connection to the 'NIFTY 50_Historical_PR_28062020to28062025' query in the workbook." type="5" refreshedVersion="0" background="1">
    <dbPr connection="Provider=Microsoft.Mashup.OleDb.1;Data Source=$Workbook$;Location=&quot;NIFTY 50_Historical_PR_28062020to28062025&quot;;Extended Properties=&quot;&quot;" command="SELECT * FROM [NIFTY 50_Historical_PR_28062020to28062025]"/>
  </connection>
</connections>
</file>

<file path=xl/sharedStrings.xml><?xml version="1.0" encoding="utf-8"?>
<sst xmlns="http://schemas.openxmlformats.org/spreadsheetml/2006/main" count="1050" uniqueCount="440">
  <si>
    <t>Particulars</t>
  </si>
  <si>
    <t>2019-20</t>
  </si>
  <si>
    <t>Audited</t>
  </si>
  <si>
    <t>2020-21</t>
  </si>
  <si>
    <t>2021-22</t>
  </si>
  <si>
    <t>2022-23</t>
  </si>
  <si>
    <t>Revenue from Operations</t>
  </si>
  <si>
    <t>Other Income</t>
  </si>
  <si>
    <t>Expenses</t>
  </si>
  <si>
    <t>Total Income</t>
  </si>
  <si>
    <t>Employee Benefit Expenses</t>
  </si>
  <si>
    <t>Finance Costs</t>
  </si>
  <si>
    <t>Depreciation &amp; Amortisation</t>
  </si>
  <si>
    <t>Other expenses</t>
  </si>
  <si>
    <t>Total Expenses</t>
  </si>
  <si>
    <t>EBITDA</t>
  </si>
  <si>
    <t>EBIT</t>
  </si>
  <si>
    <t>Profit before Tax</t>
  </si>
  <si>
    <t>Taxes</t>
  </si>
  <si>
    <t>Net Profit</t>
  </si>
  <si>
    <t>ASSETS</t>
  </si>
  <si>
    <t>Non-Current Assets</t>
  </si>
  <si>
    <t>PPE</t>
  </si>
  <si>
    <t>Capital WIP</t>
  </si>
  <si>
    <t>Other non-current assets</t>
  </si>
  <si>
    <t>Other financial assets</t>
  </si>
  <si>
    <t>Current Assets</t>
  </si>
  <si>
    <t>Inventories</t>
  </si>
  <si>
    <t>Trade Reveivables</t>
  </si>
  <si>
    <t>Other current assets</t>
  </si>
  <si>
    <t>EQUITY AND LIABILITIES</t>
  </si>
  <si>
    <t>Shareholder Funds</t>
  </si>
  <si>
    <t>Equity Share Capital</t>
  </si>
  <si>
    <t>Other Equity</t>
  </si>
  <si>
    <t>Non-current liabilities</t>
  </si>
  <si>
    <t>Borrowings</t>
  </si>
  <si>
    <t>Provisions</t>
  </si>
  <si>
    <t>Other financial liabilities</t>
  </si>
  <si>
    <t>Deferred Tax Liability</t>
  </si>
  <si>
    <t>Other non-current liabilites</t>
  </si>
  <si>
    <t>TOTAL</t>
  </si>
  <si>
    <t>Current Liablities</t>
  </si>
  <si>
    <t>Trade Payables</t>
  </si>
  <si>
    <t>other current liabilities</t>
  </si>
  <si>
    <t>Purchases</t>
  </si>
  <si>
    <t>Changes in Inventory</t>
  </si>
  <si>
    <t>Assumptions</t>
  </si>
  <si>
    <t>%</t>
  </si>
  <si>
    <t>Year</t>
  </si>
  <si>
    <t>Nos</t>
  </si>
  <si>
    <t>2023-24</t>
  </si>
  <si>
    <t>2024-25</t>
  </si>
  <si>
    <t>2025-26</t>
  </si>
  <si>
    <t>2026-27</t>
  </si>
  <si>
    <t>2027-28</t>
  </si>
  <si>
    <t>2028-29</t>
  </si>
  <si>
    <t>2029-30</t>
  </si>
  <si>
    <t>2030-31</t>
  </si>
  <si>
    <t>2031-32</t>
  </si>
  <si>
    <t>2032-33</t>
  </si>
  <si>
    <t>Estimated</t>
  </si>
  <si>
    <t>Projected</t>
  </si>
  <si>
    <t>Perpetual Growth rate</t>
  </si>
  <si>
    <t>Company data</t>
  </si>
  <si>
    <t>No of Outstanding shares</t>
  </si>
  <si>
    <t>Market Capitalisation</t>
  </si>
  <si>
    <t>Rs.</t>
  </si>
  <si>
    <t>10 year Bond yield rate</t>
  </si>
  <si>
    <t>Scenario</t>
  </si>
  <si>
    <t>Case</t>
  </si>
  <si>
    <t>Best case</t>
  </si>
  <si>
    <t>Base case</t>
  </si>
  <si>
    <t>Worst case</t>
  </si>
  <si>
    <t>Face Value per share</t>
  </si>
  <si>
    <t>Amount</t>
  </si>
  <si>
    <t>INR in crs</t>
  </si>
  <si>
    <t>(INR in Crores)</t>
  </si>
  <si>
    <t>Tax rate</t>
  </si>
  <si>
    <t>Freehold Land</t>
  </si>
  <si>
    <t>Opening Gross Block</t>
  </si>
  <si>
    <t>Additions</t>
  </si>
  <si>
    <t>Closing Gross Block</t>
  </si>
  <si>
    <t>Accumulated Depreciation</t>
  </si>
  <si>
    <t>Depreciation for year</t>
  </si>
  <si>
    <t>Net Block</t>
  </si>
  <si>
    <t>Building</t>
  </si>
  <si>
    <t>Plant &amp; Equipment</t>
  </si>
  <si>
    <t>Furniture &amp; Fixtures</t>
  </si>
  <si>
    <t>Office Equipment</t>
  </si>
  <si>
    <t>Net Working Capital</t>
  </si>
  <si>
    <t>DSO</t>
  </si>
  <si>
    <t>DIO</t>
  </si>
  <si>
    <t>DPO</t>
  </si>
  <si>
    <t>Net Trade Cycle</t>
  </si>
  <si>
    <t>Total COGS</t>
  </si>
  <si>
    <t>(on PY end borrowings)</t>
  </si>
  <si>
    <t>LIABILITIES</t>
  </si>
  <si>
    <t>Cashflows from Operating activities</t>
  </si>
  <si>
    <t>Cashflows from Investing activities</t>
  </si>
  <si>
    <t>Profit before tax</t>
  </si>
  <si>
    <t>Add:</t>
  </si>
  <si>
    <t>(unless otherwise mentioned - % on Revenue)</t>
  </si>
  <si>
    <t>Dividend</t>
  </si>
  <si>
    <t>(per share)</t>
  </si>
  <si>
    <t>Finance costs</t>
  </si>
  <si>
    <t>Less:</t>
  </si>
  <si>
    <t>Cashflows from Financing activities</t>
  </si>
  <si>
    <t>Increase in non-current liabilities</t>
  </si>
  <si>
    <t>Taxes paid</t>
  </si>
  <si>
    <t>Net Cashflows during the year</t>
  </si>
  <si>
    <t>Opening Cash &amp; Cash equivalents</t>
  </si>
  <si>
    <t>Closing Cash &amp; Cash equivalents</t>
  </si>
  <si>
    <t>Increase/(decrease) in Current Liabilities</t>
  </si>
  <si>
    <t>Increase/(decrease) in Current Assets</t>
  </si>
  <si>
    <t>Total PPE - Net block</t>
  </si>
  <si>
    <t>Interest paid</t>
  </si>
  <si>
    <t>Changes in other equity</t>
  </si>
  <si>
    <t>Intangible Assets</t>
  </si>
  <si>
    <t>PPE Assets</t>
  </si>
  <si>
    <t>Date</t>
  </si>
  <si>
    <t>Chg%</t>
  </si>
  <si>
    <t>Nifty 50</t>
  </si>
  <si>
    <t>Covariance</t>
  </si>
  <si>
    <t>Variance</t>
  </si>
  <si>
    <t>Beta</t>
  </si>
  <si>
    <t>Less: Tax on EBIT</t>
  </si>
  <si>
    <t>Add: Depreciation &amp; Amortisation</t>
  </si>
  <si>
    <t>Less: Capex</t>
  </si>
  <si>
    <t>Change in working capital</t>
  </si>
  <si>
    <t>Unlevered FCFF</t>
  </si>
  <si>
    <t>Cost of Equity</t>
  </si>
  <si>
    <r>
      <t>Risk-free rate (R</t>
    </r>
    <r>
      <rPr>
        <vertAlign val="subscript"/>
        <sz val="11"/>
        <color theme="1"/>
        <rFont val="Cambria"/>
        <family val="1"/>
        <scheme val="major"/>
      </rPr>
      <t>f</t>
    </r>
    <r>
      <rPr>
        <sz val="11"/>
        <color theme="1"/>
        <rFont val="Cambria"/>
        <family val="1"/>
        <scheme val="major"/>
      </rPr>
      <t>)</t>
    </r>
  </si>
  <si>
    <r>
      <t>Market return (R</t>
    </r>
    <r>
      <rPr>
        <vertAlign val="subscript"/>
        <sz val="11"/>
        <color theme="1"/>
        <rFont val="Cambria"/>
        <family val="1"/>
        <scheme val="major"/>
      </rPr>
      <t>m</t>
    </r>
    <r>
      <rPr>
        <sz val="11"/>
        <color theme="1"/>
        <rFont val="Cambria"/>
        <family val="1"/>
        <scheme val="major"/>
      </rPr>
      <t>)</t>
    </r>
  </si>
  <si>
    <r>
      <t>Equity Risk Premium (R</t>
    </r>
    <r>
      <rPr>
        <vertAlign val="subscript"/>
        <sz val="11"/>
        <color theme="1"/>
        <rFont val="Cambria"/>
        <family val="1"/>
        <scheme val="major"/>
      </rPr>
      <t>m</t>
    </r>
    <r>
      <rPr>
        <sz val="11"/>
        <color theme="1"/>
        <rFont val="Cambria"/>
        <family val="1"/>
        <scheme val="major"/>
      </rPr>
      <t>-R</t>
    </r>
    <r>
      <rPr>
        <vertAlign val="subscript"/>
        <sz val="11"/>
        <color theme="1"/>
        <rFont val="Cambria"/>
        <family val="1"/>
        <scheme val="major"/>
      </rPr>
      <t>f</t>
    </r>
    <r>
      <rPr>
        <sz val="11"/>
        <color theme="1"/>
        <rFont val="Cambria"/>
        <family val="1"/>
        <scheme val="major"/>
      </rPr>
      <t>)</t>
    </r>
  </si>
  <si>
    <t>Cost of Equity (CAPM)</t>
  </si>
  <si>
    <t>Discount rate (WACC)</t>
  </si>
  <si>
    <t>Equity</t>
  </si>
  <si>
    <t>Debt (after tax)</t>
  </si>
  <si>
    <t>Equity value</t>
  </si>
  <si>
    <t>Debt Value</t>
  </si>
  <si>
    <t>Cost</t>
  </si>
  <si>
    <t>Weightage</t>
  </si>
  <si>
    <t>WACC</t>
  </si>
  <si>
    <t>Market value</t>
  </si>
  <si>
    <t>Terminal value</t>
  </si>
  <si>
    <t>Intrinsic value</t>
  </si>
  <si>
    <t>Sum of PV of cashflows</t>
  </si>
  <si>
    <t>PV of Terminal value</t>
  </si>
  <si>
    <t>Enterprise value</t>
  </si>
  <si>
    <t>Add: Cash &amp; Cash Equivalents</t>
  </si>
  <si>
    <t>Less: Debt</t>
  </si>
  <si>
    <t>Less: Non-controlling interest</t>
  </si>
  <si>
    <t>Less: Preferred stock</t>
  </si>
  <si>
    <t>No of shares outstanding</t>
  </si>
  <si>
    <t>Intrinsic value per share</t>
  </si>
  <si>
    <t>Terminal Growth Rate</t>
  </si>
  <si>
    <t>Discount Rate</t>
  </si>
  <si>
    <t>Sensitivity Analysis</t>
  </si>
  <si>
    <t>KPIs</t>
  </si>
  <si>
    <t>Liquidity ratios</t>
  </si>
  <si>
    <t>Current ratio</t>
  </si>
  <si>
    <t>Quick ratio</t>
  </si>
  <si>
    <t>Solvency ratios</t>
  </si>
  <si>
    <t>Debt ratio</t>
  </si>
  <si>
    <t>Debt-Equity ratio</t>
  </si>
  <si>
    <t>Interest coverage ratio</t>
  </si>
  <si>
    <t>Debt-service coverage ratio</t>
  </si>
  <si>
    <t>ISIN Code</t>
  </si>
  <si>
    <t>Sector Name</t>
  </si>
  <si>
    <t>Industry</t>
  </si>
  <si>
    <t>Exchange Name</t>
  </si>
  <si>
    <t>Website</t>
  </si>
  <si>
    <t>Company Description</t>
  </si>
  <si>
    <t>P&amp;L Input</t>
  </si>
  <si>
    <t>Balance Sheet Input</t>
  </si>
  <si>
    <t>Common Sizing</t>
  </si>
  <si>
    <t>Revenue Buildup</t>
  </si>
  <si>
    <t>Cost Buidup</t>
  </si>
  <si>
    <t>Fixed Assets Schedule</t>
  </si>
  <si>
    <t>Working Capital</t>
  </si>
  <si>
    <t>Income Statement</t>
  </si>
  <si>
    <t>Cash Flow Statement</t>
  </si>
  <si>
    <t>Balance Sheet</t>
  </si>
  <si>
    <t>Balance Sheet Items</t>
  </si>
  <si>
    <t>Sheet</t>
  </si>
  <si>
    <t>Reference</t>
  </si>
  <si>
    <t>Cost Buildup</t>
  </si>
  <si>
    <t>Fixed Assets Schedule (FAS)</t>
  </si>
  <si>
    <t>BS Items</t>
  </si>
  <si>
    <t>Cash and Cash equivalents are taken as the balancing figures in the Balance Sheet.</t>
  </si>
  <si>
    <t>Ratio Analysis</t>
  </si>
  <si>
    <t>Profitability Ratios</t>
  </si>
  <si>
    <t>Gross Margin</t>
  </si>
  <si>
    <t>EBITDA Margin</t>
  </si>
  <si>
    <t>Operating Margin</t>
  </si>
  <si>
    <t>Pretax Margin</t>
  </si>
  <si>
    <t>Effective Tax rate</t>
  </si>
  <si>
    <t>Net Margin</t>
  </si>
  <si>
    <t xml:space="preserve"> </t>
  </si>
  <si>
    <t>DuPont/Earning Power</t>
  </si>
  <si>
    <t>Asset Turnover</t>
  </si>
  <si>
    <t>Pre tax ROA</t>
  </si>
  <si>
    <t>Pre Tax ROE</t>
  </si>
  <si>
    <t>Tax Complement</t>
  </si>
  <si>
    <t>ROE</t>
  </si>
  <si>
    <t>Equity Retention</t>
  </si>
  <si>
    <t>Reinvestment Rate</t>
  </si>
  <si>
    <t>Liquidity Ratio</t>
  </si>
  <si>
    <t>Cash Cycle (Days)</t>
  </si>
  <si>
    <t>Leverage</t>
  </si>
  <si>
    <t>Asset/Equity</t>
  </si>
  <si>
    <t>Debt/Equity</t>
  </si>
  <si>
    <t>% LT Debt to Total Capital</t>
  </si>
  <si>
    <t>Operating</t>
  </si>
  <si>
    <t>A/R Turnover</t>
  </si>
  <si>
    <t>Avg. A/R Days</t>
  </si>
  <si>
    <t>Inventory Turnover</t>
  </si>
  <si>
    <t>Avg. Inventory Days</t>
  </si>
  <si>
    <t>A/P Turnover</t>
  </si>
  <si>
    <t>Avg. A/P Days</t>
  </si>
  <si>
    <t>Fixed Asset Turnover</t>
  </si>
  <si>
    <t>WC / Sales Growth</t>
  </si>
  <si>
    <t>ROIC</t>
  </si>
  <si>
    <t>Total Shareholders' Equity</t>
  </si>
  <si>
    <t>Total Current Liabilities</t>
  </si>
  <si>
    <t>Total Non-current Liabilities</t>
  </si>
  <si>
    <t>Total Non-current Assets</t>
  </si>
  <si>
    <t>Total Current Assets</t>
  </si>
  <si>
    <t>Interpretation of ratios</t>
  </si>
  <si>
    <t>Current Market price</t>
  </si>
  <si>
    <t>Current Market Price</t>
  </si>
  <si>
    <t>Sale of Products</t>
  </si>
  <si>
    <t>Profit before exceptional items, share of associate's profits &amp; tax</t>
  </si>
  <si>
    <t>Share of associate's profits</t>
  </si>
  <si>
    <t>Exceptional items</t>
  </si>
  <si>
    <t>Cost of materials consumed</t>
  </si>
  <si>
    <t>Purchase of Stock-in-trade</t>
  </si>
  <si>
    <t>Other Intangible assets</t>
  </si>
  <si>
    <t>Investments in JV &amp; Associates</t>
  </si>
  <si>
    <t>Financial Assets</t>
  </si>
  <si>
    <t>Total Non-current assets</t>
  </si>
  <si>
    <t>Total Equity</t>
  </si>
  <si>
    <t xml:space="preserve">      Other Investments</t>
  </si>
  <si>
    <t xml:space="preserve">      Loans</t>
  </si>
  <si>
    <t xml:space="preserve">     Other financial assets</t>
  </si>
  <si>
    <t xml:space="preserve">      Trade Reveivables</t>
  </si>
  <si>
    <t xml:space="preserve">      Cash &amp; Cash Equivalents</t>
  </si>
  <si>
    <t xml:space="preserve">      Other financial assets</t>
  </si>
  <si>
    <t>Financial Liabilities</t>
  </si>
  <si>
    <t xml:space="preserve">      Borrowings</t>
  </si>
  <si>
    <t xml:space="preserve">      Lease Liabilities</t>
  </si>
  <si>
    <t xml:space="preserve">      Other financial liabilities</t>
  </si>
  <si>
    <t xml:space="preserve">      Trade Payables</t>
  </si>
  <si>
    <t>Total Non-Current liabilites</t>
  </si>
  <si>
    <t>Total Current liabilities</t>
  </si>
  <si>
    <t xml:space="preserve">      Other Financial liabilities</t>
  </si>
  <si>
    <t xml:space="preserve">      Lease liabilities</t>
  </si>
  <si>
    <t>Total Intangible Assets</t>
  </si>
  <si>
    <t>ROU Assets</t>
  </si>
  <si>
    <t>Total ROU Assets</t>
  </si>
  <si>
    <t>Y-O-Y Growth</t>
  </si>
  <si>
    <t>Other Investments</t>
  </si>
  <si>
    <t>Loans</t>
  </si>
  <si>
    <t>Lease liabilities</t>
  </si>
  <si>
    <t>Current Tax liabilities</t>
  </si>
  <si>
    <t>Trade Receivables</t>
  </si>
  <si>
    <t>Gross Profit Margin</t>
  </si>
  <si>
    <t>Changes in invetories (diff b/w closing bal)</t>
  </si>
  <si>
    <t>Profit before Excetional items, Share of associates profits &amp; Tax</t>
  </si>
  <si>
    <t>Share of Associates Profits</t>
  </si>
  <si>
    <t>Share of Associate's profits</t>
  </si>
  <si>
    <t>Lease Liabilities</t>
  </si>
  <si>
    <t>Investments in JV / Associates</t>
  </si>
  <si>
    <t>Other Financial Assets</t>
  </si>
  <si>
    <t>Trend</t>
  </si>
  <si>
    <t>Gross Profit</t>
  </si>
  <si>
    <t>Change %</t>
  </si>
  <si>
    <t>Interest rate</t>
  </si>
  <si>
    <t>Market Return</t>
  </si>
  <si>
    <t>Standard Income Statement</t>
  </si>
  <si>
    <t>Revenue</t>
  </si>
  <si>
    <t>YoY Growth %</t>
  </si>
  <si>
    <t>Cost of Good Sold</t>
  </si>
  <si>
    <t>Gross profit</t>
  </si>
  <si>
    <t>Gross Profit margin</t>
  </si>
  <si>
    <t>Employee benefits expense</t>
  </si>
  <si>
    <t>Operating Expenses</t>
  </si>
  <si>
    <t>Depreciation &amp; Amort</t>
  </si>
  <si>
    <t>Finance Cost</t>
  </si>
  <si>
    <t xml:space="preserve">Other Income </t>
  </si>
  <si>
    <t xml:space="preserve">PBT  </t>
  </si>
  <si>
    <t xml:space="preserve">Tax expense </t>
  </si>
  <si>
    <t>Profit(Loss)for the period</t>
  </si>
  <si>
    <t>Net Profit margin</t>
  </si>
  <si>
    <t xml:space="preserve">EPS (Rs) </t>
  </si>
  <si>
    <t>(as % on Net Profit)</t>
  </si>
  <si>
    <t>Other Comprehensive Income</t>
  </si>
  <si>
    <t>Revenue % (y-o-y)</t>
  </si>
  <si>
    <t>GP%</t>
  </si>
  <si>
    <t>EBITDA%</t>
  </si>
  <si>
    <t>EBIT %</t>
  </si>
  <si>
    <t>NP %</t>
  </si>
  <si>
    <t>ROA</t>
  </si>
  <si>
    <t>Assets / Equity</t>
  </si>
  <si>
    <t>Basic EPS</t>
  </si>
  <si>
    <t>Total Fixed Assets - Net Block</t>
  </si>
  <si>
    <t>Increase in Capital WIP</t>
  </si>
  <si>
    <t>Increase in Fixed Assets</t>
  </si>
  <si>
    <t>Total Capex</t>
  </si>
  <si>
    <t>FMCG</t>
  </si>
  <si>
    <t>Revenue in Crs</t>
  </si>
  <si>
    <t>Within India</t>
  </si>
  <si>
    <t>Outside India</t>
  </si>
  <si>
    <t>Company Sales</t>
  </si>
  <si>
    <t>Goodwill</t>
  </si>
  <si>
    <t>Current Tax Assets(net)</t>
  </si>
  <si>
    <t>Deferred Tax Liability(net)</t>
  </si>
  <si>
    <t>Current Tax Liabiliites(net)</t>
  </si>
  <si>
    <t>Other Current Liabilities</t>
  </si>
  <si>
    <t xml:space="preserve">     Loans</t>
  </si>
  <si>
    <t>Deferred Tax Assets(net)</t>
  </si>
  <si>
    <t>Deferred Tax Asstes(net)</t>
  </si>
  <si>
    <t>Current Tax Liabilities(net)</t>
  </si>
  <si>
    <t>Foreign Exchange Fluctuation</t>
  </si>
  <si>
    <t>Vehicles</t>
  </si>
  <si>
    <t>Computers</t>
  </si>
  <si>
    <t>Computer Software</t>
  </si>
  <si>
    <t>Issue of Equity shares</t>
  </si>
  <si>
    <t>Current Tax Assets</t>
  </si>
  <si>
    <t>Deferred Tax Assets</t>
  </si>
  <si>
    <t>Share of associates</t>
  </si>
  <si>
    <t>Share of associates profit</t>
  </si>
  <si>
    <t xml:space="preserve">Increase in Capital WIP </t>
  </si>
  <si>
    <t>Capital Expenditure on PPE, ROU &amp; Intangibles</t>
  </si>
  <si>
    <t>Balance sheet items are projected  as % on Revenue using the latest previous year's % as base otherwise as mentioned and Borrowings are adjusted (assummed to be taken/repaid) based on availability of Cash &amp; Cash equivalents</t>
  </si>
  <si>
    <t>Upside/downside potential</t>
  </si>
  <si>
    <t>Godrej Consumer Products Limited</t>
  </si>
  <si>
    <t>Consumer Products</t>
  </si>
  <si>
    <t>BSE: 532424, NSE: GODREJCP</t>
  </si>
  <si>
    <t>INE102D01028</t>
  </si>
  <si>
    <t>https://www.godrejcp.com/</t>
  </si>
  <si>
    <t>Godrej Consumer Products Limited (GCPL) is a prominent player in the FMCG sector and part of the 126-year-old Godrej Group. The Company operates across key categories such as home care, personal care, and hygiene, with popular brands like Goodknight, HIT, and Godrej Aer. GCPL has a strong global footprint across Asia, Africa, and Latin America, reaching over 1.4 billion consumers. The company recently enhanced its lifestyle portfolio by acquiring Raymond Consumer Care Limited, adding Park Avenue and Kamasutra brands to its offerings</t>
  </si>
  <si>
    <t>Non-Current tax assets(net)</t>
  </si>
  <si>
    <t>Non current assets held for sale</t>
  </si>
  <si>
    <t xml:space="preserve">      Investments</t>
  </si>
  <si>
    <t xml:space="preserve">      Bank balance</t>
  </si>
  <si>
    <t>Cash ratio</t>
  </si>
  <si>
    <t>Other Operating Revenues</t>
  </si>
  <si>
    <t>Scenario: Domestic Sales</t>
  </si>
  <si>
    <t>Scenario: Exports Sales</t>
  </si>
  <si>
    <t>Domestic Sales growth rate</t>
  </si>
  <si>
    <t>Export Sales growth rate</t>
  </si>
  <si>
    <t>Company Export data</t>
  </si>
  <si>
    <r>
      <t xml:space="preserve">Domestic Growth                                </t>
    </r>
    <r>
      <rPr>
        <i/>
        <sz val="11"/>
        <color theme="1"/>
        <rFont val="Cambria"/>
        <family val="1"/>
        <scheme val="major"/>
      </rPr>
      <t>Y-O-Y</t>
    </r>
  </si>
  <si>
    <r>
      <rPr>
        <sz val="11"/>
        <color theme="1"/>
        <rFont val="Cambria"/>
        <family val="1"/>
        <scheme val="major"/>
      </rPr>
      <t xml:space="preserve">            Export Growth</t>
    </r>
    <r>
      <rPr>
        <i/>
        <sz val="11"/>
        <color theme="1"/>
        <rFont val="Cambria"/>
        <family val="1"/>
        <scheme val="major"/>
      </rPr>
      <t xml:space="preserve">                                    Y-O-Y                                    </t>
    </r>
  </si>
  <si>
    <t>-</t>
  </si>
  <si>
    <t>Leasehold Land</t>
  </si>
  <si>
    <t>Reclassified as Investment Property</t>
  </si>
  <si>
    <t>Leasehold Improvements</t>
  </si>
  <si>
    <t>Transferred to assets held for sale</t>
  </si>
  <si>
    <t>Exchange difference</t>
  </si>
  <si>
    <t>2033-34</t>
  </si>
  <si>
    <t>Additions / (Deletions) during the year</t>
  </si>
  <si>
    <t>Others</t>
  </si>
  <si>
    <t>Accumulated Amortisation</t>
  </si>
  <si>
    <t>Trademarks and Brands</t>
  </si>
  <si>
    <t>Technical Knowhow</t>
  </si>
  <si>
    <t>Transfer to leases</t>
  </si>
  <si>
    <t>Plants &amp; Equipments</t>
  </si>
  <si>
    <t>Transferred from PP&amp;E</t>
  </si>
  <si>
    <t>Investments</t>
  </si>
  <si>
    <t>Deferred tax assets(net)</t>
  </si>
  <si>
    <t>Assets held for sale</t>
  </si>
  <si>
    <t>Exceptional Items</t>
  </si>
  <si>
    <t>GCPL</t>
  </si>
  <si>
    <t>Classified as Held for Sale</t>
  </si>
  <si>
    <t>Disposals</t>
  </si>
  <si>
    <t>Hyperinflation Adjustment</t>
  </si>
  <si>
    <t>Forex fluctuations</t>
  </si>
  <si>
    <t>Transferred to Leases</t>
  </si>
  <si>
    <t>Disposal of Subsidiary</t>
  </si>
  <si>
    <t>Hyperinflation Depreciation</t>
  </si>
  <si>
    <t>Reclassified to Investment Property</t>
  </si>
  <si>
    <t>Business Combinations</t>
  </si>
  <si>
    <t>Impairment</t>
  </si>
  <si>
    <t>Vehicles (Lease)</t>
  </si>
  <si>
    <t>Buildings (Lease)</t>
  </si>
  <si>
    <t>Derecognition (Sub.)</t>
  </si>
  <si>
    <t>Acquisition (Business Comb.)</t>
  </si>
  <si>
    <t>Hyperinflation Adj.</t>
  </si>
  <si>
    <t>Additional Amortisation (Hyperinflation)</t>
  </si>
  <si>
    <t>Yearfrac</t>
  </si>
  <si>
    <t>Index</t>
  </si>
  <si>
    <t>Nifty 50 TRI</t>
  </si>
  <si>
    <t>(% on total Sales)</t>
  </si>
  <si>
    <t xml:space="preserve">H12:Q12, H18:Q18, H21:Q21 </t>
  </si>
  <si>
    <t>Other operating income is projected as a percentage of total sales, while Other Income and Share of Associate's Profits are projected as a percentage of Sale of Goods — all based on previous year metrics</t>
  </si>
  <si>
    <t>Company sales are categorised into two segments: within India (domestic) and outside India (exports). For the audited years, actual figures are reported. For the estimated and forecast years, domestic sales are projected by taking the previous year as the base and applying a 0.8% year-on-year growth.</t>
  </si>
  <si>
    <t>H30:Q30</t>
  </si>
  <si>
    <t>H31:Q31</t>
  </si>
  <si>
    <t>All the costs are projected as a % of total sales except for finance costs which are calculated on PY end borrowings and latest years's % rates are used for projections.</t>
  </si>
  <si>
    <t>H34:Q34</t>
  </si>
  <si>
    <t>Trade Receivables, Inventory and Trade Payables are forecasted at 5% annual growth rate for forecasted period taking previous year as base.</t>
  </si>
  <si>
    <t>I34:R34</t>
  </si>
  <si>
    <t>After careful analysis of the export growth metrics from previous years, the immediately preceding year's growth rate of 0.67% was identified as an outlier. Therefore, the year before that, with a growth rate of 4.87%, has been considered as the base. Export sales are projected by applying a 3% year-on-year growth on this adjusted base</t>
  </si>
  <si>
    <t>H11:Q11, H281:Q281</t>
  </si>
  <si>
    <t>H277:Q277</t>
  </si>
  <si>
    <t>I13:R13,              I59:R59</t>
  </si>
  <si>
    <t>H13:Q13,       H31:Q31</t>
  </si>
  <si>
    <t>H11:Q11,   H12:Q12, H13:Q13</t>
  </si>
  <si>
    <t>The average of the last 5 audited years is taken to estimate additions, disposals, and depreciation of Fixed Assets, Intangibles, and ROU Assets for the estimated year, with a 0.5% increase applied for the immediate next forecast year.</t>
  </si>
  <si>
    <t>Capex is estimated using the average of the last 5 audited years, with a 0.5% increase applied in the next forecast year</t>
  </si>
  <si>
    <t>For the estimated year, the tax rate is taken as 20%, based on the year preceding the anomaly in 2024. From this base, the tax rate is projected to increase by 1% every two year going forward</t>
  </si>
  <si>
    <t xml:space="preserve">For the estimated year, the tax rate is taken as 20%, based on the year preceding the anomaly in 2024. From this base, the tax rate is projected to increase by 1% every two year going forward				</t>
  </si>
  <si>
    <t>The Gross Margin declined from 57% in 2020 to 50% in 2023, before improving to 55% in 2024, where it remains stable through the projected period. This reflects Godrej Consumer Products’ consistent control over production and procurement costs, indicating operational stability and steady growth potential.</t>
  </si>
  <si>
    <t>The EBITDA Margin dipped to 18% in 2023, likely due to the decline in Gross Margin that year, before recovering to 21% in 2024, where it remains stable throughout the projection period. This consistent forecast is based on the latest analysis approach. The improved margin suggests that Godrej Consumer Products is expected to operate more efficiently, likely by maintaining the cost control measures adopted in 2024 across future years.</t>
  </si>
  <si>
    <t>The Operating Margin declined from 20% in 2020–2021 to 16% in 2023, then gradually increased to 21% by 2027, where it remains stable. While the EBITDA Margin stays flat at 21% across the projection period, the improvement in Operating Margin is supported by lower Depreciation &amp; Amortisation impact, as Capex grows at a significantly slower pace (ranging between –0.4% and 1.4%) compared to the Revenue growth rate, which accelerates from 7.4% to 9.7%. This divergence leads to enhanced operational profitability over time.</t>
  </si>
  <si>
    <t>The Pre-tax Margin remained strong at 18–19% during 2020–2022, before declining to 16% in 2023 and dropping sharply to 1% in 2024, primarily due to an exceptional restructuring expense. From 2025 onward, it recovers to 17%, gradually returning to 18% by 2032, where it remains stable. This recovery, using the latest projection approach, is supported by Depreciation &amp; Amortisation and Finance Costs being linked to Fixed Assets and Borrowings, both of which grow slower than revenue, leading to a sustained improvement in profitability over the forecast period.</t>
  </si>
  <si>
    <t>As with the Pre-tax Margin, the Net Margin also saw a significant decline—dropping to –4% in 2024, primarily due to the exceptional restructuring expense. It recovers to 13% in 2025, slightly below the 2020–2022 range of 15–16%, and remains stable at 13% through the forecast period. The slower recovery in Net Margin compared to Pre-tax Margin is due to the effective tax rate increasing by 1% every two years, which puts downward pressure on overall profitability despite operational recovery.</t>
  </si>
  <si>
    <t>In 2021, GCPL’s Asset Turnover stood at 75%, improving slightly to 78% by 2024, but then steadily declining to 41% by 2034. This trend indicates that asset growth is outpacing revenue growth, leading to a gradual decline in asset utilization efficiency over the forecast period.</t>
  </si>
  <si>
    <t>Pre-tax ROA remained stable at 14% during 2021–2022, then declined to 13% in 2023 and dropped sharply to 1% in 2024, primarily due to the exceptional restructuring expense. It rebounds to 12% in 2025 but continues to decline gradually, stabilizing at 7% by 2032–2034. This trend reflects that profit growth is increasingly lagging asset growth, signaling a steady decline in asset profitability efficiency over the long-term forecast.</t>
  </si>
  <si>
    <t>Pre-tax ROE declined from 24% in 2021 to 17% by 2023, followed by a sharp drop to 2% in 2024 due to the exceptional restructuring expense. It then rebounds to 18% in 2025, but continues to gradually decline, stabilizing at 8% by 2034. This downward trend indicates that shareholder equity has grown faster than pre-tax profits, leading to lower returns. Nevertheless, a positive Pre-tax ROE of 8% in 2034 suggests that GCPL continues to generate value, though less efficiently than in the audited years.</t>
  </si>
  <si>
    <t>Return on Equity (ROE) was strong at 20% in 2021, indicating robust profitability in the audited period. However, it dropped sharply to –4% in 2024, primarily due to the exceptional restructuring expense that led to a loss. In the subsequent years, it recovers to 14% in 2025, but follows a gradual declining trend, reaching 6% by 2034. This decline is driven by slower profit growth relative to the increase in shareholder equity, and an effective tax rate that rises by 1% every two years, further reducing net returns. While the recovery from the loss year reflects improved operations, the long-term trend highlights weakened efficiency in generating shareholder returns.</t>
  </si>
  <si>
    <t>The Equity Retention Ratio increased from 0.45 in 2020 to 0.89 by 2034, reflecting a steady rise in the share of profits retained by the company. A notable outlier occurs in 2024, where the ratio spikes to 1.91 due to an exceptional restructuring loss, resulting in negative earnings. Despite this, GCPL paid ₹511.41 crore in dividends in 2024, down from ₹817.82 crore in 2020, with no recorded dividends between 2021 and 2023. This trend, along with the rising retention ratio, suggests a strategic focus on internal capital retention, likely aimed at supporting long-term reinvestment following the restructuring phase.</t>
  </si>
  <si>
    <t>GCPL’s Reinvestment Rate was 20% in 2021, reflecting healthy reinvestment from earnings in the audited year. However, it declined steadily and dropped to –8% in 2024, primarily due to the exceptional restructuring loss. Over the forecast period, the rate recovers modestly but continues to decline, settling at 6% by 2034. This trend indicates that the company is reinvesting a smaller portion of its earnings over time, in line with the declining Return on Equity. Despite the fall, a 6% reinvestment rate still reflects a measured but positive approach toward funding long-term growth.</t>
  </si>
  <si>
    <t>In the audited years, GCPL’s Quick Ratio remained below the ideal benchmark of 1:1, ranging from 0.68 in 2020 to 0.77 in 2024, indicating a relatively weaker ability to meet short-term liabilities with liquid assets. However, beginning in 2025, the ratio improves significantly, crossing 1.0 in 2025, reaching 2.38 by 2027, and rising steadily to 6.16 by 2034. This upward trend reflects a strong improvement in GCPL’s liquidity position, suggesting that the company is building a more conservative and resilient balance sheet, with increasing liquid assets relative to current liabilities, allowing it to comfortably meet short-term obligations throughout the forecast period.</t>
  </si>
  <si>
    <t>In the audited years, GCPL’s Current Ratio ranged from 1.06 in 2020 to 0.99 in 2024, staying close to but slightly below the ideal 2:1 benchmark, indicating a tight liquidity position during this period. From 2025 onward, the ratio improves steadily, rising from 1.69 in 2025 to 2.75 in 2027, and continues to climb, reaching 6.35 by 2034. This consistent increase suggests that GCPL is progressively strengthening its current asset base, maintaining a healthy buffer to meet short-term obligations. By 2034, the company holds more than six times its current liabilities in current assets, reflecting strong liquidity and financial resilience.</t>
  </si>
  <si>
    <t>GCPL’s Cash Conversion Cycle increased from –23.63 days in 2020 to 16.17 days in 2024, marking a shift from a negative to a positive cycle—that is, from receiving cash before paying suppliers to having a short cash recovery period. In the forecast period, the cycle gradually declines from 15.57 days in 2025 to 10.73 days by 2034, indicating ongoing improvements in working capital efficiency. This trend suggests that GCPL is converting inventory and receivables into cash more quickly, relative to its payment cycle. The improvement is primarily driven by the assumed 5% annual growth in working capital, which helps streamline the operating cycle and strengthen liquidity over time.</t>
  </si>
  <si>
    <t>GCPL’s Asset/Equity Ratio has declined consistently from 1.89 in 2020 to 1.16 by 2034, across both audited and forecasted periods. This downward trend indicates that a smaller proportion of assets is being financed through liabilities, reflecting a gradual reduction in financial leverage. The ratio briefly rises to 1.47 in 2024, possibly due to restructuring impacts, but resumes its decline thereafter. This suggests that GCPL is deliberately lowering its financial risk by increasingly funding its assets through equity rather than debt, thereby enhancing balance sheet strength and long-term financial stability.</t>
  </si>
  <si>
    <t>GCPL’s Debt-to-Equity Ratio declined from 0.34 in 2020 to 0.08 by 2034, reflecting a clear shift toward equity-based financing for both operations and capital expenditure. After a brief uptick to 0.25 in 2024, likely due to restructuring-related funding, the ratio resumes its downward trend. This indicates that GCPL is actively minimizing financial risk by keeping debt levels low. However, by not leveraging debt, the company may be forgoing potential benefits such as interest tax shields and enhanced returns from prudent leverage. The key driver of this decline is rising shareholder equity, supported by low dividend payouts and high earnings retention. While this strategy enhances balance sheet stability, it may also limit return amplification opportunities typically associated with controlled debt use.</t>
  </si>
  <si>
    <t>GCPL’s Long-Term Debt to Total Capital ratio declined sharply from 20% in 2020 to 0% in 2024, indicating a temporary elimination of long-term debt from its capital structure. From 2025 onward, the ratio modestly rises to 3%, then gradually reduces to 1% by 2034. This transition reflects a deliberate move toward equity-driven financing, supported by consistent profits and limited dividend payouts—with dividends paid only in 2020 (₹817.82 crore) and 2024 (₹511.41 crore), and no dividends declared during 2021–2023. While this conservative approach minimizes financial risk, it also implies that GCPL is only lightly leveraging debt, potentially forgoing tax advantages and return amplification that prudent long-term borrowing can offer.</t>
  </si>
  <si>
    <t>GCPL’s Accounts Receivable Turnover ratio ranged from 10.20 in 2021 to 14.09 by 2034, showing a generally upward trend with minor fluctuations. This indicates that the company has been effectively managing its receivables, even as revenues expand. The steady improvement in A/R turnover suggests timely collections from customers and the presence of efficient credit control policies, which contribute to strong cash flow management and reduced working capital stress throughout the forecast period.</t>
  </si>
  <si>
    <t>GCPL’s Average Receivable Days stood at approximately 33 days across the audited years, with a temporary spike to 42 days in 2020, likely due to COVID-19 disruptions. Over the forecast period (2021–2034), this figure steadily declines from 32.74 days in 2021 to 26.18 days by 2034, indicating improved efficiency in collections. This trend highlights GCPL’s effective receivables management and stronger cash conversion cycle. However, while shorter credit periods enhance liquidity, excessive tightening of credit terms could strain customer relationships in highly competitive markets.</t>
  </si>
  <si>
    <t>GCPL’s Inventory Turnover Ratio shows a steady improvement from 2.88 in 2020 to 7.60 by 2034, indicating more frequent inventory cycling and enhanced sales efficiency. Starting at 3.16 in 2021, the ratio gradually increases, reaching 6.22 by 2030 and continuing upward to 7.60 by the end of the forecast period. This trend reflects effective inventory management and strong demand fulfillment. However, while higher turnover is generally favorable, excessively high levels could risk stockouts, potentially affecting service levels and customer satisfaction if demand outpaces replenishment capabilities.</t>
  </si>
  <si>
    <t>GCPL’s Average Inventory Days fell sharply from 143.87 days in 2020 to 48.54 days by 2034, with a notable drop to 82.56 days in 2023. This indicates faster inventory turnover and stronger demand alignment. While the efficiency is positive, it may lead to more frequent reordering and higher logistics costs. GCPL could optimize by adopting larger, well-timed orders to balance availability and cost.</t>
  </si>
  <si>
    <t>GCPL’s Accounts Payables Turnover Ratio improved from 2.12 in 2020 to 3.61 in 2024, reflecting stronger liquidity and better working capital management. The upward trend continues through the forecast period, rising from 3.94 in 2025 to 5.76 by 2034. This indicates that GCPL is increasingly efficient in settling dues, maintaining a healthy balance between timely payments and leveraging supplier credit.</t>
  </si>
  <si>
    <t>GCPL’s Average Payable Days declined significantly from 209.54 days in 2020 to 97.92 days in 2024, with the elevated figures in 2020 and 2021 driven by COVID-19 disruptions and supply chain adjustments. In the forecast period, the metric continues to fall steadily from 95.43 days in 2025 to 63.99 days by 2034. This trend suggests that GCPL is accelerating vendor payments over time, which may strengthen supplier relationships and input quality, but also indicates reduced reliance on trade credit, potentially limiting short-term financing flexibility.</t>
  </si>
  <si>
    <t>GCPL’s Fixed Asset Turnover Ratio has steadily improved from 3.42 in 2021 to 4.16 in 2024, and is projected to rise further to 10.25 by 2034. This upward trend reflects growing efficiency in generating revenue from fixed assets. The improvement is primarily driven by revenue outpacing fixed asset growth, indicating disciplined capital spending and enhanced asset productivity — a strong indicator of operational effectiveness over time.</t>
  </si>
  <si>
    <t>GCPL’s Working Capital to Sales Growth ratio declined from 5.65% in 2022 to -7.07% in 2024, indicating a sharp improvement in working capital efficiency, especially in a year impacted by exceptional restructuring costs. In the forecast period, the ratio rebounded to a peak of 24.07% in 2026, likely reflecting increased capital allocation for expansion. Thereafter, it steadily declined to 9.38% by 2034, as sales growth began to outpace working capital requirements — suggesting rising operational efficiency and tighter working capital control over time.</t>
  </si>
  <si>
    <t>GCPL’s ROIC rose from 14% in 2020 to a peak of 17% in 2021, reflecting strong profitability and effective capital use in the early audited years. However, it declined thereafter, reaching -4% in 2024 due to a major restructuring expense that impacted earnings. In the forecast period, ROIC gradually recovers to around 5%–6% by 2034. While this reflects a return to stable operations, the levels remain well below historical peaks, indicating a more subdued return on capital — possibly due to a larger capital base or slower profit growth.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</si>
</sst>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3">
    <numFmt numFmtId="43" formatCode="_(* #,##0.00_);_(* \(#,##0.00\);_(* &quot;-&quot;??_);_(@_)"/>
    <numFmt numFmtId="164" formatCode="_ * #,##0.00_ ;_ * \-#,##0.00_ ;_ * &quot;-&quot;??_ ;_ @_ "/>
    <numFmt numFmtId="165" formatCode="0.0%"/>
    <numFmt numFmtId="166" formatCode="_ * #,##0_ ;_ * \-#,##0_ ;_ * &quot;-&quot;??_ ;_ @_ "/>
    <numFmt numFmtId="167" formatCode="0.000000"/>
    <numFmt numFmtId="168" formatCode="0.000%"/>
    <numFmt numFmtId="169" formatCode=";;"/>
    <numFmt numFmtId="170" formatCode="_(* #,##0_);_(* \(#,##0\);_(* &quot;-&quot;??_);_(@_)"/>
    <numFmt numFmtId="171" formatCode="_ * #,##0.000000_ ;_ * \-#,##0.000000_ ;_ * &quot;-&quot;??_ ;_ @_ "/>
    <numFmt numFmtId="172" formatCode="0.000000%"/>
    <numFmt numFmtId="173" formatCode="#,##0;\(#,##0\);&quot;-&quot;"/>
    <numFmt numFmtId="174" formatCode="mmm\ dd\,\ yyyy"/>
    <numFmt numFmtId="175" formatCode="#,##0.0"/>
  </numFmts>
  <fonts count="61" x14ac:knownFonts="1">
    <font>
      <sz val="11"/>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b/>
      <sz val="11"/>
      <color theme="1"/>
      <name val="Calibri"/>
      <family val="2"/>
      <scheme val="minor"/>
    </font>
    <font>
      <sz val="11"/>
      <color theme="1"/>
      <name val="Calibri"/>
      <family val="2"/>
      <scheme val="minor"/>
    </font>
    <font>
      <sz val="11"/>
      <color theme="1"/>
      <name val="Cambria"/>
      <family val="1"/>
      <scheme val="major"/>
    </font>
    <font>
      <i/>
      <sz val="11"/>
      <color theme="1"/>
      <name val="Cambria"/>
      <family val="1"/>
      <scheme val="major"/>
    </font>
    <font>
      <b/>
      <sz val="11"/>
      <color theme="1"/>
      <name val="Cambria"/>
      <family val="1"/>
      <scheme val="major"/>
    </font>
    <font>
      <sz val="11"/>
      <color rgb="FF0070C0"/>
      <name val="Cambria"/>
      <family val="1"/>
      <scheme val="major"/>
    </font>
    <font>
      <b/>
      <u/>
      <sz val="11"/>
      <color theme="1"/>
      <name val="Cambria"/>
      <family val="1"/>
      <scheme val="major"/>
    </font>
    <font>
      <sz val="11"/>
      <color theme="1"/>
      <name val="Cambria"/>
      <family val="2"/>
      <scheme val="major"/>
    </font>
    <font>
      <sz val="10"/>
      <name val="Cambria"/>
      <family val="1"/>
      <scheme val="major"/>
    </font>
    <font>
      <b/>
      <i/>
      <sz val="11"/>
      <color theme="1"/>
      <name val="Cambria"/>
      <family val="1"/>
      <scheme val="major"/>
    </font>
    <font>
      <b/>
      <sz val="11"/>
      <color rgb="FF0070C0"/>
      <name val="Cambria"/>
      <family val="1"/>
      <scheme val="major"/>
    </font>
    <font>
      <b/>
      <u/>
      <sz val="11"/>
      <color rgb="FF00B050"/>
      <name val="Cambria"/>
      <family val="1"/>
      <scheme val="major"/>
    </font>
    <font>
      <b/>
      <u/>
      <sz val="11"/>
      <color rgb="FFFF0000"/>
      <name val="Cambria"/>
      <family val="1"/>
      <scheme val="major"/>
    </font>
    <font>
      <b/>
      <sz val="12"/>
      <color theme="1"/>
      <name val="Cambria"/>
      <family val="1"/>
      <scheme val="major"/>
    </font>
    <font>
      <vertAlign val="subscript"/>
      <sz val="11"/>
      <color theme="1"/>
      <name val="Cambria"/>
      <family val="1"/>
      <scheme val="major"/>
    </font>
    <font>
      <b/>
      <sz val="11"/>
      <name val="Cambria"/>
      <family val="1"/>
      <scheme val="major"/>
    </font>
    <font>
      <i/>
      <u/>
      <sz val="11"/>
      <color theme="1"/>
      <name val="Cambria"/>
      <family val="1"/>
      <scheme val="major"/>
    </font>
    <font>
      <u/>
      <sz val="11"/>
      <color theme="10"/>
      <name val="Calibri"/>
      <family val="2"/>
      <scheme val="minor"/>
    </font>
    <font>
      <i/>
      <sz val="11"/>
      <color rgb="FF0070C0"/>
      <name val="Cambria"/>
      <family val="1"/>
      <scheme val="major"/>
    </font>
    <font>
      <i/>
      <sz val="11"/>
      <name val="Cambria"/>
      <family val="1"/>
      <scheme val="major"/>
    </font>
    <font>
      <u/>
      <sz val="12"/>
      <color theme="10"/>
      <name val="Calibri"/>
      <family val="2"/>
      <scheme val="minor"/>
    </font>
    <font>
      <sz val="11"/>
      <color theme="4"/>
      <name val="Cambria"/>
      <family val="1"/>
      <scheme val="major"/>
    </font>
    <font>
      <u/>
      <sz val="11"/>
      <color theme="1"/>
      <name val="Cambria"/>
      <family val="1"/>
      <scheme val="major"/>
    </font>
    <font>
      <b/>
      <sz val="11"/>
      <color theme="0"/>
      <name val="Cambria"/>
      <family val="1"/>
      <scheme val="major"/>
    </font>
    <font>
      <b/>
      <sz val="12"/>
      <color theme="0"/>
      <name val="Cambria"/>
      <family val="1"/>
      <scheme val="major"/>
    </font>
    <font>
      <b/>
      <sz val="10"/>
      <color theme="0"/>
      <name val="Cambria"/>
      <family val="1"/>
      <scheme val="major"/>
    </font>
    <font>
      <sz val="10"/>
      <color rgb="FF000000"/>
      <name val="Arial"/>
      <family val="2"/>
    </font>
    <font>
      <sz val="10"/>
      <color rgb="FF0EA600"/>
      <name val="Arial"/>
      <family val="2"/>
    </font>
    <font>
      <sz val="10"/>
      <color rgb="FF000000"/>
      <name val="Arial"/>
      <family val="2"/>
    </font>
    <font>
      <sz val="10"/>
      <color rgb="FFFF0000"/>
      <name val="Arial"/>
      <family val="2"/>
    </font>
    <font>
      <sz val="11"/>
      <color theme="1"/>
      <name val="Cambria"/>
      <family val="2"/>
    </font>
    <font>
      <i/>
      <sz val="11"/>
      <color theme="0"/>
      <name val="Cambria"/>
      <family val="1"/>
      <scheme val="major"/>
    </font>
    <font>
      <i/>
      <sz val="11"/>
      <color theme="1"/>
      <name val="Calibri"/>
      <family val="2"/>
      <scheme val="minor"/>
    </font>
    <font>
      <b/>
      <sz val="10"/>
      <color theme="0"/>
      <name val="Arial"/>
      <family val="2"/>
    </font>
    <font>
      <b/>
      <sz val="10"/>
      <color theme="1"/>
      <name val="Arial"/>
      <family val="2"/>
    </font>
    <font>
      <sz val="10"/>
      <color theme="1"/>
      <name val="Arial"/>
      <family val="2"/>
    </font>
    <font>
      <sz val="10"/>
      <color rgb="FF000000"/>
      <name val="Arial"/>
      <family val="2"/>
    </font>
    <font>
      <b/>
      <sz val="12"/>
      <color theme="1"/>
      <name val="Calibri"/>
      <family val="2"/>
      <scheme val="minor"/>
    </font>
    <font>
      <sz val="11"/>
      <color rgb="FF0000FF"/>
      <name val="Book Antiqua"/>
      <family val="1"/>
    </font>
    <font>
      <b/>
      <sz val="11"/>
      <color rgb="FF000000"/>
      <name val="Book Antiqua"/>
      <family val="1"/>
    </font>
    <font>
      <sz val="11"/>
      <color theme="1"/>
      <name val="Book Antiqua"/>
      <family val="1"/>
    </font>
    <font>
      <sz val="11"/>
      <color rgb="FF000000"/>
      <name val="Book Antiqua"/>
      <family val="1"/>
    </font>
    <font>
      <b/>
      <sz val="11"/>
      <color theme="1"/>
      <name val="Book Antiqua"/>
      <family val="1"/>
    </font>
    <font>
      <sz val="11"/>
      <color rgb="FF0432FF"/>
      <name val="Book Antiqua"/>
      <family val="1"/>
    </font>
    <font>
      <sz val="11"/>
      <name val="Book Antiqua"/>
      <family val="1"/>
    </font>
    <font>
      <b/>
      <sz val="12"/>
      <color rgb="FF000000"/>
      <name val="Calibri"/>
      <family val="2"/>
      <scheme val="minor"/>
    </font>
    <font>
      <b/>
      <sz val="11"/>
      <name val="Book Antiqua"/>
      <family val="1"/>
    </font>
    <font>
      <sz val="12"/>
      <color rgb="FF000000"/>
      <name val="Calibri"/>
      <family val="2"/>
      <scheme val="minor"/>
    </font>
    <font>
      <i/>
      <sz val="11"/>
      <color rgb="FF000000"/>
      <name val="Book Antiqua"/>
      <family val="1"/>
    </font>
    <font>
      <sz val="10"/>
      <color rgb="FF000000"/>
      <name val="Tahoma"/>
      <family val="2"/>
    </font>
    <font>
      <b/>
      <sz val="10"/>
      <color rgb="FF000000"/>
      <name val="Tahoma"/>
      <family val="2"/>
    </font>
    <font>
      <sz val="11"/>
      <name val="Cambria"/>
      <family val="1"/>
      <scheme val="major"/>
    </font>
    <font>
      <sz val="11"/>
      <name val="Calibri"/>
      <family val="2"/>
      <scheme val="minor"/>
    </font>
    <font>
      <b/>
      <sz val="11"/>
      <color rgb="FFCC3300"/>
      <name val="Cambria"/>
      <family val="1"/>
      <scheme val="major"/>
    </font>
    <font>
      <sz val="11"/>
      <color rgb="FF000000"/>
      <name val="Cambria"/>
      <family val="1"/>
    </font>
    <font>
      <sz val="10"/>
      <name val="Arial"/>
      <family val="2"/>
    </font>
  </fonts>
  <fills count="15">
    <fill>
      <patternFill patternType="none"/>
    </fill>
    <fill>
      <patternFill patternType="gray125"/>
    </fill>
    <fill>
      <patternFill patternType="solid">
        <fgColor theme="4" tint="0.79998168889431442"/>
        <bgColor indexed="65"/>
      </patternFill>
    </fill>
    <fill>
      <patternFill patternType="solid">
        <fgColor theme="9" tint="0.79998168889431442"/>
        <bgColor indexed="64"/>
      </patternFill>
    </fill>
    <fill>
      <patternFill patternType="solid">
        <fgColor rgb="FFFFFFCC"/>
        <bgColor indexed="64"/>
      </patternFill>
    </fill>
    <fill>
      <patternFill patternType="lightGray"/>
    </fill>
    <fill>
      <patternFill patternType="solid">
        <fgColor theme="0" tint="-4.9989318521683403E-2"/>
        <bgColor indexed="64"/>
      </patternFill>
    </fill>
    <fill>
      <patternFill patternType="solid">
        <fgColor theme="0"/>
        <bgColor indexed="64"/>
      </patternFill>
    </fill>
    <fill>
      <patternFill patternType="solid">
        <fgColor theme="0" tint="-0.249977111117893"/>
        <bgColor indexed="64"/>
      </patternFill>
    </fill>
    <fill>
      <patternFill patternType="solid">
        <fgColor rgb="FFCCFF99"/>
        <bgColor indexed="64"/>
      </patternFill>
    </fill>
    <fill>
      <patternFill patternType="solid">
        <fgColor rgb="FFFCFDFE"/>
        <bgColor indexed="64"/>
      </patternFill>
    </fill>
    <fill>
      <patternFill patternType="solid">
        <fgColor rgb="FF941651"/>
        <bgColor indexed="64"/>
      </patternFill>
    </fill>
    <fill>
      <patternFill patternType="solid">
        <fgColor theme="5" tint="0.59999389629810485"/>
        <bgColor indexed="64"/>
      </patternFill>
    </fill>
    <fill>
      <patternFill patternType="solid">
        <fgColor rgb="FFF2F2F2"/>
        <bgColor rgb="FF000000"/>
      </patternFill>
    </fill>
    <fill>
      <patternFill patternType="solid">
        <fgColor theme="3" tint="0.79998168889431442"/>
        <bgColor indexed="64"/>
      </patternFill>
    </fill>
  </fills>
  <borders count="25">
    <border>
      <left/>
      <right/>
      <top/>
      <bottom/>
      <diagonal/>
    </border>
    <border>
      <left/>
      <right/>
      <top style="thin">
        <color indexed="64"/>
      </top>
      <bottom style="thin">
        <color indexed="64"/>
      </bottom>
      <diagonal/>
    </border>
    <border>
      <left/>
      <right/>
      <top style="thin">
        <color indexed="64"/>
      </top>
      <bottom/>
      <diagonal/>
    </border>
    <border>
      <left/>
      <right/>
      <top/>
      <bottom style="thin">
        <color indexed="64"/>
      </bottom>
      <diagonal/>
    </border>
    <border>
      <left style="dotted">
        <color auto="1"/>
      </left>
      <right style="dotted">
        <color auto="1"/>
      </right>
      <top style="dotted">
        <color auto="1"/>
      </top>
      <bottom style="dotted">
        <color auto="1"/>
      </bottom>
      <diagonal/>
    </border>
    <border>
      <left/>
      <right style="medium">
        <color auto="1"/>
      </right>
      <top/>
      <bottom/>
      <diagonal/>
    </border>
    <border>
      <left/>
      <right style="thin">
        <color auto="1"/>
      </right>
      <top/>
      <bottom/>
      <diagonal/>
    </border>
    <border>
      <left/>
      <right/>
      <top style="thin">
        <color indexed="64"/>
      </top>
      <bottom style="double">
        <color indexed="64"/>
      </bottom>
      <diagonal/>
    </border>
    <border>
      <left/>
      <right/>
      <top style="thin">
        <color indexed="64"/>
      </top>
      <bottom style="medium">
        <color indexed="64"/>
      </bottom>
      <diagonal/>
    </border>
    <border>
      <left/>
      <right style="thin">
        <color indexed="64"/>
      </right>
      <top style="thin">
        <color indexed="64"/>
      </top>
      <bottom/>
      <diagonal/>
    </border>
    <border>
      <left/>
      <right style="thin">
        <color indexed="64"/>
      </right>
      <top/>
      <bottom style="thin">
        <color indexed="64"/>
      </bottom>
      <diagonal/>
    </border>
    <border>
      <left style="thin">
        <color auto="1"/>
      </left>
      <right/>
      <top style="thin">
        <color indexed="64"/>
      </top>
      <bottom style="thin">
        <color indexed="64"/>
      </bottom>
      <diagonal/>
    </border>
    <border>
      <left style="thin">
        <color auto="1"/>
      </left>
      <right/>
      <top style="thin">
        <color indexed="64"/>
      </top>
      <bottom style="double">
        <color indexed="64"/>
      </bottom>
      <diagonal/>
    </border>
    <border>
      <left/>
      <right style="thin">
        <color indexed="64"/>
      </right>
      <top style="thin">
        <color indexed="64"/>
      </top>
      <bottom style="thin">
        <color indexed="64"/>
      </bottom>
      <diagonal/>
    </border>
    <border>
      <left/>
      <right style="thin">
        <color indexed="64"/>
      </right>
      <top style="thin">
        <color indexed="64"/>
      </top>
      <bottom style="double">
        <color indexed="64"/>
      </bottom>
      <diagonal/>
    </border>
    <border>
      <left/>
      <right/>
      <top/>
      <bottom style="medium">
        <color rgb="FFE3EAF2"/>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style="thin">
        <color indexed="64"/>
      </right>
      <top/>
      <bottom/>
      <diagonal/>
    </border>
    <border>
      <left style="thin">
        <color indexed="64"/>
      </left>
      <right/>
      <top style="thin">
        <color indexed="64"/>
      </top>
      <bottom/>
      <diagonal/>
    </border>
    <border>
      <left style="thin">
        <color indexed="64"/>
      </left>
      <right/>
      <top/>
      <bottom/>
      <diagonal/>
    </border>
    <border>
      <left style="thin">
        <color indexed="64"/>
      </left>
      <right/>
      <top/>
      <bottom style="thin">
        <color indexed="64"/>
      </bottom>
      <diagonal/>
    </border>
    <border>
      <left style="thin">
        <color auto="1"/>
      </left>
      <right/>
      <top style="thin">
        <color indexed="64"/>
      </top>
      <bottom style="medium">
        <color indexed="64"/>
      </bottom>
      <diagonal/>
    </border>
    <border>
      <left style="dashed">
        <color auto="1"/>
      </left>
      <right style="dashed">
        <color auto="1"/>
      </right>
      <top style="dashed">
        <color auto="1"/>
      </top>
      <bottom style="dashed">
        <color auto="1"/>
      </bottom>
      <diagonal/>
    </border>
  </borders>
  <cellStyleXfs count="11">
    <xf numFmtId="0" fontId="0" fillId="0" borderId="0"/>
    <xf numFmtId="164" fontId="6" fillId="0" borderId="0" applyFont="0" applyFill="0" applyBorder="0" applyAlignment="0" applyProtection="0"/>
    <xf numFmtId="9" fontId="6" fillId="0" borderId="0" applyFont="0" applyFill="0" applyBorder="0" applyAlignment="0" applyProtection="0"/>
    <xf numFmtId="0" fontId="6" fillId="2" borderId="0" applyNumberFormat="0" applyBorder="0" applyAlignment="0" applyProtection="0"/>
    <xf numFmtId="0" fontId="12" fillId="0" borderId="0"/>
    <xf numFmtId="0" fontId="22" fillId="0" borderId="0" applyNumberFormat="0" applyFill="0" applyBorder="0" applyAlignment="0" applyProtection="0"/>
    <xf numFmtId="0" fontId="35" fillId="0" borderId="0"/>
    <xf numFmtId="0" fontId="4" fillId="0" borderId="0"/>
    <xf numFmtId="0" fontId="3" fillId="0" borderId="0"/>
    <xf numFmtId="0" fontId="2" fillId="0" borderId="0"/>
    <xf numFmtId="0" fontId="1" fillId="0" borderId="0"/>
  </cellStyleXfs>
  <cellXfs count="411">
    <xf numFmtId="0" fontId="0" fillId="0" borderId="0" xfId="0"/>
    <xf numFmtId="0" fontId="7" fillId="0" borderId="0" xfId="0" applyFont="1" applyAlignment="1">
      <alignment wrapText="1"/>
    </xf>
    <xf numFmtId="0" fontId="7" fillId="0" borderId="0" xfId="0" applyFont="1"/>
    <xf numFmtId="0" fontId="8" fillId="0" borderId="0" xfId="0" applyFont="1" applyAlignment="1">
      <alignment horizontal="right" wrapText="1"/>
    </xf>
    <xf numFmtId="0" fontId="9" fillId="0" borderId="0" xfId="0" applyFont="1"/>
    <xf numFmtId="0" fontId="8" fillId="0" borderId="0" xfId="0" applyFont="1"/>
    <xf numFmtId="164" fontId="10" fillId="0" borderId="0" xfId="1" applyFont="1"/>
    <xf numFmtId="0" fontId="9" fillId="0" borderId="0" xfId="0" applyFont="1" applyAlignment="1">
      <alignment wrapText="1"/>
    </xf>
    <xf numFmtId="164" fontId="9" fillId="0" borderId="0" xfId="1" applyFont="1"/>
    <xf numFmtId="164" fontId="7" fillId="0" borderId="0" xfId="1" applyFont="1"/>
    <xf numFmtId="0" fontId="9" fillId="0" borderId="0" xfId="0" applyFont="1" applyAlignment="1">
      <alignment horizontal="center"/>
    </xf>
    <xf numFmtId="164" fontId="9" fillId="0" borderId="1" xfId="1" applyFont="1" applyBorder="1"/>
    <xf numFmtId="0" fontId="9" fillId="0" borderId="1" xfId="0" applyFont="1" applyBorder="1" applyAlignment="1">
      <alignment wrapText="1"/>
    </xf>
    <xf numFmtId="0" fontId="8" fillId="0" borderId="3" xfId="0" applyFont="1" applyBorder="1" applyAlignment="1">
      <alignment horizontal="center"/>
    </xf>
    <xf numFmtId="9" fontId="7" fillId="0" borderId="0" xfId="2" applyFont="1"/>
    <xf numFmtId="10" fontId="8" fillId="0" borderId="0" xfId="2" applyNumberFormat="1" applyFont="1"/>
    <xf numFmtId="164" fontId="8" fillId="0" borderId="0" xfId="1" applyFont="1"/>
    <xf numFmtId="164" fontId="7" fillId="0" borderId="1" xfId="1" applyFont="1" applyBorder="1"/>
    <xf numFmtId="9" fontId="8" fillId="0" borderId="0" xfId="2" applyFont="1"/>
    <xf numFmtId="10" fontId="10" fillId="0" borderId="0" xfId="1" applyNumberFormat="1" applyFont="1"/>
    <xf numFmtId="2" fontId="10" fillId="0" borderId="0" xfId="1" applyNumberFormat="1" applyFont="1"/>
    <xf numFmtId="43" fontId="10" fillId="0" borderId="0" xfId="1" applyNumberFormat="1" applyFont="1"/>
    <xf numFmtId="9" fontId="10" fillId="0" borderId="0" xfId="2" applyFont="1"/>
    <xf numFmtId="9" fontId="9" fillId="0" borderId="1" xfId="2" applyFont="1" applyBorder="1"/>
    <xf numFmtId="0" fontId="9" fillId="0" borderId="0" xfId="0" applyFont="1" applyAlignment="1">
      <alignment horizontal="center" vertical="center" wrapText="1"/>
    </xf>
    <xf numFmtId="0" fontId="8" fillId="0" borderId="0" xfId="0" applyFont="1" applyAlignment="1">
      <alignment horizontal="center"/>
    </xf>
    <xf numFmtId="0" fontId="8" fillId="0" borderId="0" xfId="0" applyFont="1" applyAlignment="1">
      <alignment horizontal="right"/>
    </xf>
    <xf numFmtId="0" fontId="7" fillId="6" borderId="0" xfId="3" applyFont="1" applyFill="1"/>
    <xf numFmtId="164" fontId="7" fillId="6" borderId="0" xfId="3" applyNumberFormat="1" applyFont="1" applyFill="1"/>
    <xf numFmtId="10" fontId="8" fillId="6" borderId="0" xfId="3" applyNumberFormat="1" applyFont="1" applyFill="1"/>
    <xf numFmtId="10" fontId="7" fillId="6" borderId="0" xfId="3" applyNumberFormat="1" applyFont="1" applyFill="1"/>
    <xf numFmtId="164" fontId="7" fillId="6" borderId="1" xfId="3" applyNumberFormat="1" applyFont="1" applyFill="1" applyBorder="1"/>
    <xf numFmtId="165" fontId="13" fillId="5" borderId="0" xfId="4" applyNumberFormat="1" applyFont="1" applyFill="1" applyAlignment="1">
      <alignment horizontal="center" vertical="top" wrapText="1"/>
    </xf>
    <xf numFmtId="10" fontId="7" fillId="4" borderId="4" xfId="3" applyNumberFormat="1" applyFont="1" applyFill="1" applyBorder="1"/>
    <xf numFmtId="0" fontId="7" fillId="6" borderId="0" xfId="0" applyFont="1" applyFill="1"/>
    <xf numFmtId="164" fontId="7" fillId="6" borderId="0" xfId="1" applyFont="1" applyFill="1"/>
    <xf numFmtId="164" fontId="7" fillId="6" borderId="0" xfId="0" applyNumberFormat="1" applyFont="1" applyFill="1"/>
    <xf numFmtId="9" fontId="8" fillId="4" borderId="4" xfId="0" applyNumberFormat="1" applyFont="1" applyFill="1" applyBorder="1"/>
    <xf numFmtId="0" fontId="7" fillId="0" borderId="6" xfId="0" applyFont="1" applyBorder="1"/>
    <xf numFmtId="0" fontId="7" fillId="0" borderId="6" xfId="0" applyFont="1" applyBorder="1" applyAlignment="1">
      <alignment wrapText="1"/>
    </xf>
    <xf numFmtId="0" fontId="8" fillId="0" borderId="6" xfId="0" applyFont="1" applyBorder="1" applyAlignment="1">
      <alignment wrapText="1"/>
    </xf>
    <xf numFmtId="0" fontId="8" fillId="0" borderId="6" xfId="0" applyFont="1" applyBorder="1"/>
    <xf numFmtId="10" fontId="7" fillId="0" borderId="0" xfId="2" applyNumberFormat="1" applyFont="1"/>
    <xf numFmtId="0" fontId="9" fillId="6" borderId="0" xfId="0" applyFont="1" applyFill="1"/>
    <xf numFmtId="164" fontId="9" fillId="6" borderId="0" xfId="1" applyFont="1" applyFill="1"/>
    <xf numFmtId="164" fontId="7" fillId="0" borderId="0" xfId="0" applyNumberFormat="1" applyFont="1"/>
    <xf numFmtId="164" fontId="9" fillId="0" borderId="1" xfId="0" applyNumberFormat="1" applyFont="1" applyBorder="1"/>
    <xf numFmtId="164" fontId="9" fillId="0" borderId="0" xfId="0" applyNumberFormat="1" applyFont="1"/>
    <xf numFmtId="0" fontId="9" fillId="0" borderId="6" xfId="0" applyFont="1" applyBorder="1"/>
    <xf numFmtId="164" fontId="10" fillId="0" borderId="0" xfId="0" applyNumberFormat="1" applyFont="1"/>
    <xf numFmtId="164" fontId="9" fillId="0" borderId="7" xfId="0" applyNumberFormat="1" applyFont="1" applyBorder="1"/>
    <xf numFmtId="164" fontId="9" fillId="6" borderId="1" xfId="0" applyNumberFormat="1" applyFont="1" applyFill="1" applyBorder="1"/>
    <xf numFmtId="164" fontId="9" fillId="6" borderId="7" xfId="0" applyNumberFormat="1" applyFont="1" applyFill="1" applyBorder="1"/>
    <xf numFmtId="164" fontId="8" fillId="4" borderId="4" xfId="0" applyNumberFormat="1" applyFont="1" applyFill="1" applyBorder="1"/>
    <xf numFmtId="164" fontId="7" fillId="4" borderId="0" xfId="1" applyFont="1" applyFill="1"/>
    <xf numFmtId="164" fontId="0" fillId="0" borderId="0" xfId="0" applyNumberFormat="1"/>
    <xf numFmtId="0" fontId="8" fillId="0" borderId="3" xfId="0" applyFont="1" applyBorder="1" applyAlignment="1">
      <alignment wrapText="1"/>
    </xf>
    <xf numFmtId="10" fontId="8" fillId="0" borderId="6" xfId="2" applyNumberFormat="1" applyFont="1" applyBorder="1"/>
    <xf numFmtId="164" fontId="9" fillId="0" borderId="0" xfId="1" applyFont="1" applyBorder="1"/>
    <xf numFmtId="164" fontId="9" fillId="6" borderId="0" xfId="1" applyFont="1" applyFill="1" applyBorder="1"/>
    <xf numFmtId="10" fontId="7" fillId="0" borderId="0" xfId="2" applyNumberFormat="1" applyFont="1" applyBorder="1"/>
    <xf numFmtId="10" fontId="7" fillId="6" borderId="0" xfId="2" applyNumberFormat="1" applyFont="1" applyFill="1" applyBorder="1"/>
    <xf numFmtId="9" fontId="8" fillId="4" borderId="4" xfId="2" applyFont="1" applyFill="1" applyBorder="1"/>
    <xf numFmtId="0" fontId="0" fillId="6" borderId="0" xfId="0" applyFill="1"/>
    <xf numFmtId="164" fontId="0" fillId="6" borderId="0" xfId="0" applyNumberFormat="1" applyFill="1"/>
    <xf numFmtId="164" fontId="9" fillId="6" borderId="1" xfId="1" applyFont="1" applyFill="1" applyBorder="1"/>
    <xf numFmtId="43" fontId="15" fillId="0" borderId="0" xfId="1" applyNumberFormat="1" applyFont="1"/>
    <xf numFmtId="43" fontId="9" fillId="6" borderId="0" xfId="1" applyNumberFormat="1" applyFont="1" applyFill="1"/>
    <xf numFmtId="43" fontId="7" fillId="6" borderId="0" xfId="1" applyNumberFormat="1" applyFont="1" applyFill="1"/>
    <xf numFmtId="43" fontId="9" fillId="0" borderId="7" xfId="1" applyNumberFormat="1" applyFont="1" applyBorder="1"/>
    <xf numFmtId="43" fontId="9" fillId="6" borderId="7" xfId="1" applyNumberFormat="1" applyFont="1" applyFill="1" applyBorder="1"/>
    <xf numFmtId="43" fontId="9" fillId="0" borderId="0" xfId="1" applyNumberFormat="1" applyFont="1"/>
    <xf numFmtId="43" fontId="7" fillId="0" borderId="0" xfId="1" applyNumberFormat="1" applyFont="1"/>
    <xf numFmtId="43" fontId="7" fillId="0" borderId="0" xfId="2" applyNumberFormat="1" applyFont="1"/>
    <xf numFmtId="43" fontId="9" fillId="0" borderId="8" xfId="1" applyNumberFormat="1" applyFont="1" applyBorder="1"/>
    <xf numFmtId="0" fontId="11" fillId="0" borderId="0" xfId="0" applyFont="1"/>
    <xf numFmtId="43" fontId="7" fillId="0" borderId="0" xfId="0" applyNumberFormat="1" applyFont="1"/>
    <xf numFmtId="43" fontId="11" fillId="0" borderId="0" xfId="0" applyNumberFormat="1" applyFont="1"/>
    <xf numFmtId="164" fontId="9" fillId="0" borderId="8" xfId="0" applyNumberFormat="1" applyFont="1" applyBorder="1"/>
    <xf numFmtId="0" fontId="11" fillId="6" borderId="0" xfId="0" applyFont="1" applyFill="1"/>
    <xf numFmtId="43" fontId="7" fillId="6" borderId="0" xfId="0" applyNumberFormat="1" applyFont="1" applyFill="1"/>
    <xf numFmtId="43" fontId="11" fillId="6" borderId="0" xfId="0" applyNumberFormat="1" applyFont="1" applyFill="1"/>
    <xf numFmtId="0" fontId="11" fillId="0" borderId="6" xfId="0" applyFont="1" applyBorder="1"/>
    <xf numFmtId="0" fontId="16" fillId="0" borderId="6" xfId="0" applyFont="1" applyBorder="1"/>
    <xf numFmtId="0" fontId="17" fillId="0" borderId="6" xfId="0" applyFont="1" applyBorder="1"/>
    <xf numFmtId="0" fontId="9" fillId="8" borderId="6" xfId="0" applyFont="1" applyFill="1" applyBorder="1"/>
    <xf numFmtId="43" fontId="9" fillId="8" borderId="11" xfId="0" applyNumberFormat="1" applyFont="1" applyFill="1" applyBorder="1"/>
    <xf numFmtId="43" fontId="9" fillId="8" borderId="1" xfId="0" applyNumberFormat="1" applyFont="1" applyFill="1" applyBorder="1"/>
    <xf numFmtId="0" fontId="7" fillId="3" borderId="6" xfId="0" applyFont="1" applyFill="1" applyBorder="1"/>
    <xf numFmtId="43" fontId="7" fillId="3" borderId="0" xfId="0" applyNumberFormat="1" applyFont="1" applyFill="1"/>
    <xf numFmtId="0" fontId="9" fillId="3" borderId="6" xfId="0" applyFont="1" applyFill="1" applyBorder="1"/>
    <xf numFmtId="43" fontId="9" fillId="3" borderId="12" xfId="0" applyNumberFormat="1" applyFont="1" applyFill="1" applyBorder="1"/>
    <xf numFmtId="43" fontId="9" fillId="3" borderId="7" xfId="0" applyNumberFormat="1" applyFont="1" applyFill="1" applyBorder="1"/>
    <xf numFmtId="0" fontId="9" fillId="0" borderId="6" xfId="0" applyFont="1" applyBorder="1" applyAlignment="1">
      <alignment horizontal="center" vertical="center" wrapText="1"/>
    </xf>
    <xf numFmtId="0" fontId="9" fillId="0" borderId="6" xfId="0" applyFont="1" applyBorder="1" applyAlignment="1">
      <alignment wrapText="1"/>
    </xf>
    <xf numFmtId="164" fontId="7" fillId="0" borderId="6" xfId="1" applyFont="1" applyBorder="1" applyAlignment="1">
      <alignment wrapText="1"/>
    </xf>
    <xf numFmtId="0" fontId="9" fillId="0" borderId="6" xfId="0" applyFont="1" applyBorder="1" applyAlignment="1">
      <alignment horizontal="center"/>
    </xf>
    <xf numFmtId="4" fontId="7" fillId="0" borderId="0" xfId="0" applyNumberFormat="1" applyFont="1"/>
    <xf numFmtId="167" fontId="9" fillId="0" borderId="0" xfId="2" applyNumberFormat="1" applyFont="1"/>
    <xf numFmtId="167" fontId="9" fillId="0" borderId="0" xfId="0" applyNumberFormat="1" applyFont="1"/>
    <xf numFmtId="2" fontId="9" fillId="0" borderId="0" xfId="0" applyNumberFormat="1" applyFont="1"/>
    <xf numFmtId="10" fontId="7" fillId="0" borderId="0" xfId="0" applyNumberFormat="1" applyFont="1"/>
    <xf numFmtId="2" fontId="7" fillId="0" borderId="0" xfId="0" applyNumberFormat="1" applyFont="1"/>
    <xf numFmtId="168" fontId="9" fillId="0" borderId="0" xfId="0" applyNumberFormat="1" applyFont="1"/>
    <xf numFmtId="166" fontId="7" fillId="0" borderId="0" xfId="1" applyNumberFormat="1" applyFont="1"/>
    <xf numFmtId="166" fontId="7" fillId="0" borderId="0" xfId="1" applyNumberFormat="1" applyFont="1" applyFill="1"/>
    <xf numFmtId="10" fontId="7" fillId="0" borderId="16" xfId="2" applyNumberFormat="1" applyFont="1" applyBorder="1"/>
    <xf numFmtId="166" fontId="7" fillId="0" borderId="16" xfId="1" applyNumberFormat="1" applyFont="1" applyBorder="1"/>
    <xf numFmtId="10" fontId="7" fillId="0" borderId="16" xfId="2" applyNumberFormat="1" applyFont="1" applyFill="1" applyBorder="1"/>
    <xf numFmtId="166" fontId="7" fillId="0" borderId="16" xfId="1" applyNumberFormat="1" applyFont="1" applyFill="1" applyBorder="1"/>
    <xf numFmtId="164" fontId="9" fillId="8" borderId="1" xfId="1" applyFont="1" applyFill="1" applyBorder="1"/>
    <xf numFmtId="0" fontId="9" fillId="8" borderId="13" xfId="0" applyFont="1" applyFill="1" applyBorder="1" applyAlignment="1">
      <alignment wrapText="1"/>
    </xf>
    <xf numFmtId="0" fontId="9" fillId="8" borderId="14" xfId="0" applyFont="1" applyFill="1" applyBorder="1" applyAlignment="1">
      <alignment wrapText="1"/>
    </xf>
    <xf numFmtId="164" fontId="9" fillId="8" borderId="7" xfId="1" applyFont="1" applyFill="1" applyBorder="1"/>
    <xf numFmtId="2" fontId="7" fillId="6" borderId="0" xfId="2" applyNumberFormat="1" applyFont="1" applyFill="1"/>
    <xf numFmtId="0" fontId="9" fillId="0" borderId="0" xfId="0" applyFont="1" applyAlignment="1">
      <alignment horizontal="left"/>
    </xf>
    <xf numFmtId="0" fontId="11" fillId="0" borderId="0" xfId="0" applyFont="1" applyAlignment="1">
      <alignment horizontal="center"/>
    </xf>
    <xf numFmtId="0" fontId="11" fillId="0" borderId="6" xfId="0" applyFont="1" applyBorder="1" applyAlignment="1">
      <alignment horizontal="center"/>
    </xf>
    <xf numFmtId="169" fontId="7" fillId="0" borderId="16" xfId="0" applyNumberFormat="1" applyFont="1" applyBorder="1"/>
    <xf numFmtId="0" fontId="8" fillId="6" borderId="3" xfId="3" applyFont="1" applyFill="1" applyBorder="1" applyAlignment="1">
      <alignment horizontal="center"/>
    </xf>
    <xf numFmtId="0" fontId="8" fillId="0" borderId="0" xfId="0" applyFont="1" applyAlignment="1">
      <alignment wrapText="1"/>
    </xf>
    <xf numFmtId="0" fontId="8" fillId="0" borderId="6" xfId="0" applyFont="1" applyBorder="1" applyAlignment="1">
      <alignment horizontal="right"/>
    </xf>
    <xf numFmtId="10" fontId="7" fillId="0" borderId="6" xfId="2" applyNumberFormat="1" applyFont="1" applyBorder="1"/>
    <xf numFmtId="0" fontId="7" fillId="4" borderId="6" xfId="0" applyFont="1" applyFill="1" applyBorder="1"/>
    <xf numFmtId="164" fontId="9" fillId="6" borderId="1" xfId="3" applyNumberFormat="1" applyFont="1" applyFill="1" applyBorder="1"/>
    <xf numFmtId="0" fontId="21" fillId="0" borderId="6" xfId="0" applyFont="1" applyBorder="1"/>
    <xf numFmtId="0" fontId="9" fillId="0" borderId="6" xfId="0" applyFont="1" applyBorder="1" applyAlignment="1">
      <alignment horizontal="left"/>
    </xf>
    <xf numFmtId="0" fontId="7" fillId="0" borderId="0" xfId="0" applyFont="1" applyAlignment="1">
      <alignment horizontal="center"/>
    </xf>
    <xf numFmtId="0" fontId="14" fillId="6" borderId="0" xfId="3" applyFont="1" applyFill="1" applyBorder="1" applyAlignment="1">
      <alignment horizontal="center"/>
    </xf>
    <xf numFmtId="0" fontId="8" fillId="0" borderId="3" xfId="0" applyFont="1" applyBorder="1" applyAlignment="1">
      <alignment vertical="center"/>
    </xf>
    <xf numFmtId="0" fontId="7" fillId="0" borderId="16" xfId="0" applyFont="1" applyBorder="1" applyAlignment="1">
      <alignment horizontal="center" vertical="center"/>
    </xf>
    <xf numFmtId="0" fontId="7" fillId="0" borderId="16" xfId="0" applyFont="1" applyBorder="1" applyAlignment="1">
      <alignment horizontal="center" vertical="center" wrapText="1"/>
    </xf>
    <xf numFmtId="0" fontId="9" fillId="0" borderId="0" xfId="0" applyFont="1" applyAlignment="1">
      <alignment vertical="center"/>
    </xf>
    <xf numFmtId="0" fontId="7" fillId="0" borderId="0" xfId="0" applyFont="1" applyAlignment="1">
      <alignment vertical="center"/>
    </xf>
    <xf numFmtId="9" fontId="7" fillId="0" borderId="0" xfId="0" applyNumberFormat="1" applyFont="1" applyAlignment="1">
      <alignment vertical="center"/>
    </xf>
    <xf numFmtId="9" fontId="7" fillId="6" borderId="0" xfId="0" applyNumberFormat="1" applyFont="1" applyFill="1" applyAlignment="1">
      <alignment vertical="center"/>
    </xf>
    <xf numFmtId="9" fontId="7" fillId="0" borderId="0" xfId="2" applyFont="1" applyAlignment="1">
      <alignment vertical="center"/>
    </xf>
    <xf numFmtId="9" fontId="7" fillId="6" borderId="0" xfId="2" applyFont="1" applyFill="1" applyAlignment="1">
      <alignment vertical="center"/>
    </xf>
    <xf numFmtId="0" fontId="7" fillId="6" borderId="0" xfId="0" applyFont="1" applyFill="1" applyAlignment="1">
      <alignment vertical="center"/>
    </xf>
    <xf numFmtId="0" fontId="9" fillId="6" borderId="0" xfId="0" applyFont="1" applyFill="1" applyAlignment="1">
      <alignment vertical="center"/>
    </xf>
    <xf numFmtId="2" fontId="7" fillId="0" borderId="0" xfId="0" applyNumberFormat="1" applyFont="1" applyAlignment="1">
      <alignment vertical="center"/>
    </xf>
    <xf numFmtId="2" fontId="7" fillId="6" borderId="0" xfId="0" applyNumberFormat="1" applyFont="1" applyFill="1" applyAlignment="1">
      <alignment vertical="center"/>
    </xf>
    <xf numFmtId="164" fontId="7" fillId="0" borderId="0" xfId="1" applyFont="1" applyAlignment="1">
      <alignment vertical="center"/>
    </xf>
    <xf numFmtId="164" fontId="7" fillId="6" borderId="0" xfId="1" applyFont="1" applyFill="1" applyAlignment="1">
      <alignment vertical="center"/>
    </xf>
    <xf numFmtId="164" fontId="7" fillId="0" borderId="0" xfId="0" applyNumberFormat="1" applyFont="1" applyAlignment="1">
      <alignment vertical="center"/>
    </xf>
    <xf numFmtId="164" fontId="7" fillId="6" borderId="0" xfId="0" applyNumberFormat="1" applyFont="1" applyFill="1" applyAlignment="1">
      <alignment vertical="center"/>
    </xf>
    <xf numFmtId="10" fontId="7" fillId="0" borderId="0" xfId="2" applyNumberFormat="1" applyFont="1" applyAlignment="1">
      <alignment vertical="center"/>
    </xf>
    <xf numFmtId="10" fontId="7" fillId="6" borderId="0" xfId="2" applyNumberFormat="1" applyFont="1" applyFill="1" applyAlignment="1">
      <alignment vertical="center"/>
    </xf>
    <xf numFmtId="164" fontId="15" fillId="0" borderId="11" xfId="1" applyFont="1" applyBorder="1"/>
    <xf numFmtId="164" fontId="15" fillId="0" borderId="1" xfId="1" applyFont="1" applyBorder="1"/>
    <xf numFmtId="0" fontId="5" fillId="0" borderId="0" xfId="0" applyFont="1"/>
    <xf numFmtId="0" fontId="7" fillId="0" borderId="16" xfId="0" applyFont="1" applyBorder="1" applyAlignment="1">
      <alignment wrapText="1"/>
    </xf>
    <xf numFmtId="0" fontId="7" fillId="0" borderId="16" xfId="0" applyFont="1" applyBorder="1"/>
    <xf numFmtId="0" fontId="9" fillId="0" borderId="16" xfId="0" applyFont="1" applyBorder="1"/>
    <xf numFmtId="0" fontId="7" fillId="0" borderId="16" xfId="0" applyFont="1" applyBorder="1" applyAlignment="1">
      <alignment vertical="center" wrapText="1"/>
    </xf>
    <xf numFmtId="0" fontId="0" fillId="0" borderId="9" xfId="0" applyBorder="1"/>
    <xf numFmtId="0" fontId="9" fillId="0" borderId="6" xfId="0" applyFont="1" applyBorder="1" applyAlignment="1">
      <alignment vertical="center"/>
    </xf>
    <xf numFmtId="0" fontId="7" fillId="0" borderId="6" xfId="0" applyFont="1" applyBorder="1" applyAlignment="1">
      <alignment vertical="center"/>
    </xf>
    <xf numFmtId="0" fontId="7" fillId="0" borderId="21" xfId="0" applyFont="1" applyBorder="1"/>
    <xf numFmtId="166" fontId="7" fillId="0" borderId="6" xfId="1" applyNumberFormat="1" applyFont="1" applyBorder="1"/>
    <xf numFmtId="0" fontId="7" fillId="0" borderId="22" xfId="0" applyFont="1" applyBorder="1"/>
    <xf numFmtId="0" fontId="7" fillId="0" borderId="3" xfId="0" applyFont="1" applyBorder="1" applyAlignment="1">
      <alignment horizontal="center"/>
    </xf>
    <xf numFmtId="10" fontId="7" fillId="0" borderId="6" xfId="0" applyNumberFormat="1" applyFont="1" applyBorder="1"/>
    <xf numFmtId="164" fontId="7" fillId="0" borderId="10" xfId="1" applyFont="1" applyBorder="1"/>
    <xf numFmtId="0" fontId="9" fillId="9" borderId="0" xfId="0" applyFont="1" applyFill="1"/>
    <xf numFmtId="166" fontId="9" fillId="9" borderId="0" xfId="1" applyNumberFormat="1" applyFont="1" applyFill="1"/>
    <xf numFmtId="166" fontId="7" fillId="9" borderId="16" xfId="1" applyNumberFormat="1" applyFont="1" applyFill="1" applyBorder="1"/>
    <xf numFmtId="10" fontId="23" fillId="0" borderId="0" xfId="1" applyNumberFormat="1" applyFont="1"/>
    <xf numFmtId="10" fontId="24" fillId="0" borderId="0" xfId="1" applyNumberFormat="1" applyFont="1"/>
    <xf numFmtId="10" fontId="24" fillId="6" borderId="0" xfId="1" applyNumberFormat="1" applyFont="1" applyFill="1"/>
    <xf numFmtId="0" fontId="9" fillId="0" borderId="0" xfId="0" applyFont="1" applyAlignment="1">
      <alignment horizontal="center" wrapText="1"/>
    </xf>
    <xf numFmtId="0" fontId="9" fillId="0" borderId="0" xfId="0" applyFont="1" applyAlignment="1">
      <alignment horizontal="left" vertical="center" wrapText="1"/>
    </xf>
    <xf numFmtId="0" fontId="9" fillId="0" borderId="0" xfId="0" applyFont="1" applyAlignment="1">
      <alignment horizontal="left" vertical="center"/>
    </xf>
    <xf numFmtId="164" fontId="20" fillId="0" borderId="0" xfId="1" applyFont="1" applyAlignment="1">
      <alignment horizontal="left" vertical="center"/>
    </xf>
    <xf numFmtId="164" fontId="26" fillId="0" borderId="0" xfId="1" applyFont="1"/>
    <xf numFmtId="43" fontId="20" fillId="0" borderId="0" xfId="1" applyNumberFormat="1" applyFont="1"/>
    <xf numFmtId="43" fontId="20" fillId="0" borderId="0" xfId="1" applyNumberFormat="1" applyFont="1" applyAlignment="1">
      <alignment vertical="center"/>
    </xf>
    <xf numFmtId="43" fontId="20" fillId="0" borderId="1" xfId="1" applyNumberFormat="1" applyFont="1" applyBorder="1"/>
    <xf numFmtId="0" fontId="27" fillId="0" borderId="0" xfId="0" applyFont="1"/>
    <xf numFmtId="0" fontId="7" fillId="0" borderId="0" xfId="0" applyFont="1" applyAlignment="1">
      <alignment horizontal="left"/>
    </xf>
    <xf numFmtId="164" fontId="20" fillId="0" borderId="0" xfId="1" applyFont="1"/>
    <xf numFmtId="9" fontId="9" fillId="0" borderId="0" xfId="2" applyFont="1" applyBorder="1"/>
    <xf numFmtId="0" fontId="9" fillId="0" borderId="0" xfId="0" applyFont="1" applyAlignment="1">
      <alignment vertical="center" wrapText="1"/>
    </xf>
    <xf numFmtId="9" fontId="10" fillId="0" borderId="0" xfId="2" applyFont="1" applyAlignment="1">
      <alignment vertical="center"/>
    </xf>
    <xf numFmtId="9" fontId="7" fillId="0" borderId="0" xfId="0" applyNumberFormat="1" applyFont="1"/>
    <xf numFmtId="165" fontId="7" fillId="0" borderId="0" xfId="2" applyNumberFormat="1" applyFont="1"/>
    <xf numFmtId="43" fontId="9" fillId="0" borderId="0" xfId="1" applyNumberFormat="1" applyFont="1" applyBorder="1"/>
    <xf numFmtId="43" fontId="9" fillId="6" borderId="0" xfId="1" applyNumberFormat="1" applyFont="1" applyFill="1" applyBorder="1"/>
    <xf numFmtId="43" fontId="9" fillId="0" borderId="23" xfId="1" applyNumberFormat="1" applyFont="1" applyBorder="1"/>
    <xf numFmtId="0" fontId="9" fillId="0" borderId="0" xfId="0" applyFont="1" applyAlignment="1">
      <alignment horizontal="center" vertical="center"/>
    </xf>
    <xf numFmtId="9" fontId="7" fillId="4" borderId="4" xfId="1" applyNumberFormat="1" applyFont="1" applyFill="1" applyBorder="1"/>
    <xf numFmtId="10" fontId="7" fillId="6" borderId="0" xfId="2" applyNumberFormat="1" applyFont="1" applyFill="1"/>
    <xf numFmtId="164" fontId="26" fillId="0" borderId="0" xfId="2" applyNumberFormat="1" applyFont="1"/>
    <xf numFmtId="9" fontId="8" fillId="0" borderId="0" xfId="2" applyFont="1" applyBorder="1"/>
    <xf numFmtId="0" fontId="7" fillId="0" borderId="6" xfId="0" applyFont="1" applyBorder="1" applyAlignment="1">
      <alignment horizontal="left"/>
    </xf>
    <xf numFmtId="164" fontId="15" fillId="0" borderId="11" xfId="0" applyNumberFormat="1" applyFont="1" applyBorder="1"/>
    <xf numFmtId="164" fontId="15" fillId="0" borderId="1" xfId="0" applyNumberFormat="1" applyFont="1" applyBorder="1"/>
    <xf numFmtId="0" fontId="7" fillId="0" borderId="6" xfId="0" applyFont="1" applyBorder="1" applyAlignment="1">
      <alignment vertical="center" wrapText="1"/>
    </xf>
    <xf numFmtId="164" fontId="10" fillId="0" borderId="0" xfId="0" applyNumberFormat="1" applyFont="1" applyAlignment="1">
      <alignment vertical="center"/>
    </xf>
    <xf numFmtId="0" fontId="9" fillId="0" borderId="6" xfId="0" applyFont="1" applyBorder="1" applyAlignment="1">
      <alignment vertical="center" wrapText="1"/>
    </xf>
    <xf numFmtId="164" fontId="9" fillId="0" borderId="0" xfId="1" applyFont="1" applyAlignment="1">
      <alignment vertical="center"/>
    </xf>
    <xf numFmtId="43" fontId="9" fillId="8" borderId="7" xfId="1" applyNumberFormat="1" applyFont="1" applyFill="1" applyBorder="1"/>
    <xf numFmtId="43" fontId="9" fillId="0" borderId="0" xfId="1" applyNumberFormat="1" applyFont="1" applyAlignment="1">
      <alignment vertical="center"/>
    </xf>
    <xf numFmtId="164" fontId="9" fillId="6" borderId="0" xfId="0" applyNumberFormat="1" applyFont="1" applyFill="1" applyAlignment="1">
      <alignment vertical="center"/>
    </xf>
    <xf numFmtId="164" fontId="8" fillId="0" borderId="0" xfId="0" applyNumberFormat="1" applyFont="1"/>
    <xf numFmtId="0" fontId="27" fillId="0" borderId="6" xfId="0" applyFont="1" applyBorder="1"/>
    <xf numFmtId="43" fontId="9" fillId="6" borderId="0" xfId="0" applyNumberFormat="1" applyFont="1" applyFill="1"/>
    <xf numFmtId="9" fontId="15" fillId="0" borderId="0" xfId="2" applyFont="1"/>
    <xf numFmtId="9" fontId="9" fillId="6" borderId="0" xfId="2" applyFont="1" applyFill="1"/>
    <xf numFmtId="10" fontId="32" fillId="0" borderId="15" xfId="0" applyNumberFormat="1" applyFont="1" applyBorder="1" applyAlignment="1">
      <alignment horizontal="right" vertical="center" indent="1"/>
    </xf>
    <xf numFmtId="10" fontId="34" fillId="0" borderId="15" xfId="0" applyNumberFormat="1" applyFont="1" applyBorder="1" applyAlignment="1">
      <alignment horizontal="right" vertical="center" indent="1"/>
    </xf>
    <xf numFmtId="0" fontId="31" fillId="0" borderId="0" xfId="0" applyFont="1" applyAlignment="1">
      <alignment horizontal="left" vertical="center" indent="1"/>
    </xf>
    <xf numFmtId="0" fontId="33" fillId="0" borderId="0" xfId="0" applyFont="1" applyAlignment="1">
      <alignment horizontal="right" vertical="center" indent="1"/>
    </xf>
    <xf numFmtId="10" fontId="32" fillId="0" borderId="0" xfId="0" applyNumberFormat="1" applyFont="1" applyAlignment="1">
      <alignment horizontal="right" vertical="center" indent="1"/>
    </xf>
    <xf numFmtId="0" fontId="9" fillId="0" borderId="3" xfId="0" applyFont="1" applyBorder="1" applyAlignment="1">
      <alignment horizontal="center" vertical="center" wrapText="1"/>
    </xf>
    <xf numFmtId="0" fontId="9" fillId="0" borderId="1" xfId="0" applyFont="1" applyBorder="1" applyAlignment="1">
      <alignment horizontal="center"/>
    </xf>
    <xf numFmtId="0" fontId="9" fillId="0" borderId="10" xfId="0" applyFont="1" applyBorder="1" applyAlignment="1">
      <alignment horizontal="center" vertical="center"/>
    </xf>
    <xf numFmtId="43" fontId="9" fillId="0" borderId="1" xfId="0" applyNumberFormat="1" applyFont="1" applyBorder="1"/>
    <xf numFmtId="170" fontId="7" fillId="0" borderId="0" xfId="0" applyNumberFormat="1" applyFont="1"/>
    <xf numFmtId="164" fontId="7" fillId="0" borderId="0" xfId="1" applyFont="1" applyBorder="1"/>
    <xf numFmtId="164" fontId="7" fillId="6" borderId="0" xfId="1" applyFont="1" applyFill="1" applyBorder="1"/>
    <xf numFmtId="9" fontId="8" fillId="6" borderId="0" xfId="2" applyFont="1" applyFill="1"/>
    <xf numFmtId="9" fontId="8" fillId="0" borderId="0" xfId="0" applyNumberFormat="1" applyFont="1"/>
    <xf numFmtId="9" fontId="8" fillId="6" borderId="0" xfId="0" applyNumberFormat="1" applyFont="1" applyFill="1"/>
    <xf numFmtId="0" fontId="37" fillId="0" borderId="0" xfId="0" applyFont="1"/>
    <xf numFmtId="0" fontId="9" fillId="0" borderId="22" xfId="0" applyFont="1" applyBorder="1" applyAlignment="1">
      <alignment horizontal="center" vertical="center"/>
    </xf>
    <xf numFmtId="0" fontId="9" fillId="0" borderId="11" xfId="0" applyFont="1" applyBorder="1" applyAlignment="1">
      <alignment horizontal="center"/>
    </xf>
    <xf numFmtId="0" fontId="9" fillId="0" borderId="13" xfId="0" applyFont="1" applyBorder="1" applyAlignment="1">
      <alignment horizontal="center"/>
    </xf>
    <xf numFmtId="9" fontId="23" fillId="0" borderId="0" xfId="1" applyNumberFormat="1" applyFont="1"/>
    <xf numFmtId="0" fontId="8" fillId="0" borderId="6" xfId="0" applyFont="1" applyBorder="1" applyAlignment="1">
      <alignment horizontal="right" wrapText="1"/>
    </xf>
    <xf numFmtId="0" fontId="7" fillId="6" borderId="0" xfId="0" applyFont="1" applyFill="1" applyAlignment="1">
      <alignment wrapText="1"/>
    </xf>
    <xf numFmtId="9" fontId="7" fillId="6" borderId="0" xfId="2" applyFont="1" applyFill="1"/>
    <xf numFmtId="0" fontId="11" fillId="0" borderId="0" xfId="0" applyFont="1" applyAlignment="1">
      <alignment wrapText="1"/>
    </xf>
    <xf numFmtId="10" fontId="9" fillId="0" borderId="1" xfId="2" applyNumberFormat="1" applyFont="1" applyBorder="1"/>
    <xf numFmtId="0" fontId="9" fillId="0" borderId="2" xfId="0" applyFont="1" applyBorder="1" applyAlignment="1">
      <alignment horizontal="center" vertical="center" wrapText="1"/>
    </xf>
    <xf numFmtId="0" fontId="21" fillId="0" borderId="0" xfId="0" applyFont="1"/>
    <xf numFmtId="0" fontId="7" fillId="0" borderId="21" xfId="0" applyFont="1" applyBorder="1" applyAlignment="1">
      <alignment horizontal="center" vertical="center"/>
    </xf>
    <xf numFmtId="0" fontId="7" fillId="0" borderId="0" xfId="0" applyFont="1" applyAlignment="1">
      <alignment horizontal="center" vertical="center"/>
    </xf>
    <xf numFmtId="43" fontId="10" fillId="0" borderId="0" xfId="0" applyNumberFormat="1" applyFont="1" applyAlignment="1">
      <alignment wrapText="1"/>
    </xf>
    <xf numFmtId="164" fontId="10" fillId="0" borderId="0" xfId="1" applyFont="1" applyBorder="1" applyAlignment="1">
      <alignment wrapText="1"/>
    </xf>
    <xf numFmtId="9" fontId="8" fillId="6" borderId="0" xfId="2" applyFont="1" applyFill="1" applyBorder="1"/>
    <xf numFmtId="0" fontId="7" fillId="0" borderId="6" xfId="0" applyFont="1" applyBorder="1" applyAlignment="1">
      <alignment horizontal="left" wrapText="1"/>
    </xf>
    <xf numFmtId="0" fontId="9" fillId="7" borderId="6" xfId="0" applyFont="1" applyFill="1" applyBorder="1" applyAlignment="1">
      <alignment wrapText="1"/>
    </xf>
    <xf numFmtId="164" fontId="9" fillId="7" borderId="0" xfId="1" applyFont="1" applyFill="1" applyBorder="1"/>
    <xf numFmtId="43" fontId="9" fillId="7" borderId="0" xfId="1" applyNumberFormat="1" applyFont="1" applyFill="1" applyBorder="1"/>
    <xf numFmtId="10" fontId="7" fillId="0" borderId="10" xfId="0" applyNumberFormat="1" applyFont="1" applyBorder="1"/>
    <xf numFmtId="166" fontId="8" fillId="0" borderId="6" xfId="0" applyNumberFormat="1" applyFont="1" applyBorder="1"/>
    <xf numFmtId="166" fontId="7" fillId="0" borderId="0" xfId="0" applyNumberFormat="1" applyFont="1"/>
    <xf numFmtId="166" fontId="8" fillId="4" borderId="4" xfId="1" applyNumberFormat="1" applyFont="1" applyFill="1" applyBorder="1"/>
    <xf numFmtId="166" fontId="8" fillId="0" borderId="0" xfId="0" applyNumberFormat="1" applyFont="1"/>
    <xf numFmtId="0" fontId="39" fillId="0" borderId="0" xfId="0" applyFont="1" applyAlignment="1">
      <alignment horizontal="center"/>
    </xf>
    <xf numFmtId="0" fontId="40" fillId="0" borderId="0" xfId="0" applyFont="1"/>
    <xf numFmtId="0" fontId="39" fillId="0" borderId="0" xfId="0" applyFont="1"/>
    <xf numFmtId="0" fontId="40" fillId="0" borderId="0" xfId="0" applyFont="1" applyAlignment="1">
      <alignment horizontal="center"/>
    </xf>
    <xf numFmtId="171" fontId="7" fillId="0" borderId="0" xfId="1" applyNumberFormat="1" applyFont="1"/>
    <xf numFmtId="164" fontId="8" fillId="6" borderId="0" xfId="0" applyNumberFormat="1" applyFont="1" applyFill="1"/>
    <xf numFmtId="164" fontId="9" fillId="6" borderId="0" xfId="0" applyNumberFormat="1" applyFont="1" applyFill="1"/>
    <xf numFmtId="164" fontId="9" fillId="0" borderId="12" xfId="1" applyFont="1" applyBorder="1"/>
    <xf numFmtId="169" fontId="8" fillId="6" borderId="0" xfId="1" applyNumberFormat="1" applyFont="1" applyFill="1" applyBorder="1"/>
    <xf numFmtId="43" fontId="9" fillId="6" borderId="1" xfId="0" applyNumberFormat="1" applyFont="1" applyFill="1" applyBorder="1"/>
    <xf numFmtId="164" fontId="7" fillId="0" borderId="0" xfId="1" applyFont="1" applyBorder="1" applyAlignment="1">
      <alignment horizontal="center"/>
    </xf>
    <xf numFmtId="164" fontId="7" fillId="0" borderId="3" xfId="1" applyFont="1" applyBorder="1" applyAlignment="1">
      <alignment horizontal="center"/>
    </xf>
    <xf numFmtId="0" fontId="7" fillId="0" borderId="22" xfId="0" applyFont="1" applyBorder="1" applyAlignment="1">
      <alignment horizontal="center" vertical="center"/>
    </xf>
    <xf numFmtId="0" fontId="9" fillId="6" borderId="2" xfId="0" applyFont="1" applyFill="1" applyBorder="1" applyAlignment="1">
      <alignment horizontal="center" vertical="center" wrapText="1"/>
    </xf>
    <xf numFmtId="168" fontId="7" fillId="6" borderId="0" xfId="2" applyNumberFormat="1" applyFont="1" applyFill="1"/>
    <xf numFmtId="172" fontId="7" fillId="6" borderId="0" xfId="2" applyNumberFormat="1" applyFont="1" applyFill="1"/>
    <xf numFmtId="171" fontId="7" fillId="0" borderId="0" xfId="0" applyNumberFormat="1" applyFont="1"/>
    <xf numFmtId="10" fontId="32" fillId="10" borderId="15" xfId="0" applyNumberFormat="1" applyFont="1" applyFill="1" applyBorder="1" applyAlignment="1">
      <alignment horizontal="right" vertical="center" indent="1"/>
    </xf>
    <xf numFmtId="2" fontId="26" fillId="0" borderId="0" xfId="2" applyNumberFormat="1" applyFont="1"/>
    <xf numFmtId="9" fontId="0" fillId="6" borderId="0" xfId="2" applyFont="1" applyFill="1"/>
    <xf numFmtId="0" fontId="28" fillId="11" borderId="16" xfId="0" applyFont="1" applyFill="1" applyBorder="1"/>
    <xf numFmtId="0" fontId="28" fillId="11" borderId="16" xfId="0" applyFont="1" applyFill="1" applyBorder="1" applyAlignment="1">
      <alignment vertical="center"/>
    </xf>
    <xf numFmtId="0" fontId="28" fillId="11" borderId="0" xfId="0" applyFont="1" applyFill="1" applyAlignment="1">
      <alignment horizontal="center"/>
    </xf>
    <xf numFmtId="0" fontId="7" fillId="12" borderId="0" xfId="0" applyFont="1" applyFill="1" applyAlignment="1">
      <alignment horizontal="center"/>
    </xf>
    <xf numFmtId="0" fontId="28" fillId="11" borderId="16" xfId="0" applyFont="1" applyFill="1" applyBorder="1" applyAlignment="1">
      <alignment horizontal="center" vertical="center"/>
    </xf>
    <xf numFmtId="173" fontId="43" fillId="0" borderId="0" xfId="0" applyNumberFormat="1" applyFont="1"/>
    <xf numFmtId="0" fontId="44" fillId="0" borderId="0" xfId="0" applyFont="1"/>
    <xf numFmtId="0" fontId="46" fillId="0" borderId="0" xfId="0" applyFont="1"/>
    <xf numFmtId="173" fontId="48" fillId="0" borderId="0" xfId="0" applyNumberFormat="1" applyFont="1"/>
    <xf numFmtId="173" fontId="47" fillId="0" borderId="0" xfId="0" applyNumberFormat="1" applyFont="1"/>
    <xf numFmtId="0" fontId="45" fillId="0" borderId="0" xfId="0" applyFont="1"/>
    <xf numFmtId="4" fontId="45" fillId="0" borderId="0" xfId="0" applyNumberFormat="1" applyFont="1"/>
    <xf numFmtId="173" fontId="45" fillId="0" borderId="0" xfId="0" applyNumberFormat="1" applyFont="1"/>
    <xf numFmtId="0" fontId="49" fillId="0" borderId="0" xfId="0" applyFont="1"/>
    <xf numFmtId="0" fontId="50" fillId="0" borderId="0" xfId="0" applyFont="1"/>
    <xf numFmtId="0" fontId="51" fillId="0" borderId="0" xfId="0" applyFont="1"/>
    <xf numFmtId="0" fontId="52" fillId="0" borderId="0" xfId="0" applyFont="1"/>
    <xf numFmtId="0" fontId="42" fillId="0" borderId="0" xfId="0" applyFont="1"/>
    <xf numFmtId="0" fontId="53" fillId="0" borderId="0" xfId="0" applyFont="1" applyAlignment="1">
      <alignment horizontal="left"/>
    </xf>
    <xf numFmtId="4" fontId="0" fillId="0" borderId="0" xfId="0" applyNumberFormat="1"/>
    <xf numFmtId="0" fontId="53" fillId="0" borderId="0" xfId="0" applyFont="1"/>
    <xf numFmtId="173" fontId="51" fillId="0" borderId="0" xfId="0" applyNumberFormat="1" applyFont="1"/>
    <xf numFmtId="0" fontId="47" fillId="0" borderId="0" xfId="0" applyFont="1"/>
    <xf numFmtId="164" fontId="7" fillId="0" borderId="6" xfId="1" applyFont="1" applyBorder="1" applyAlignment="1">
      <alignment horizontal="center" vertical="center"/>
    </xf>
    <xf numFmtId="164" fontId="7" fillId="0" borderId="10" xfId="1" applyFont="1" applyBorder="1" applyAlignment="1">
      <alignment horizontal="center" vertical="center"/>
    </xf>
    <xf numFmtId="165" fontId="10" fillId="0" borderId="0" xfId="2" applyNumberFormat="1" applyFont="1"/>
    <xf numFmtId="165" fontId="8" fillId="4" borderId="4" xfId="3" applyNumberFormat="1" applyFont="1" applyFill="1" applyBorder="1"/>
    <xf numFmtId="43" fontId="9" fillId="0" borderId="12" xfId="1" applyNumberFormat="1" applyFont="1" applyBorder="1"/>
    <xf numFmtId="43" fontId="7" fillId="6" borderId="7" xfId="1" applyNumberFormat="1" applyFont="1" applyFill="1" applyBorder="1"/>
    <xf numFmtId="43" fontId="8" fillId="0" borderId="0" xfId="0" applyNumberFormat="1" applyFont="1"/>
    <xf numFmtId="0" fontId="30" fillId="11" borderId="15" xfId="0" applyFont="1" applyFill="1" applyBorder="1" applyAlignment="1">
      <alignment horizontal="left" vertical="center" indent="1"/>
    </xf>
    <xf numFmtId="0" fontId="30" fillId="11" borderId="15" xfId="0" applyFont="1" applyFill="1" applyBorder="1" applyAlignment="1">
      <alignment horizontal="center" vertical="center"/>
    </xf>
    <xf numFmtId="14" fontId="38" fillId="11" borderId="0" xfId="0" applyNumberFormat="1" applyFont="1" applyFill="1" applyAlignment="1">
      <alignment horizontal="center"/>
    </xf>
    <xf numFmtId="0" fontId="38" fillId="11" borderId="0" xfId="0" applyFont="1" applyFill="1" applyAlignment="1">
      <alignment horizontal="center"/>
    </xf>
    <xf numFmtId="164" fontId="10" fillId="0" borderId="21" xfId="1" applyFont="1" applyBorder="1"/>
    <xf numFmtId="0" fontId="56" fillId="0" borderId="6" xfId="0" applyFont="1" applyBorder="1"/>
    <xf numFmtId="0" fontId="24" fillId="0" borderId="6" xfId="0" applyFont="1" applyBorder="1" applyAlignment="1">
      <alignment horizontal="right"/>
    </xf>
    <xf numFmtId="9" fontId="23" fillId="0" borderId="21" xfId="1" applyNumberFormat="1" applyFont="1" applyBorder="1"/>
    <xf numFmtId="43" fontId="0" fillId="6" borderId="0" xfId="0" applyNumberFormat="1" applyFill="1"/>
    <xf numFmtId="164" fontId="57" fillId="6" borderId="0" xfId="0" applyNumberFormat="1" applyFont="1" applyFill="1"/>
    <xf numFmtId="43" fontId="7" fillId="0" borderId="21" xfId="0" applyNumberFormat="1" applyFont="1" applyBorder="1"/>
    <xf numFmtId="10" fontId="56" fillId="4" borderId="4" xfId="3" applyNumberFormat="1" applyFont="1" applyFill="1" applyBorder="1"/>
    <xf numFmtId="174" fontId="41" fillId="0" borderId="15" xfId="0" applyNumberFormat="1" applyFont="1" applyBorder="1" applyAlignment="1">
      <alignment horizontal="left" vertical="center" indent="1"/>
    </xf>
    <xf numFmtId="174" fontId="31" fillId="0" borderId="15" xfId="0" applyNumberFormat="1" applyFont="1" applyBorder="1" applyAlignment="1">
      <alignment horizontal="left" vertical="center" indent="1"/>
    </xf>
    <xf numFmtId="0" fontId="32" fillId="0" borderId="0" xfId="0" applyFont="1" applyAlignment="1">
      <alignment horizontal="right" vertical="center" indent="1"/>
    </xf>
    <xf numFmtId="4" fontId="32" fillId="0" borderId="0" xfId="0" applyNumberFormat="1" applyFont="1" applyAlignment="1">
      <alignment horizontal="right" vertical="center" indent="1"/>
    </xf>
    <xf numFmtId="0" fontId="58" fillId="0" borderId="0" xfId="0" applyFont="1"/>
    <xf numFmtId="43" fontId="15" fillId="0" borderId="22" xfId="1" applyNumberFormat="1" applyFont="1" applyBorder="1"/>
    <xf numFmtId="43" fontId="7" fillId="0" borderId="12" xfId="1" applyNumberFormat="1" applyFont="1" applyBorder="1"/>
    <xf numFmtId="43" fontId="7" fillId="0" borderId="7" xfId="1" applyNumberFormat="1" applyFont="1" applyBorder="1"/>
    <xf numFmtId="43" fontId="59" fillId="13" borderId="0" xfId="0" applyNumberFormat="1" applyFont="1" applyFill="1"/>
    <xf numFmtId="4" fontId="60" fillId="0" borderId="15" xfId="0" applyNumberFormat="1" applyFont="1" applyBorder="1" applyAlignment="1">
      <alignment horizontal="right" vertical="center" indent="1"/>
    </xf>
    <xf numFmtId="0" fontId="60" fillId="0" borderId="15" xfId="0" applyFont="1" applyBorder="1" applyAlignment="1">
      <alignment horizontal="right" vertical="center" indent="1"/>
    </xf>
    <xf numFmtId="0" fontId="60" fillId="10" borderId="15" xfId="0" applyFont="1" applyFill="1" applyBorder="1" applyAlignment="1">
      <alignment horizontal="right" vertical="center" indent="1"/>
    </xf>
    <xf numFmtId="10" fontId="9" fillId="0" borderId="1" xfId="0" applyNumberFormat="1" applyFont="1" applyBorder="1"/>
    <xf numFmtId="0" fontId="47" fillId="0" borderId="0" xfId="10" applyFont="1"/>
    <xf numFmtId="0" fontId="45" fillId="0" borderId="0" xfId="10" applyFont="1"/>
    <xf numFmtId="175" fontId="45" fillId="14" borderId="24" xfId="10" applyNumberFormat="1" applyFont="1" applyFill="1" applyBorder="1"/>
    <xf numFmtId="165" fontId="45" fillId="0" borderId="0" xfId="10" applyNumberFormat="1" applyFont="1"/>
    <xf numFmtId="165" fontId="45" fillId="14" borderId="24" xfId="10" applyNumberFormat="1" applyFont="1" applyFill="1" applyBorder="1"/>
    <xf numFmtId="0" fontId="7" fillId="0" borderId="16" xfId="0" applyFont="1" applyBorder="1" applyAlignment="1">
      <alignment horizontal="left" vertical="center"/>
    </xf>
    <xf numFmtId="0" fontId="7" fillId="0" borderId="16" xfId="0" applyFont="1" applyBorder="1" applyAlignment="1">
      <alignment vertical="center"/>
    </xf>
    <xf numFmtId="0" fontId="28" fillId="11" borderId="11" xfId="0" applyFont="1" applyFill="1" applyBorder="1" applyAlignment="1">
      <alignment horizontal="center" vertical="center"/>
    </xf>
    <xf numFmtId="0" fontId="28" fillId="11" borderId="1" xfId="0" applyFont="1" applyFill="1" applyBorder="1" applyAlignment="1">
      <alignment horizontal="center" vertical="center"/>
    </xf>
    <xf numFmtId="0" fontId="28" fillId="11" borderId="13" xfId="0" applyFont="1" applyFill="1" applyBorder="1" applyAlignment="1">
      <alignment horizontal="center" vertical="center"/>
    </xf>
    <xf numFmtId="0" fontId="7" fillId="0" borderId="11" xfId="0" applyFont="1" applyBorder="1" applyAlignment="1">
      <alignment vertical="center" wrapText="1"/>
    </xf>
    <xf numFmtId="0" fontId="7" fillId="0" borderId="1" xfId="0" applyFont="1" applyBorder="1" applyAlignment="1">
      <alignment vertical="center" wrapText="1"/>
    </xf>
    <xf numFmtId="0" fontId="7" fillId="0" borderId="13" xfId="0" applyFont="1" applyBorder="1" applyAlignment="1">
      <alignment vertical="center" wrapText="1"/>
    </xf>
    <xf numFmtId="0" fontId="9" fillId="0" borderId="16" xfId="0" applyFont="1" applyBorder="1" applyAlignment="1">
      <alignment horizontal="left"/>
    </xf>
    <xf numFmtId="0" fontId="7" fillId="0" borderId="11" xfId="0" applyFont="1" applyBorder="1" applyAlignment="1">
      <alignment horizontal="left" wrapText="1"/>
    </xf>
    <xf numFmtId="0" fontId="7" fillId="0" borderId="1" xfId="0" applyFont="1" applyBorder="1" applyAlignment="1">
      <alignment horizontal="left" wrapText="1"/>
    </xf>
    <xf numFmtId="0" fontId="7" fillId="0" borderId="13" xfId="0" applyFont="1" applyBorder="1" applyAlignment="1">
      <alignment horizontal="left" wrapText="1"/>
    </xf>
    <xf numFmtId="1" fontId="7" fillId="0" borderId="11" xfId="0" applyNumberFormat="1" applyFont="1" applyBorder="1" applyAlignment="1">
      <alignment horizontal="center"/>
    </xf>
    <xf numFmtId="1" fontId="7" fillId="0" borderId="1" xfId="0" applyNumberFormat="1" applyFont="1" applyBorder="1" applyAlignment="1">
      <alignment horizontal="center"/>
    </xf>
    <xf numFmtId="1" fontId="7" fillId="0" borderId="13" xfId="0" applyNumberFormat="1" applyFont="1" applyBorder="1" applyAlignment="1">
      <alignment horizontal="center"/>
    </xf>
    <xf numFmtId="0" fontId="28" fillId="11" borderId="20" xfId="0" applyFont="1" applyFill="1" applyBorder="1" applyAlignment="1">
      <alignment horizontal="center"/>
    </xf>
    <xf numFmtId="0" fontId="28" fillId="11" borderId="2" xfId="0" applyFont="1" applyFill="1" applyBorder="1" applyAlignment="1">
      <alignment horizontal="center"/>
    </xf>
    <xf numFmtId="0" fontId="28" fillId="11" borderId="9" xfId="0" applyFont="1" applyFill="1" applyBorder="1" applyAlignment="1">
      <alignment horizontal="center"/>
    </xf>
    <xf numFmtId="0" fontId="28" fillId="11" borderId="16" xfId="0" applyFont="1" applyFill="1" applyBorder="1" applyAlignment="1">
      <alignment horizontal="center"/>
    </xf>
    <xf numFmtId="0" fontId="28" fillId="11" borderId="0" xfId="0" applyFont="1" applyFill="1" applyAlignment="1">
      <alignment horizontal="center"/>
    </xf>
    <xf numFmtId="0" fontId="7" fillId="12" borderId="0" xfId="0" applyFont="1" applyFill="1" applyAlignment="1">
      <alignment horizontal="center"/>
    </xf>
    <xf numFmtId="0" fontId="7" fillId="0" borderId="16" xfId="0" applyFont="1" applyBorder="1" applyAlignment="1">
      <alignment horizontal="left"/>
    </xf>
    <xf numFmtId="0" fontId="22" fillId="0" borderId="16" xfId="5" applyBorder="1" applyAlignment="1">
      <alignment horizontal="left"/>
    </xf>
    <xf numFmtId="0" fontId="25" fillId="0" borderId="16" xfId="5" applyFont="1" applyBorder="1" applyAlignment="1">
      <alignment horizontal="left"/>
    </xf>
    <xf numFmtId="0" fontId="7" fillId="0" borderId="17" xfId="0" applyFont="1" applyBorder="1" applyAlignment="1">
      <alignment horizontal="left" vertical="center"/>
    </xf>
    <xf numFmtId="0" fontId="7" fillId="0" borderId="18" xfId="0" applyFont="1" applyBorder="1" applyAlignment="1">
      <alignment horizontal="left" vertical="center"/>
    </xf>
    <xf numFmtId="0" fontId="7" fillId="0" borderId="19" xfId="0" applyFont="1" applyBorder="1" applyAlignment="1">
      <alignment horizontal="left" vertical="center"/>
    </xf>
    <xf numFmtId="0" fontId="56" fillId="0" borderId="11" xfId="0" applyFont="1" applyBorder="1" applyAlignment="1">
      <alignment vertical="center" wrapText="1"/>
    </xf>
    <xf numFmtId="0" fontId="56" fillId="0" borderId="1" xfId="0" applyFont="1" applyBorder="1" applyAlignment="1">
      <alignment vertical="center" wrapText="1"/>
    </xf>
    <xf numFmtId="0" fontId="56" fillId="0" borderId="13" xfId="0" applyFont="1" applyBorder="1" applyAlignment="1">
      <alignment vertical="center" wrapText="1"/>
    </xf>
    <xf numFmtId="0" fontId="9" fillId="0" borderId="2" xfId="0" applyFont="1" applyBorder="1" applyAlignment="1">
      <alignment horizontal="center" vertical="center" wrapText="1"/>
    </xf>
    <xf numFmtId="0" fontId="9" fillId="0" borderId="3" xfId="0" applyFont="1" applyBorder="1" applyAlignment="1">
      <alignment horizontal="center" vertical="center" wrapText="1"/>
    </xf>
    <xf numFmtId="0" fontId="8" fillId="0" borderId="0" xfId="0" applyFont="1" applyAlignment="1">
      <alignment horizontal="center" wrapText="1"/>
    </xf>
    <xf numFmtId="0" fontId="29" fillId="11" borderId="11" xfId="0" applyFont="1" applyFill="1" applyBorder="1" applyAlignment="1">
      <alignment horizontal="center" wrapText="1"/>
    </xf>
    <xf numFmtId="0" fontId="29" fillId="11" borderId="1" xfId="0" applyFont="1" applyFill="1" applyBorder="1" applyAlignment="1">
      <alignment horizontal="center" wrapText="1"/>
    </xf>
    <xf numFmtId="0" fontId="29" fillId="11" borderId="13" xfId="0" applyFont="1" applyFill="1" applyBorder="1" applyAlignment="1">
      <alignment horizontal="center" wrapText="1"/>
    </xf>
    <xf numFmtId="0" fontId="8" fillId="0" borderId="3" xfId="0" applyFont="1" applyBorder="1" applyAlignment="1">
      <alignment horizontal="center" wrapText="1"/>
    </xf>
    <xf numFmtId="0" fontId="11" fillId="0" borderId="0" xfId="0" applyFont="1" applyAlignment="1">
      <alignment horizontal="center"/>
    </xf>
    <xf numFmtId="0" fontId="9" fillId="0" borderId="1" xfId="0" applyFont="1" applyBorder="1" applyAlignment="1">
      <alignment horizontal="center"/>
    </xf>
    <xf numFmtId="0" fontId="28" fillId="11" borderId="11" xfId="0" applyFont="1" applyFill="1" applyBorder="1" applyAlignment="1">
      <alignment horizontal="center" wrapText="1"/>
    </xf>
    <xf numFmtId="0" fontId="28" fillId="11" borderId="1" xfId="0" applyFont="1" applyFill="1" applyBorder="1" applyAlignment="1">
      <alignment horizontal="center" wrapText="1"/>
    </xf>
    <xf numFmtId="0" fontId="9" fillId="0" borderId="0" xfId="0" applyFont="1" applyAlignment="1">
      <alignment horizontal="center" wrapText="1"/>
    </xf>
    <xf numFmtId="0" fontId="28" fillId="11" borderId="11" xfId="0" applyFont="1" applyFill="1" applyBorder="1" applyAlignment="1">
      <alignment horizontal="center"/>
    </xf>
    <xf numFmtId="0" fontId="28" fillId="11" borderId="1" xfId="0" applyFont="1" applyFill="1" applyBorder="1" applyAlignment="1">
      <alignment horizontal="center"/>
    </xf>
    <xf numFmtId="0" fontId="28" fillId="11" borderId="13" xfId="0" applyFont="1" applyFill="1" applyBorder="1" applyAlignment="1">
      <alignment horizontal="center"/>
    </xf>
    <xf numFmtId="0" fontId="9" fillId="0" borderId="6" xfId="0" applyFont="1" applyBorder="1" applyAlignment="1">
      <alignment horizontal="center" vertical="center"/>
    </xf>
    <xf numFmtId="0" fontId="9" fillId="0" borderId="10" xfId="0" applyFont="1" applyBorder="1" applyAlignment="1">
      <alignment horizontal="center" vertical="center"/>
    </xf>
    <xf numFmtId="0" fontId="29" fillId="11" borderId="11" xfId="0" applyFont="1" applyFill="1" applyBorder="1" applyAlignment="1">
      <alignment horizontal="center"/>
    </xf>
    <xf numFmtId="0" fontId="29" fillId="11" borderId="1" xfId="0" applyFont="1" applyFill="1" applyBorder="1" applyAlignment="1">
      <alignment horizontal="center"/>
    </xf>
    <xf numFmtId="0" fontId="29" fillId="11" borderId="13" xfId="0" applyFont="1" applyFill="1" applyBorder="1" applyAlignment="1">
      <alignment horizontal="center"/>
    </xf>
    <xf numFmtId="0" fontId="18" fillId="8" borderId="5" xfId="0" applyFont="1" applyFill="1" applyBorder="1" applyAlignment="1">
      <alignment horizontal="center"/>
    </xf>
    <xf numFmtId="0" fontId="18" fillId="8" borderId="0" xfId="0" applyFont="1" applyFill="1" applyAlignment="1">
      <alignment horizontal="center"/>
    </xf>
    <xf numFmtId="0" fontId="9" fillId="8" borderId="6" xfId="0" applyFont="1" applyFill="1" applyBorder="1" applyAlignment="1">
      <alignment horizontal="center"/>
    </xf>
    <xf numFmtId="0" fontId="9" fillId="0" borderId="0" xfId="0" applyFont="1" applyAlignment="1">
      <alignment horizontal="left"/>
    </xf>
    <xf numFmtId="0" fontId="9" fillId="0" borderId="6" xfId="0" applyFont="1" applyBorder="1" applyAlignment="1">
      <alignment horizontal="left"/>
    </xf>
    <xf numFmtId="0" fontId="8" fillId="0" borderId="0" xfId="0" applyFont="1" applyAlignment="1">
      <alignment horizontal="left" wrapText="1"/>
    </xf>
    <xf numFmtId="0" fontId="9" fillId="0" borderId="9" xfId="0" applyFont="1" applyBorder="1" applyAlignment="1">
      <alignment horizontal="center" vertical="center" wrapText="1"/>
    </xf>
    <xf numFmtId="0" fontId="9" fillId="0" borderId="10" xfId="0" applyFont="1" applyBorder="1" applyAlignment="1">
      <alignment horizontal="center" vertical="center" wrapText="1"/>
    </xf>
    <xf numFmtId="0" fontId="11" fillId="0" borderId="6" xfId="0" applyFont="1" applyBorder="1" applyAlignment="1">
      <alignment horizontal="center"/>
    </xf>
    <xf numFmtId="0" fontId="9" fillId="0" borderId="6" xfId="0" applyFont="1" applyBorder="1" applyAlignment="1">
      <alignment horizontal="center" vertical="center" wrapText="1"/>
    </xf>
    <xf numFmtId="0" fontId="9" fillId="8" borderId="1" xfId="0" applyFont="1" applyFill="1" applyBorder="1" applyAlignment="1">
      <alignment horizontal="center"/>
    </xf>
    <xf numFmtId="0" fontId="9" fillId="8" borderId="13" xfId="0" applyFont="1" applyFill="1" applyBorder="1" applyAlignment="1">
      <alignment horizontal="center"/>
    </xf>
    <xf numFmtId="0" fontId="8" fillId="0" borderId="3" xfId="0" applyFont="1" applyBorder="1" applyAlignment="1">
      <alignment horizontal="center"/>
    </xf>
    <xf numFmtId="0" fontId="28" fillId="11" borderId="16" xfId="0" applyFont="1" applyFill="1" applyBorder="1" applyAlignment="1">
      <alignment horizontal="left" vertical="center" wrapText="1"/>
    </xf>
    <xf numFmtId="0" fontId="14" fillId="6" borderId="0" xfId="3" applyFont="1" applyFill="1" applyBorder="1" applyAlignment="1">
      <alignment horizontal="center" vertical="center"/>
    </xf>
    <xf numFmtId="0" fontId="14" fillId="6" borderId="3" xfId="3" applyFont="1" applyFill="1" applyBorder="1" applyAlignment="1">
      <alignment horizontal="center" vertical="center"/>
    </xf>
    <xf numFmtId="0" fontId="29" fillId="11" borderId="21" xfId="0" applyFont="1" applyFill="1" applyBorder="1" applyAlignment="1">
      <alignment horizontal="center"/>
    </xf>
    <xf numFmtId="0" fontId="29" fillId="11" borderId="0" xfId="0" applyFont="1" applyFill="1" applyAlignment="1">
      <alignment horizontal="center"/>
    </xf>
    <xf numFmtId="0" fontId="29" fillId="11" borderId="3" xfId="0" applyFont="1" applyFill="1" applyBorder="1" applyAlignment="1">
      <alignment horizontal="center" wrapText="1"/>
    </xf>
    <xf numFmtId="0" fontId="36" fillId="11" borderId="3" xfId="0" applyFont="1" applyFill="1" applyBorder="1" applyAlignment="1">
      <alignment horizontal="center" wrapText="1"/>
    </xf>
    <xf numFmtId="0" fontId="28" fillId="11" borderId="0" xfId="0" applyFont="1" applyFill="1" applyAlignment="1">
      <alignment horizontal="center" vertical="center" textRotation="90" wrapText="1"/>
    </xf>
    <xf numFmtId="0" fontId="9" fillId="7" borderId="0" xfId="0" applyFont="1" applyFill="1" applyAlignment="1">
      <alignment horizontal="center" vertical="center" wrapText="1"/>
    </xf>
    <xf numFmtId="0" fontId="9" fillId="7" borderId="3" xfId="0" applyFont="1" applyFill="1" applyBorder="1" applyAlignment="1">
      <alignment horizontal="center" vertical="center" wrapText="1"/>
    </xf>
    <xf numFmtId="0" fontId="9" fillId="0" borderId="6" xfId="0" applyFont="1" applyFill="1" applyBorder="1"/>
    <xf numFmtId="43" fontId="9" fillId="0" borderId="0" xfId="0" applyNumberFormat="1" applyFont="1"/>
    <xf numFmtId="0" fontId="9" fillId="0" borderId="0" xfId="0" applyFont="1" applyFill="1"/>
    <xf numFmtId="43" fontId="9" fillId="0" borderId="0" xfId="1" applyNumberFormat="1" applyFont="1" applyFill="1" applyBorder="1"/>
    <xf numFmtId="0" fontId="7" fillId="0" borderId="6" xfId="0" applyFont="1" applyFill="1" applyBorder="1"/>
    <xf numFmtId="0" fontId="7" fillId="0" borderId="0" xfId="0" applyFont="1" applyFill="1"/>
    <xf numFmtId="43" fontId="7" fillId="0" borderId="0" xfId="1" applyNumberFormat="1" applyFont="1" applyFill="1"/>
    <xf numFmtId="165" fontId="7" fillId="6" borderId="0" xfId="2" applyNumberFormat="1" applyFont="1" applyFill="1"/>
  </cellXfs>
  <cellStyles count="11">
    <cellStyle name="20% - Accent1" xfId="3" builtinId="30"/>
    <cellStyle name="Comma" xfId="1" builtinId="3"/>
    <cellStyle name="Hyperlink" xfId="5" builtinId="8"/>
    <cellStyle name="Normal" xfId="0" builtinId="0"/>
    <cellStyle name="Normal 2" xfId="7" xr:uid="{9BA2386E-6790-0248-AA66-04B7A8D30CAA}"/>
    <cellStyle name="Normal 3" xfId="8" xr:uid="{FFB63CF4-2456-1042-AE0C-81D14438FE42}"/>
    <cellStyle name="Normal 4" xfId="6" xr:uid="{7B51F0E0-7C1E-4C12-8FF7-90F75A6EB774}"/>
    <cellStyle name="Normal 5" xfId="9" xr:uid="{97AEFD65-05E1-ED41-B4B7-641770F7CD52}"/>
    <cellStyle name="Normal 6" xfId="10" xr:uid="{B7554896-7921-6E44-A5FF-569E385723AE}"/>
    <cellStyle name="Normal 7 2" xfId="4" xr:uid="{00000000-0005-0000-0000-000004000000}"/>
    <cellStyle name="Per cent" xfId="2" builtinId="5"/>
  </cellStyles>
  <dxfs count="10">
    <dxf>
      <font>
        <color rgb="FFFF0000"/>
      </font>
    </dxf>
    <dxf>
      <font>
        <color rgb="FF00B050"/>
      </font>
    </dxf>
    <dxf>
      <font>
        <color rgb="FFFF0000"/>
      </font>
    </dxf>
    <dxf>
      <font>
        <color rgb="FF00B050"/>
      </font>
    </dxf>
    <dxf>
      <font>
        <color rgb="FF00B050"/>
      </font>
    </dxf>
    <dxf>
      <font>
        <color rgb="FF00B050"/>
      </font>
    </dxf>
    <dxf>
      <font>
        <b val="0"/>
        <i val="0"/>
        <color rgb="FFFF0000"/>
      </font>
    </dxf>
    <dxf>
      <font>
        <b val="0"/>
        <i val="0"/>
        <color rgb="FF00B050"/>
      </font>
    </dxf>
    <dxf>
      <font>
        <color rgb="FFFF0000"/>
      </font>
    </dxf>
    <dxf>
      <font>
        <color rgb="FF00B050"/>
      </font>
    </dxf>
  </dxfs>
  <tableStyles count="0" defaultTableStyle="TableStyleMedium2" defaultPivotStyle="PivotStyleMedium9"/>
  <colors>
    <mruColors>
      <color rgb="FFCC3300"/>
      <color rgb="FF941651"/>
      <color rgb="FFEF2D3B"/>
      <color rgb="FFE41217"/>
      <color rgb="FF1E4A80"/>
      <color rgb="FFBD0F1B"/>
      <color rgb="FFFFFFCC"/>
      <color rgb="FFCCFF99"/>
      <color rgb="FFFF6600"/>
      <color rgb="FFFF996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connections" Target="connection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ustomXml" Target="../customXml/item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45"/>
    </mc:Choice>
    <mc:Fallback>
      <c:style val="45"/>
    </mc:Fallback>
  </mc:AlternateContent>
  <c:chart>
    <c:title>
      <c:tx>
        <c:rich>
          <a:bodyPr/>
          <a:lstStyle/>
          <a:p>
            <a:pPr>
              <a:defRPr/>
            </a:pPr>
            <a:r>
              <a:rPr lang="en-IN"/>
              <a:t>Revenue &amp; YoY</a:t>
            </a:r>
            <a:r>
              <a:rPr lang="en-IN" baseline="0"/>
              <a:t> Growth</a:t>
            </a:r>
            <a:endParaRPr lang="en-IN"/>
          </a:p>
        </c:rich>
      </c:tx>
      <c:overlay val="0"/>
    </c:title>
    <c:autoTitleDeleted val="0"/>
    <c:plotArea>
      <c:layout/>
      <c:barChart>
        <c:barDir val="col"/>
        <c:grouping val="clustered"/>
        <c:varyColors val="0"/>
        <c:ser>
          <c:idx val="1"/>
          <c:order val="0"/>
          <c:tx>
            <c:strRef>
              <c:f>'Income Statement'!$B$11</c:f>
              <c:strCache>
                <c:ptCount val="1"/>
                <c:pt idx="0">
                  <c:v>Revenue from Operations</c:v>
                </c:pt>
              </c:strCache>
            </c:strRef>
          </c:tx>
          <c:invertIfNegative val="0"/>
          <c:cat>
            <c:numRef>
              <c:f>'Income Statement'!$C$8:$Q$8</c:f>
              <c:numCache>
                <c:formatCode>General</c:formatCode>
                <c:ptCount val="15"/>
                <c:pt idx="0">
                  <c:v>2020</c:v>
                </c:pt>
                <c:pt idx="1">
                  <c:v>2021</c:v>
                </c:pt>
                <c:pt idx="2">
                  <c:v>2022</c:v>
                </c:pt>
                <c:pt idx="3">
                  <c:v>2023</c:v>
                </c:pt>
                <c:pt idx="4">
                  <c:v>2024</c:v>
                </c:pt>
                <c:pt idx="5">
                  <c:v>2025</c:v>
                </c:pt>
                <c:pt idx="6">
                  <c:v>2026</c:v>
                </c:pt>
                <c:pt idx="7">
                  <c:v>2027</c:v>
                </c:pt>
                <c:pt idx="8">
                  <c:v>2028</c:v>
                </c:pt>
                <c:pt idx="9">
                  <c:v>2029</c:v>
                </c:pt>
                <c:pt idx="10">
                  <c:v>2030</c:v>
                </c:pt>
                <c:pt idx="11">
                  <c:v>2031</c:v>
                </c:pt>
                <c:pt idx="12">
                  <c:v>2032</c:v>
                </c:pt>
                <c:pt idx="13">
                  <c:v>2033</c:v>
                </c:pt>
                <c:pt idx="14">
                  <c:v>2034</c:v>
                </c:pt>
              </c:numCache>
            </c:numRef>
          </c:cat>
          <c:val>
            <c:numRef>
              <c:f>'Income Statement'!$C$11:$Q$11</c:f>
              <c:numCache>
                <c:formatCode>_ * #,##0.00_ ;_ * \-#,##0.00_ ;_ * "-"??_ ;_ @_ </c:formatCode>
                <c:ptCount val="15"/>
                <c:pt idx="0">
                  <c:v>9910.7999999999993</c:v>
                </c:pt>
                <c:pt idx="1">
                  <c:v>11028.62</c:v>
                </c:pt>
                <c:pt idx="2">
                  <c:v>12276.5</c:v>
                </c:pt>
                <c:pt idx="3">
                  <c:v>13315.97</c:v>
                </c:pt>
                <c:pt idx="4">
                  <c:v>14096.11</c:v>
                </c:pt>
                <c:pt idx="5">
                  <c:v>15206.847796669594</c:v>
                </c:pt>
                <c:pt idx="6">
                  <c:v>16449.354017862825</c:v>
                </c:pt>
                <c:pt idx="7">
                  <c:v>17843.117027602631</c:v>
                </c:pt>
                <c:pt idx="8">
                  <c:v>19411.027480315584</c:v>
                </c:pt>
                <c:pt idx="9">
                  <c:v>21180.056675047068</c:v>
                </c:pt>
                <c:pt idx="10">
                  <c:v>23182.086119864551</c:v>
                </c:pt>
                <c:pt idx="11">
                  <c:v>25454.925434927056</c:v>
                </c:pt>
                <c:pt idx="12">
                  <c:v>28043.56565626416</c:v>
                </c:pt>
                <c:pt idx="13">
                  <c:v>31001.727807704712</c:v>
                </c:pt>
                <c:pt idx="14">
                  <c:v>34393.783176907782</c:v>
                </c:pt>
              </c:numCache>
            </c:numRef>
          </c:val>
          <c:extLst>
            <c:ext xmlns:c16="http://schemas.microsoft.com/office/drawing/2014/chart" uri="{C3380CC4-5D6E-409C-BE32-E72D297353CC}">
              <c16:uniqueId val="{00000000-29AC-4C3C-B8AC-BA93B0BC9578}"/>
            </c:ext>
          </c:extLst>
        </c:ser>
        <c:dLbls>
          <c:showLegendKey val="0"/>
          <c:showVal val="0"/>
          <c:showCatName val="0"/>
          <c:showSerName val="0"/>
          <c:showPercent val="0"/>
          <c:showBubbleSize val="0"/>
        </c:dLbls>
        <c:gapWidth val="150"/>
        <c:axId val="204992896"/>
        <c:axId val="204994432"/>
      </c:barChart>
      <c:lineChart>
        <c:grouping val="standard"/>
        <c:varyColors val="0"/>
        <c:ser>
          <c:idx val="0"/>
          <c:order val="1"/>
          <c:tx>
            <c:v>YoY Growth</c:v>
          </c:tx>
          <c:spPr>
            <a:ln>
              <a:solidFill>
                <a:schemeClr val="accent5">
                  <a:lumMod val="60000"/>
                  <a:lumOff val="40000"/>
                </a:schemeClr>
              </a:solidFill>
            </a:ln>
          </c:spPr>
          <c:marker>
            <c:spPr>
              <a:ln>
                <a:solidFill>
                  <a:schemeClr val="accent5">
                    <a:lumMod val="60000"/>
                    <a:lumOff val="40000"/>
                  </a:schemeClr>
                </a:solidFill>
              </a:ln>
            </c:spPr>
          </c:marker>
          <c:cat>
            <c:numRef>
              <c:f>'Income Statement'!$C$8:$Q$8</c:f>
              <c:numCache>
                <c:formatCode>General</c:formatCode>
                <c:ptCount val="15"/>
                <c:pt idx="0">
                  <c:v>2020</c:v>
                </c:pt>
                <c:pt idx="1">
                  <c:v>2021</c:v>
                </c:pt>
                <c:pt idx="2">
                  <c:v>2022</c:v>
                </c:pt>
                <c:pt idx="3">
                  <c:v>2023</c:v>
                </c:pt>
                <c:pt idx="4">
                  <c:v>2024</c:v>
                </c:pt>
                <c:pt idx="5">
                  <c:v>2025</c:v>
                </c:pt>
                <c:pt idx="6">
                  <c:v>2026</c:v>
                </c:pt>
                <c:pt idx="7">
                  <c:v>2027</c:v>
                </c:pt>
                <c:pt idx="8">
                  <c:v>2028</c:v>
                </c:pt>
                <c:pt idx="9">
                  <c:v>2029</c:v>
                </c:pt>
                <c:pt idx="10">
                  <c:v>2030</c:v>
                </c:pt>
                <c:pt idx="11">
                  <c:v>2031</c:v>
                </c:pt>
                <c:pt idx="12">
                  <c:v>2032</c:v>
                </c:pt>
                <c:pt idx="13">
                  <c:v>2033</c:v>
                </c:pt>
                <c:pt idx="14">
                  <c:v>2034</c:v>
                </c:pt>
              </c:numCache>
            </c:numRef>
          </c:cat>
          <c:val>
            <c:numRef>
              <c:f>'Revenue Buildup'!$C$16:$Q$16</c:f>
              <c:numCache>
                <c:formatCode>0.00%</c:formatCode>
                <c:ptCount val="15"/>
                <c:pt idx="1">
                  <c:v>0.11278806958065957</c:v>
                </c:pt>
                <c:pt idx="2">
                  <c:v>0.11314924260696269</c:v>
                </c:pt>
                <c:pt idx="3">
                  <c:v>8.4671526900989891E-2</c:v>
                </c:pt>
                <c:pt idx="4">
                  <c:v>5.858679465333716E-2</c:v>
                </c:pt>
                <c:pt idx="5">
                  <c:v>7.8797469420258004E-2</c:v>
                </c:pt>
                <c:pt idx="6">
                  <c:v>8.1707020271837516E-2</c:v>
                </c:pt>
                <c:pt idx="7">
                  <c:v>8.4730561955580708E-2</c:v>
                </c:pt>
                <c:pt idx="8">
                  <c:v>8.7872004105978396E-2</c:v>
                </c:pt>
                <c:pt idx="9">
                  <c:v>9.1135268162668259E-2</c:v>
                </c:pt>
                <c:pt idx="10">
                  <c:v>9.4524272315859248E-2</c:v>
                </c:pt>
                <c:pt idx="11">
                  <c:v>9.8042915694068089E-2</c:v>
                </c:pt>
                <c:pt idx="12">
                  <c:v>0.10169506204033874</c:v>
                </c:pt>
                <c:pt idx="13">
                  <c:v>0.10548452317723656</c:v>
                </c:pt>
                <c:pt idx="14">
                  <c:v>0.10941504261449775</c:v>
                </c:pt>
              </c:numCache>
            </c:numRef>
          </c:val>
          <c:smooth val="0"/>
          <c:extLst>
            <c:ext xmlns:c16="http://schemas.microsoft.com/office/drawing/2014/chart" uri="{C3380CC4-5D6E-409C-BE32-E72D297353CC}">
              <c16:uniqueId val="{00000001-29AC-4C3C-B8AC-BA93B0BC9578}"/>
            </c:ext>
          </c:extLst>
        </c:ser>
        <c:dLbls>
          <c:showLegendKey val="0"/>
          <c:showVal val="0"/>
          <c:showCatName val="0"/>
          <c:showSerName val="0"/>
          <c:showPercent val="0"/>
          <c:showBubbleSize val="0"/>
        </c:dLbls>
        <c:marker val="1"/>
        <c:smooth val="0"/>
        <c:axId val="647328576"/>
        <c:axId val="647325696"/>
      </c:lineChart>
      <c:catAx>
        <c:axId val="204992896"/>
        <c:scaling>
          <c:orientation val="minMax"/>
        </c:scaling>
        <c:delete val="0"/>
        <c:axPos val="b"/>
        <c:numFmt formatCode="General" sourceLinked="0"/>
        <c:majorTickMark val="out"/>
        <c:minorTickMark val="none"/>
        <c:tickLblPos val="nextTo"/>
        <c:txPr>
          <a:bodyPr rot="-2640000"/>
          <a:lstStyle/>
          <a:p>
            <a:pPr>
              <a:defRPr/>
            </a:pPr>
            <a:endParaRPr lang="en-US"/>
          </a:p>
        </c:txPr>
        <c:crossAx val="204994432"/>
        <c:crosses val="autoZero"/>
        <c:auto val="1"/>
        <c:lblAlgn val="ctr"/>
        <c:lblOffset val="100"/>
        <c:noMultiLvlLbl val="0"/>
      </c:catAx>
      <c:valAx>
        <c:axId val="204994432"/>
        <c:scaling>
          <c:orientation val="minMax"/>
        </c:scaling>
        <c:delete val="0"/>
        <c:axPos val="l"/>
        <c:majorGridlines/>
        <c:numFmt formatCode="_(* #,##0_);_(* \(#,##0\);_(* &quot;-&quot;_);_(@_)" sourceLinked="0"/>
        <c:majorTickMark val="out"/>
        <c:minorTickMark val="none"/>
        <c:tickLblPos val="nextTo"/>
        <c:crossAx val="204992896"/>
        <c:crosses val="autoZero"/>
        <c:crossBetween val="between"/>
      </c:valAx>
      <c:valAx>
        <c:axId val="647325696"/>
        <c:scaling>
          <c:orientation val="minMax"/>
        </c:scaling>
        <c:delete val="0"/>
        <c:axPos val="r"/>
        <c:numFmt formatCode="0%" sourceLinked="0"/>
        <c:majorTickMark val="out"/>
        <c:minorTickMark val="none"/>
        <c:tickLblPos val="nextTo"/>
        <c:crossAx val="647328576"/>
        <c:crosses val="max"/>
        <c:crossBetween val="between"/>
      </c:valAx>
      <c:catAx>
        <c:axId val="647328576"/>
        <c:scaling>
          <c:orientation val="minMax"/>
        </c:scaling>
        <c:delete val="1"/>
        <c:axPos val="b"/>
        <c:numFmt formatCode="General" sourceLinked="1"/>
        <c:majorTickMark val="out"/>
        <c:minorTickMark val="none"/>
        <c:tickLblPos val="nextTo"/>
        <c:crossAx val="647325696"/>
        <c:crosses val="autoZero"/>
        <c:auto val="1"/>
        <c:lblAlgn val="ctr"/>
        <c:lblOffset val="100"/>
        <c:noMultiLvlLbl val="0"/>
      </c:catAx>
    </c:plotArea>
    <c:legend>
      <c:legendPos val="b"/>
      <c:overlay val="0"/>
    </c:legend>
    <c:plotVisOnly val="1"/>
    <c:dispBlanksAs val="gap"/>
    <c:showDLblsOverMax val="0"/>
  </c:chart>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48"/>
    </mc:Choice>
    <mc:Fallback>
      <c:style val="48"/>
    </mc:Fallback>
  </mc:AlternateContent>
  <c:chart>
    <c:title>
      <c:tx>
        <c:rich>
          <a:bodyPr/>
          <a:lstStyle/>
          <a:p>
            <a:pPr>
              <a:defRPr/>
            </a:pPr>
            <a:r>
              <a:rPr lang="en-IN"/>
              <a:t>EBITDA vs Net Profit</a:t>
            </a:r>
          </a:p>
        </c:rich>
      </c:tx>
      <c:overlay val="0"/>
    </c:title>
    <c:autoTitleDeleted val="0"/>
    <c:view3D>
      <c:rotX val="15"/>
      <c:rotY val="20"/>
      <c:rAngAx val="1"/>
    </c:view3D>
    <c:floor>
      <c:thickness val="0"/>
    </c:floor>
    <c:sideWall>
      <c:thickness val="0"/>
    </c:sideWall>
    <c:backWall>
      <c:thickness val="0"/>
    </c:backWall>
    <c:plotArea>
      <c:layout/>
      <c:bar3DChart>
        <c:barDir val="col"/>
        <c:grouping val="clustered"/>
        <c:varyColors val="0"/>
        <c:ser>
          <c:idx val="0"/>
          <c:order val="0"/>
          <c:tx>
            <c:strRef>
              <c:f>'Income Statement'!$B$27</c:f>
              <c:strCache>
                <c:ptCount val="1"/>
                <c:pt idx="0">
                  <c:v>EBITDA</c:v>
                </c:pt>
              </c:strCache>
            </c:strRef>
          </c:tx>
          <c:invertIfNegative val="0"/>
          <c:cat>
            <c:numRef>
              <c:f>'Ratio Analysis'!$C$8:$Q$8</c:f>
              <c:numCache>
                <c:formatCode>General</c:formatCode>
                <c:ptCount val="15"/>
                <c:pt idx="0">
                  <c:v>2020</c:v>
                </c:pt>
                <c:pt idx="1">
                  <c:v>2021</c:v>
                </c:pt>
                <c:pt idx="2">
                  <c:v>2022</c:v>
                </c:pt>
                <c:pt idx="3">
                  <c:v>2023</c:v>
                </c:pt>
                <c:pt idx="4">
                  <c:v>2024</c:v>
                </c:pt>
                <c:pt idx="5">
                  <c:v>2025</c:v>
                </c:pt>
                <c:pt idx="6">
                  <c:v>2026</c:v>
                </c:pt>
                <c:pt idx="7">
                  <c:v>2027</c:v>
                </c:pt>
                <c:pt idx="8">
                  <c:v>2028</c:v>
                </c:pt>
                <c:pt idx="9">
                  <c:v>2029</c:v>
                </c:pt>
                <c:pt idx="10">
                  <c:v>2030</c:v>
                </c:pt>
                <c:pt idx="11">
                  <c:v>2031</c:v>
                </c:pt>
                <c:pt idx="12">
                  <c:v>2032</c:v>
                </c:pt>
                <c:pt idx="13">
                  <c:v>2033</c:v>
                </c:pt>
                <c:pt idx="14">
                  <c:v>2034</c:v>
                </c:pt>
              </c:numCache>
            </c:numRef>
          </c:cat>
          <c:val>
            <c:numRef>
              <c:f>'Income Statement'!$C$27:$Q$27</c:f>
              <c:numCache>
                <c:formatCode>_ * #,##0.00_ ;_ * \-#,##0.00_ ;_ * "-"??_ ;_ @_ </c:formatCode>
                <c:ptCount val="15"/>
                <c:pt idx="0">
                  <c:v>2143.0299999999993</c:v>
                </c:pt>
                <c:pt idx="1">
                  <c:v>2388.2500000000005</c:v>
                </c:pt>
                <c:pt idx="2">
                  <c:v>2395.1100000000006</c:v>
                </c:pt>
                <c:pt idx="3">
                  <c:v>2430.4599999999991</c:v>
                </c:pt>
                <c:pt idx="4" formatCode="_(* #,##0.00_);_(* \(#,##0.00\);_(* &quot;-&quot;??_);_(@_)">
                  <c:v>2943.4700000000003</c:v>
                </c:pt>
                <c:pt idx="5">
                  <c:v>3224.7893765409594</c:v>
                </c:pt>
                <c:pt idx="6">
                  <c:v>3486.2624531922047</c:v>
                </c:pt>
                <c:pt idx="7">
                  <c:v>3779.3380922712913</c:v>
                </c:pt>
                <c:pt idx="8">
                  <c:v>4108.7828122870924</c:v>
                </c:pt>
                <c:pt idx="9">
                  <c:v>4480.2118250829226</c:v>
                </c:pt>
                <c:pt idx="10">
                  <c:v>4900.2615079352909</c:v>
                </c:pt>
                <c:pt idx="11">
                  <c:v>5376.8010290306238</c:v>
                </c:pt>
                <c:pt idx="12">
                  <c:v>5919.1929097629845</c:v>
                </c:pt>
                <c:pt idx="13">
                  <c:v>6538.6149693209318</c:v>
                </c:pt>
                <c:pt idx="14">
                  <c:v>7248.4595413446204</c:v>
                </c:pt>
              </c:numCache>
            </c:numRef>
          </c:val>
          <c:extLst>
            <c:ext xmlns:c16="http://schemas.microsoft.com/office/drawing/2014/chart" uri="{C3380CC4-5D6E-409C-BE32-E72D297353CC}">
              <c16:uniqueId val="{00000000-DCD6-4CE0-9B94-A551EF94DB0C}"/>
            </c:ext>
          </c:extLst>
        </c:ser>
        <c:ser>
          <c:idx val="1"/>
          <c:order val="1"/>
          <c:tx>
            <c:v>Net Profit</c:v>
          </c:tx>
          <c:invertIfNegative val="0"/>
          <c:cat>
            <c:numRef>
              <c:f>'Ratio Analysis'!$C$8:$Q$8</c:f>
              <c:numCache>
                <c:formatCode>General</c:formatCode>
                <c:ptCount val="15"/>
                <c:pt idx="0">
                  <c:v>2020</c:v>
                </c:pt>
                <c:pt idx="1">
                  <c:v>2021</c:v>
                </c:pt>
                <c:pt idx="2">
                  <c:v>2022</c:v>
                </c:pt>
                <c:pt idx="3">
                  <c:v>2023</c:v>
                </c:pt>
                <c:pt idx="4">
                  <c:v>2024</c:v>
                </c:pt>
                <c:pt idx="5">
                  <c:v>2025</c:v>
                </c:pt>
                <c:pt idx="6">
                  <c:v>2026</c:v>
                </c:pt>
                <c:pt idx="7">
                  <c:v>2027</c:v>
                </c:pt>
                <c:pt idx="8">
                  <c:v>2028</c:v>
                </c:pt>
                <c:pt idx="9">
                  <c:v>2029</c:v>
                </c:pt>
                <c:pt idx="10">
                  <c:v>2030</c:v>
                </c:pt>
                <c:pt idx="11">
                  <c:v>2031</c:v>
                </c:pt>
                <c:pt idx="12">
                  <c:v>2032</c:v>
                </c:pt>
                <c:pt idx="13">
                  <c:v>2033</c:v>
                </c:pt>
                <c:pt idx="14">
                  <c:v>2034</c:v>
                </c:pt>
              </c:numCache>
            </c:numRef>
          </c:cat>
          <c:val>
            <c:numRef>
              <c:f>'Income Statement'!$C$47:$Q$47</c:f>
              <c:numCache>
                <c:formatCode>_ * #,##0.00_ ;_ * \-#,##0.00_ ;_ * "-"??_ ;_ @_ </c:formatCode>
                <c:ptCount val="15"/>
                <c:pt idx="0">
                  <c:v>1496.579999999999</c:v>
                </c:pt>
                <c:pt idx="1">
                  <c:v>1720.8200000000006</c:v>
                </c:pt>
                <c:pt idx="2">
                  <c:v>1783.3900000000012</c:v>
                </c:pt>
                <c:pt idx="3">
                  <c:v>1702.4599999999991</c:v>
                </c:pt>
                <c:pt idx="4" formatCode="_(* #,##0.00_);_(* \(#,##0.00\);_(* &quot;-&quot;??_);_(@_)">
                  <c:v>-560.54999999999995</c:v>
                </c:pt>
                <c:pt idx="5">
                  <c:v>2037.0208094081654</c:v>
                </c:pt>
                <c:pt idx="6">
                  <c:v>2209.2081307309491</c:v>
                </c:pt>
                <c:pt idx="7">
                  <c:v>2377.7331922456115</c:v>
                </c:pt>
                <c:pt idx="8">
                  <c:v>2599.2005466247147</c:v>
                </c:pt>
                <c:pt idx="9">
                  <c:v>2812.8502866125282</c:v>
                </c:pt>
                <c:pt idx="10">
                  <c:v>3093.7296080150254</c:v>
                </c:pt>
                <c:pt idx="11">
                  <c:v>3368.6570376718932</c:v>
                </c:pt>
                <c:pt idx="12">
                  <c:v>3728.1679549970695</c:v>
                </c:pt>
                <c:pt idx="13">
                  <c:v>4084.9720802105744</c:v>
                </c:pt>
                <c:pt idx="14">
                  <c:v>4544.2695632511895</c:v>
                </c:pt>
              </c:numCache>
            </c:numRef>
          </c:val>
          <c:extLst>
            <c:ext xmlns:c16="http://schemas.microsoft.com/office/drawing/2014/chart" uri="{C3380CC4-5D6E-409C-BE32-E72D297353CC}">
              <c16:uniqueId val="{00000001-DCD6-4CE0-9B94-A551EF94DB0C}"/>
            </c:ext>
          </c:extLst>
        </c:ser>
        <c:dLbls>
          <c:showLegendKey val="0"/>
          <c:showVal val="0"/>
          <c:showCatName val="0"/>
          <c:showSerName val="0"/>
          <c:showPercent val="0"/>
          <c:showBubbleSize val="0"/>
        </c:dLbls>
        <c:gapWidth val="150"/>
        <c:shape val="box"/>
        <c:axId val="205028352"/>
        <c:axId val="205034240"/>
        <c:axId val="0"/>
      </c:bar3DChart>
      <c:catAx>
        <c:axId val="205028352"/>
        <c:scaling>
          <c:orientation val="minMax"/>
        </c:scaling>
        <c:delete val="0"/>
        <c:axPos val="b"/>
        <c:numFmt formatCode="General" sourceLinked="1"/>
        <c:majorTickMark val="out"/>
        <c:minorTickMark val="none"/>
        <c:tickLblPos val="nextTo"/>
        <c:crossAx val="205034240"/>
        <c:crosses val="autoZero"/>
        <c:auto val="1"/>
        <c:lblAlgn val="ctr"/>
        <c:lblOffset val="100"/>
        <c:noMultiLvlLbl val="0"/>
      </c:catAx>
      <c:valAx>
        <c:axId val="205034240"/>
        <c:scaling>
          <c:orientation val="minMax"/>
        </c:scaling>
        <c:delete val="0"/>
        <c:axPos val="l"/>
        <c:majorGridlines/>
        <c:numFmt formatCode="_ * #,##0.00_ ;_ * \-#,##0.00_ ;_ * &quot;-&quot;??_ ;_ @_ " sourceLinked="1"/>
        <c:majorTickMark val="out"/>
        <c:minorTickMark val="none"/>
        <c:tickLblPos val="nextTo"/>
        <c:crossAx val="205028352"/>
        <c:crosses val="autoZero"/>
        <c:crossBetween val="between"/>
      </c:valAx>
    </c:plotArea>
    <c:legend>
      <c:legendPos val="b"/>
      <c:overlay val="0"/>
    </c:legend>
    <c:plotVisOnly val="1"/>
    <c:dispBlanksAs val="gap"/>
    <c:showDLblsOverMax val="0"/>
  </c:chart>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42"/>
    </mc:Choice>
    <mc:Fallback>
      <c:style val="42"/>
    </mc:Fallback>
  </mc:AlternateContent>
  <c:chart>
    <c:title>
      <c:tx>
        <c:rich>
          <a:bodyPr/>
          <a:lstStyle/>
          <a:p>
            <a:pPr>
              <a:defRPr/>
            </a:pPr>
            <a:r>
              <a:rPr lang="en-IN"/>
              <a:t>ROE vs ROCE</a:t>
            </a:r>
          </a:p>
        </c:rich>
      </c:tx>
      <c:overlay val="0"/>
    </c:title>
    <c:autoTitleDeleted val="0"/>
    <c:plotArea>
      <c:layout>
        <c:manualLayout>
          <c:layoutTarget val="inner"/>
          <c:xMode val="edge"/>
          <c:yMode val="edge"/>
          <c:x val="4.9642466940436274E-2"/>
          <c:y val="0.14068057189942532"/>
          <c:w val="0.92483919175174878"/>
          <c:h val="0.74168173812776916"/>
        </c:manualLayout>
      </c:layout>
      <c:barChart>
        <c:barDir val="col"/>
        <c:grouping val="clustered"/>
        <c:varyColors val="0"/>
        <c:ser>
          <c:idx val="0"/>
          <c:order val="0"/>
          <c:tx>
            <c:v>Return on Equity</c:v>
          </c:tx>
          <c:invertIfNegative val="0"/>
          <c:cat>
            <c:numRef>
              <c:f>'Balance Sheet'!$D$8:$R$8</c:f>
              <c:numCache>
                <c:formatCode>General</c:formatCode>
                <c:ptCount val="15"/>
                <c:pt idx="0">
                  <c:v>2020</c:v>
                </c:pt>
                <c:pt idx="1">
                  <c:v>2021</c:v>
                </c:pt>
                <c:pt idx="2">
                  <c:v>2022</c:v>
                </c:pt>
                <c:pt idx="3">
                  <c:v>2023</c:v>
                </c:pt>
                <c:pt idx="4">
                  <c:v>2024</c:v>
                </c:pt>
                <c:pt idx="5">
                  <c:v>2025</c:v>
                </c:pt>
                <c:pt idx="6">
                  <c:v>2026</c:v>
                </c:pt>
                <c:pt idx="7">
                  <c:v>2027</c:v>
                </c:pt>
                <c:pt idx="8">
                  <c:v>2028</c:v>
                </c:pt>
                <c:pt idx="9">
                  <c:v>2029</c:v>
                </c:pt>
                <c:pt idx="10">
                  <c:v>2030</c:v>
                </c:pt>
                <c:pt idx="11">
                  <c:v>2031</c:v>
                </c:pt>
                <c:pt idx="12">
                  <c:v>2032</c:v>
                </c:pt>
                <c:pt idx="13">
                  <c:v>2033</c:v>
                </c:pt>
                <c:pt idx="14">
                  <c:v>2034</c:v>
                </c:pt>
              </c:numCache>
            </c:numRef>
          </c:cat>
          <c:val>
            <c:numRef>
              <c:f>'Ratio Analysis'!$C$24:$Q$24</c:f>
              <c:numCache>
                <c:formatCode>0%</c:formatCode>
                <c:ptCount val="15"/>
                <c:pt idx="1">
                  <c:v>0.19851118342806195</c:v>
                </c:pt>
                <c:pt idx="2">
                  <c:v>0.16988849159531191</c:v>
                </c:pt>
                <c:pt idx="3">
                  <c:v>0.13431552305784256</c:v>
                </c:pt>
                <c:pt idx="4">
                  <c:v>-4.2477493861962347E-2</c:v>
                </c:pt>
                <c:pt idx="5">
                  <c:v>0.13929332444882758</c:v>
                </c:pt>
                <c:pt idx="6">
                  <c:v>0.11709018366818372</c:v>
                </c:pt>
                <c:pt idx="7">
                  <c:v>0.10121145103074776</c:v>
                </c:pt>
                <c:pt idx="8">
                  <c:v>9.1025616942768547E-2</c:v>
                </c:pt>
                <c:pt idx="9">
                  <c:v>8.2479237335709693E-2</c:v>
                </c:pt>
                <c:pt idx="10">
                  <c:v>7.6945703285532324E-2</c:v>
                </c:pt>
                <c:pt idx="11">
                  <c:v>7.1777421481374087E-2</c:v>
                </c:pt>
                <c:pt idx="12">
                  <c:v>6.8573115375480317E-2</c:v>
                </c:pt>
                <c:pt idx="13">
                  <c:v>6.5249182962597074E-2</c:v>
                </c:pt>
                <c:pt idx="14">
                  <c:v>6.3328098807661409E-2</c:v>
                </c:pt>
              </c:numCache>
            </c:numRef>
          </c:val>
          <c:extLst>
            <c:ext xmlns:c16="http://schemas.microsoft.com/office/drawing/2014/chart" uri="{C3380CC4-5D6E-409C-BE32-E72D297353CC}">
              <c16:uniqueId val="{00000000-1BC2-4ED5-8B01-4141F2B92992}"/>
            </c:ext>
          </c:extLst>
        </c:ser>
        <c:dLbls>
          <c:showLegendKey val="0"/>
          <c:showVal val="0"/>
          <c:showCatName val="0"/>
          <c:showSerName val="0"/>
          <c:showPercent val="0"/>
          <c:showBubbleSize val="0"/>
        </c:dLbls>
        <c:gapWidth val="150"/>
        <c:axId val="215732608"/>
        <c:axId val="215734144"/>
      </c:barChart>
      <c:lineChart>
        <c:grouping val="stacked"/>
        <c:varyColors val="0"/>
        <c:ser>
          <c:idx val="1"/>
          <c:order val="1"/>
          <c:tx>
            <c:v>Return on Capital Employed</c:v>
          </c:tx>
          <c:val>
            <c:numRef>
              <c:f>'Ratio Analysis'!$C$47:$Q$47</c:f>
              <c:numCache>
                <c:formatCode>0%</c:formatCode>
                <c:ptCount val="15"/>
                <c:pt idx="0">
                  <c:v>0.1416934132416848</c:v>
                </c:pt>
                <c:pt idx="1">
                  <c:v>0.16873398036166393</c:v>
                </c:pt>
                <c:pt idx="2">
                  <c:v>0.13547899926995607</c:v>
                </c:pt>
                <c:pt idx="3">
                  <c:v>0.11481239449993554</c:v>
                </c:pt>
                <c:pt idx="4">
                  <c:v>-3.5583223990539065E-2</c:v>
                </c:pt>
                <c:pt idx="5">
                  <c:v>9.833753665354443E-2</c:v>
                </c:pt>
                <c:pt idx="6">
                  <c:v>8.6449902894679409E-2</c:v>
                </c:pt>
                <c:pt idx="7">
                  <c:v>7.7331424566850313E-2</c:v>
                </c:pt>
                <c:pt idx="8">
                  <c:v>7.0732620806505456E-2</c:v>
                </c:pt>
                <c:pt idx="9">
                  <c:v>6.5516634775365776E-2</c:v>
                </c:pt>
                <c:pt idx="10">
                  <c:v>6.2250557253461292E-2</c:v>
                </c:pt>
                <c:pt idx="11">
                  <c:v>5.8968602755175598E-2</c:v>
                </c:pt>
                <c:pt idx="12">
                  <c:v>5.7483177896688498E-2</c:v>
                </c:pt>
                <c:pt idx="13">
                  <c:v>5.571731548428794E-2</c:v>
                </c:pt>
                <c:pt idx="14">
                  <c:v>5.482152407730085E-2</c:v>
                </c:pt>
              </c:numCache>
            </c:numRef>
          </c:val>
          <c:smooth val="0"/>
          <c:extLst>
            <c:ext xmlns:c16="http://schemas.microsoft.com/office/drawing/2014/chart" uri="{C3380CC4-5D6E-409C-BE32-E72D297353CC}">
              <c16:uniqueId val="{00000001-1BC2-4ED5-8B01-4141F2B92992}"/>
            </c:ext>
          </c:extLst>
        </c:ser>
        <c:dLbls>
          <c:showLegendKey val="0"/>
          <c:showVal val="0"/>
          <c:showCatName val="0"/>
          <c:showSerName val="0"/>
          <c:showPercent val="0"/>
          <c:showBubbleSize val="0"/>
        </c:dLbls>
        <c:marker val="1"/>
        <c:smooth val="0"/>
        <c:axId val="215732608"/>
        <c:axId val="215734144"/>
      </c:lineChart>
      <c:catAx>
        <c:axId val="215732608"/>
        <c:scaling>
          <c:orientation val="minMax"/>
        </c:scaling>
        <c:delete val="0"/>
        <c:axPos val="b"/>
        <c:numFmt formatCode="General" sourceLinked="0"/>
        <c:majorTickMark val="out"/>
        <c:minorTickMark val="none"/>
        <c:tickLblPos val="nextTo"/>
        <c:txPr>
          <a:bodyPr rot="-2580000"/>
          <a:lstStyle/>
          <a:p>
            <a:pPr>
              <a:defRPr/>
            </a:pPr>
            <a:endParaRPr lang="en-US"/>
          </a:p>
        </c:txPr>
        <c:crossAx val="215734144"/>
        <c:crosses val="autoZero"/>
        <c:auto val="1"/>
        <c:lblAlgn val="ctr"/>
        <c:lblOffset val="100"/>
        <c:noMultiLvlLbl val="0"/>
      </c:catAx>
      <c:valAx>
        <c:axId val="215734144"/>
        <c:scaling>
          <c:orientation val="minMax"/>
        </c:scaling>
        <c:delete val="0"/>
        <c:axPos val="l"/>
        <c:majorGridlines/>
        <c:numFmt formatCode="0%" sourceLinked="0"/>
        <c:majorTickMark val="out"/>
        <c:minorTickMark val="none"/>
        <c:tickLblPos val="nextTo"/>
        <c:crossAx val="215732608"/>
        <c:crosses val="autoZero"/>
        <c:crossBetween val="between"/>
      </c:valAx>
    </c:plotArea>
    <c:legend>
      <c:legendPos val="b"/>
      <c:overlay val="0"/>
    </c:legend>
    <c:plotVisOnly val="1"/>
    <c:dispBlanksAs val="gap"/>
    <c:showDLblsOverMax val="0"/>
  </c:chart>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3.png"/></Relationships>
</file>

<file path=xl/drawings/_rels/drawing3.xml.rels><?xml version="1.0" encoding="UTF-8" standalone="yes"?>
<Relationships xmlns="http://schemas.openxmlformats.org/package/2006/relationships"><Relationship Id="rId1" Type="http://schemas.openxmlformats.org/officeDocument/2006/relationships/image" Target="../media/image4.png"/></Relationships>
</file>

<file path=xl/drawings/_rels/drawing4.xml.rels><?xml version="1.0" encoding="UTF-8" standalone="yes"?>
<Relationships xmlns="http://schemas.openxmlformats.org/package/2006/relationships"><Relationship Id="rId1" Type="http://schemas.openxmlformats.org/officeDocument/2006/relationships/image" Target="../media/image5.png"/></Relationships>
</file>

<file path=xl/drawings/_rels/drawing5.xml.rels><?xml version="1.0" encoding="UTF-8" standalone="yes"?>
<Relationships xmlns="http://schemas.openxmlformats.org/package/2006/relationships"><Relationship Id="rId2" Type="http://schemas.openxmlformats.org/officeDocument/2006/relationships/image" Target="../media/image7.png"/><Relationship Id="rId1" Type="http://schemas.openxmlformats.org/officeDocument/2006/relationships/image" Target="../media/image6.png"/></Relationships>
</file>

<file path=xl/drawings/_rels/drawing6.xml.rels><?xml version="1.0" encoding="UTF-8" standalone="yes"?>
<Relationships xmlns="http://schemas.openxmlformats.org/package/2006/relationships"><Relationship Id="rId1" Type="http://schemas.openxmlformats.org/officeDocument/2006/relationships/image" Target="../media/image8.png"/></Relationships>
</file>

<file path=xl/drawings/_rels/drawing7.xml.rels><?xml version="1.0" encoding="UTF-8" standalone="yes"?>
<Relationships xmlns="http://schemas.openxmlformats.org/package/2006/relationships"><Relationship Id="rId1" Type="http://schemas.openxmlformats.org/officeDocument/2006/relationships/image" Target="../media/image9.png"/></Relationships>
</file>

<file path=xl/drawings/_rels/drawing8.xml.rels><?xml version="1.0" encoding="UTF-8" standalone="yes"?>
<Relationships xmlns="http://schemas.openxmlformats.org/package/2006/relationships"><Relationship Id="rId1" Type="http://schemas.openxmlformats.org/officeDocument/2006/relationships/image" Target="../media/image9.png"/></Relationships>
</file>

<file path=xl/drawings/_rels/drawing9.xml.rels><?xml version="1.0" encoding="UTF-8" standalone="yes"?>
<Relationships xmlns="http://schemas.openxmlformats.org/package/2006/relationships"><Relationship Id="rId1" Type="http://schemas.openxmlformats.org/officeDocument/2006/relationships/image" Target="../media/image9.png"/></Relationships>
</file>

<file path=xl/drawings/_rels/drawing10.xml.rels><?xml version="1.0" encoding="UTF-8" standalone="yes"?>
<Relationships xmlns="http://schemas.openxmlformats.org/package/2006/relationships"><Relationship Id="rId1" Type="http://schemas.openxmlformats.org/officeDocument/2006/relationships/image" Target="../media/image9.png"/></Relationships>
</file>

<file path=xl/drawings/_rels/drawing11.xml.rels><?xml version="1.0" encoding="UTF-8" standalone="yes"?>
<Relationships xmlns="http://schemas.openxmlformats.org/package/2006/relationships"><Relationship Id="rId1" Type="http://schemas.openxmlformats.org/officeDocument/2006/relationships/image" Target="../media/image9.png"/></Relationships>
</file>

<file path=xl/drawings/_rels/drawing12.xml.rels><?xml version="1.0" encoding="UTF-8" standalone="yes"?>
<Relationships xmlns="http://schemas.openxmlformats.org/package/2006/relationships"><Relationship Id="rId1" Type="http://schemas.openxmlformats.org/officeDocument/2006/relationships/image" Target="../media/image9.png"/></Relationships>
</file>

<file path=xl/drawings/_rels/drawing13.xml.rels><?xml version="1.0" encoding="UTF-8" standalone="yes"?>
<Relationships xmlns="http://schemas.openxmlformats.org/package/2006/relationships"><Relationship Id="rId1" Type="http://schemas.openxmlformats.org/officeDocument/2006/relationships/image" Target="../media/image9.png"/></Relationships>
</file>

<file path=xl/drawings/_rels/drawing14.xml.rels><?xml version="1.0" encoding="UTF-8" standalone="yes"?>
<Relationships xmlns="http://schemas.openxmlformats.org/package/2006/relationships"><Relationship Id="rId1" Type="http://schemas.openxmlformats.org/officeDocument/2006/relationships/image" Target="../media/image9.png"/></Relationships>
</file>

<file path=xl/drawings/_rels/drawing15.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_rels/drawing16.xml.rels><?xml version="1.0" encoding="UTF-8" standalone="yes"?>
<Relationships xmlns="http://schemas.openxmlformats.org/package/2006/relationships"><Relationship Id="rId1" Type="http://schemas.openxmlformats.org/officeDocument/2006/relationships/image" Target="../media/image9.png"/></Relationships>
</file>

<file path=xl/drawings/_rels/drawing17.xml.rels><?xml version="1.0" encoding="UTF-8" standalone="yes"?>
<Relationships xmlns="http://schemas.openxmlformats.org/package/2006/relationships"><Relationship Id="rId1" Type="http://schemas.openxmlformats.org/officeDocument/2006/relationships/image" Target="../media/image10.png"/></Relationships>
</file>

<file path=xl/drawings/_rels/drawing18.xml.rels><?xml version="1.0" encoding="UTF-8" standalone="yes"?>
<Relationships xmlns="http://schemas.openxmlformats.org/package/2006/relationships"><Relationship Id="rId1" Type="http://schemas.openxmlformats.org/officeDocument/2006/relationships/image" Target="../media/image9.png"/></Relationships>
</file>

<file path=xl/drawings/drawing1.xml><?xml version="1.0" encoding="utf-8"?>
<xdr:wsDr xmlns:xdr="http://schemas.openxmlformats.org/drawingml/2006/spreadsheetDrawing" xmlns:a="http://schemas.openxmlformats.org/drawingml/2006/main">
  <xdr:twoCellAnchor editAs="oneCell">
    <xdr:from>
      <xdr:col>6</xdr:col>
      <xdr:colOff>396533</xdr:colOff>
      <xdr:row>2</xdr:row>
      <xdr:rowOff>76872</xdr:rowOff>
    </xdr:from>
    <xdr:to>
      <xdr:col>16</xdr:col>
      <xdr:colOff>141111</xdr:colOff>
      <xdr:row>21</xdr:row>
      <xdr:rowOff>20350</xdr:rowOff>
    </xdr:to>
    <xdr:pic>
      <xdr:nvPicPr>
        <xdr:cNvPr id="4" name="Picture 3">
          <a:extLst>
            <a:ext uri="{FF2B5EF4-FFF2-40B4-BE49-F238E27FC236}">
              <a16:creationId xmlns:a16="http://schemas.microsoft.com/office/drawing/2014/main" id="{440F5100-AB84-1A73-A2B5-58EFFFDB081D}"/>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8750311" y="443761"/>
          <a:ext cx="7251689" cy="4698922"/>
        </a:xfrm>
        <a:prstGeom prst="rect">
          <a:avLst/>
        </a:prstGeom>
      </xdr:spPr>
    </xdr:pic>
    <xdr:clientData/>
  </xdr:twoCellAnchor>
  <xdr:twoCellAnchor editAs="oneCell">
    <xdr:from>
      <xdr:col>0</xdr:col>
      <xdr:colOff>544552</xdr:colOff>
      <xdr:row>1</xdr:row>
      <xdr:rowOff>12391</xdr:rowOff>
    </xdr:from>
    <xdr:to>
      <xdr:col>1</xdr:col>
      <xdr:colOff>2036431</xdr:colOff>
      <xdr:row>6</xdr:row>
      <xdr:rowOff>1106</xdr:rowOff>
    </xdr:to>
    <xdr:pic>
      <xdr:nvPicPr>
        <xdr:cNvPr id="7" name="Picture 6">
          <a:extLst>
            <a:ext uri="{FF2B5EF4-FFF2-40B4-BE49-F238E27FC236}">
              <a16:creationId xmlns:a16="http://schemas.microsoft.com/office/drawing/2014/main" id="{E0880EC1-4BED-1EDF-9CF4-4E68C6308EF5}"/>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44552" y="190191"/>
          <a:ext cx="2050679" cy="873512"/>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16933</xdr:colOff>
      <xdr:row>0</xdr:row>
      <xdr:rowOff>185530</xdr:rowOff>
    </xdr:from>
    <xdr:to>
      <xdr:col>1</xdr:col>
      <xdr:colOff>2066150</xdr:colOff>
      <xdr:row>5</xdr:row>
      <xdr:rowOff>158753</xdr:rowOff>
    </xdr:to>
    <xdr:pic>
      <xdr:nvPicPr>
        <xdr:cNvPr id="3" name="Picture 2">
          <a:extLst>
            <a:ext uri="{FF2B5EF4-FFF2-40B4-BE49-F238E27FC236}">
              <a16:creationId xmlns:a16="http://schemas.microsoft.com/office/drawing/2014/main" id="{A698D51D-0C9C-9C46-A009-28BA153CC14F}"/>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40266" y="185530"/>
          <a:ext cx="2049217" cy="904556"/>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50800</xdr:colOff>
      <xdr:row>0</xdr:row>
      <xdr:rowOff>152400</xdr:rowOff>
    </xdr:from>
    <xdr:to>
      <xdr:col>2</xdr:col>
      <xdr:colOff>1807917</xdr:colOff>
      <xdr:row>5</xdr:row>
      <xdr:rowOff>167956</xdr:rowOff>
    </xdr:to>
    <xdr:pic>
      <xdr:nvPicPr>
        <xdr:cNvPr id="3" name="Picture 2">
          <a:extLst>
            <a:ext uri="{FF2B5EF4-FFF2-40B4-BE49-F238E27FC236}">
              <a16:creationId xmlns:a16="http://schemas.microsoft.com/office/drawing/2014/main" id="{E3A81B88-639E-DE4F-B1FB-B2DDFB6107F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42900" y="152400"/>
          <a:ext cx="2049217" cy="904556"/>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12700</xdr:colOff>
      <xdr:row>0</xdr:row>
      <xdr:rowOff>152400</xdr:rowOff>
    </xdr:from>
    <xdr:to>
      <xdr:col>2</xdr:col>
      <xdr:colOff>1871417</xdr:colOff>
      <xdr:row>5</xdr:row>
      <xdr:rowOff>167956</xdr:rowOff>
    </xdr:to>
    <xdr:pic>
      <xdr:nvPicPr>
        <xdr:cNvPr id="3" name="Picture 2">
          <a:extLst>
            <a:ext uri="{FF2B5EF4-FFF2-40B4-BE49-F238E27FC236}">
              <a16:creationId xmlns:a16="http://schemas.microsoft.com/office/drawing/2014/main" id="{95FAA337-1C7E-7340-A1A1-C54A0C4BC729}"/>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57200" y="152400"/>
          <a:ext cx="2049217" cy="904556"/>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368300</xdr:colOff>
      <xdr:row>0</xdr:row>
      <xdr:rowOff>165100</xdr:rowOff>
    </xdr:from>
    <xdr:to>
      <xdr:col>1</xdr:col>
      <xdr:colOff>2036517</xdr:colOff>
      <xdr:row>6</xdr:row>
      <xdr:rowOff>2856</xdr:rowOff>
    </xdr:to>
    <xdr:pic>
      <xdr:nvPicPr>
        <xdr:cNvPr id="3" name="Picture 2">
          <a:extLst>
            <a:ext uri="{FF2B5EF4-FFF2-40B4-BE49-F238E27FC236}">
              <a16:creationId xmlns:a16="http://schemas.microsoft.com/office/drawing/2014/main" id="{6442D74E-D3AD-1240-A1A1-7DD4EE5B094C}"/>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68300" y="165100"/>
          <a:ext cx="2049217" cy="904556"/>
        </a:xfrm>
        <a:prstGeom prst="rect">
          <a:avLst/>
        </a:prstGeom>
      </xdr:spPr>
    </xdr:pic>
    <xdr:clientData/>
  </xdr:twoCellAnchor>
  <xdr:twoCellAnchor editAs="oneCell">
    <xdr:from>
      <xdr:col>45</xdr:col>
      <xdr:colOff>0</xdr:colOff>
      <xdr:row>59</xdr:row>
      <xdr:rowOff>0</xdr:rowOff>
    </xdr:from>
    <xdr:to>
      <xdr:col>56</xdr:col>
      <xdr:colOff>228600</xdr:colOff>
      <xdr:row>85</xdr:row>
      <xdr:rowOff>159353</xdr:rowOff>
    </xdr:to>
    <xdr:pic>
      <xdr:nvPicPr>
        <xdr:cNvPr id="18" name="Picture 17">
          <a:extLst>
            <a:ext uri="{FF2B5EF4-FFF2-40B4-BE49-F238E27FC236}">
              <a16:creationId xmlns:a16="http://schemas.microsoft.com/office/drawing/2014/main" id="{983FC69F-B794-5B36-665B-A9D993094E06}"/>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37998400" y="12039600"/>
          <a:ext cx="7772400" cy="4782153"/>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25400</xdr:colOff>
      <xdr:row>0</xdr:row>
      <xdr:rowOff>152400</xdr:rowOff>
    </xdr:from>
    <xdr:to>
      <xdr:col>1</xdr:col>
      <xdr:colOff>2074617</xdr:colOff>
      <xdr:row>5</xdr:row>
      <xdr:rowOff>167956</xdr:rowOff>
    </xdr:to>
    <xdr:pic>
      <xdr:nvPicPr>
        <xdr:cNvPr id="3" name="Picture 2">
          <a:extLst>
            <a:ext uri="{FF2B5EF4-FFF2-40B4-BE49-F238E27FC236}">
              <a16:creationId xmlns:a16="http://schemas.microsoft.com/office/drawing/2014/main" id="{C18291FC-398D-6D40-8BF6-1977BAEEC0FD}"/>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06400" y="152400"/>
          <a:ext cx="2049217" cy="904556"/>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12700</xdr:colOff>
      <xdr:row>1</xdr:row>
      <xdr:rowOff>0</xdr:rowOff>
    </xdr:from>
    <xdr:to>
      <xdr:col>1</xdr:col>
      <xdr:colOff>2061917</xdr:colOff>
      <xdr:row>6</xdr:row>
      <xdr:rowOff>15556</xdr:rowOff>
    </xdr:to>
    <xdr:pic>
      <xdr:nvPicPr>
        <xdr:cNvPr id="3" name="Picture 2">
          <a:extLst>
            <a:ext uri="{FF2B5EF4-FFF2-40B4-BE49-F238E27FC236}">
              <a16:creationId xmlns:a16="http://schemas.microsoft.com/office/drawing/2014/main" id="{9DBA3D67-B36A-A44A-8FA2-4117ED63D094}"/>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81000" y="177800"/>
          <a:ext cx="2049217" cy="904556"/>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1</xdr:col>
      <xdr:colOff>12700</xdr:colOff>
      <xdr:row>0</xdr:row>
      <xdr:rowOff>152400</xdr:rowOff>
    </xdr:from>
    <xdr:to>
      <xdr:col>2</xdr:col>
      <xdr:colOff>1820617</xdr:colOff>
      <xdr:row>5</xdr:row>
      <xdr:rowOff>167956</xdr:rowOff>
    </xdr:to>
    <xdr:pic>
      <xdr:nvPicPr>
        <xdr:cNvPr id="2" name="Picture 1">
          <a:extLst>
            <a:ext uri="{FF2B5EF4-FFF2-40B4-BE49-F238E27FC236}">
              <a16:creationId xmlns:a16="http://schemas.microsoft.com/office/drawing/2014/main" id="{23796E6A-40F9-2C46-9DB1-57C0DC0ADAD3}"/>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42900" y="152400"/>
          <a:ext cx="2049217" cy="904556"/>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1</xdr:col>
      <xdr:colOff>0</xdr:colOff>
      <xdr:row>0</xdr:row>
      <xdr:rowOff>139700</xdr:rowOff>
    </xdr:from>
    <xdr:to>
      <xdr:col>2</xdr:col>
      <xdr:colOff>525451</xdr:colOff>
      <xdr:row>5</xdr:row>
      <xdr:rowOff>162268</xdr:rowOff>
    </xdr:to>
    <xdr:pic>
      <xdr:nvPicPr>
        <xdr:cNvPr id="3" name="Picture 2">
          <a:extLst>
            <a:ext uri="{FF2B5EF4-FFF2-40B4-BE49-F238E27FC236}">
              <a16:creationId xmlns:a16="http://schemas.microsoft.com/office/drawing/2014/main" id="{337EA21F-33C8-7747-BBDF-02419D077664}"/>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82600" y="139700"/>
          <a:ext cx="2049451" cy="911568"/>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1</xdr:col>
      <xdr:colOff>38100</xdr:colOff>
      <xdr:row>0</xdr:row>
      <xdr:rowOff>127000</xdr:rowOff>
    </xdr:from>
    <xdr:to>
      <xdr:col>1</xdr:col>
      <xdr:colOff>2083016</xdr:colOff>
      <xdr:row>5</xdr:row>
      <xdr:rowOff>167711</xdr:rowOff>
    </xdr:to>
    <xdr:pic>
      <xdr:nvPicPr>
        <xdr:cNvPr id="3" name="Picture 2">
          <a:extLst>
            <a:ext uri="{FF2B5EF4-FFF2-40B4-BE49-F238E27FC236}">
              <a16:creationId xmlns:a16="http://schemas.microsoft.com/office/drawing/2014/main" id="{57D888DA-B4B3-C445-B60D-68EA16D8A6A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57200" y="127000"/>
          <a:ext cx="2044916" cy="929711"/>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1</xdr:col>
      <xdr:colOff>25400</xdr:colOff>
      <xdr:row>0</xdr:row>
      <xdr:rowOff>152400</xdr:rowOff>
    </xdr:from>
    <xdr:to>
      <xdr:col>2</xdr:col>
      <xdr:colOff>1829016</xdr:colOff>
      <xdr:row>6</xdr:row>
      <xdr:rowOff>2611</xdr:rowOff>
    </xdr:to>
    <xdr:pic>
      <xdr:nvPicPr>
        <xdr:cNvPr id="3" name="Picture 2">
          <a:extLst>
            <a:ext uri="{FF2B5EF4-FFF2-40B4-BE49-F238E27FC236}">
              <a16:creationId xmlns:a16="http://schemas.microsoft.com/office/drawing/2014/main" id="{69C68709-F347-8A4C-AD53-A4B6D57073C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44500" y="152400"/>
          <a:ext cx="2044916" cy="929711"/>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1</xdr:col>
      <xdr:colOff>0</xdr:colOff>
      <xdr:row>0</xdr:row>
      <xdr:rowOff>166458</xdr:rowOff>
    </xdr:from>
    <xdr:to>
      <xdr:col>1</xdr:col>
      <xdr:colOff>2044916</xdr:colOff>
      <xdr:row>6</xdr:row>
      <xdr:rowOff>965</xdr:rowOff>
    </xdr:to>
    <xdr:pic>
      <xdr:nvPicPr>
        <xdr:cNvPr id="3" name="Picture 2">
          <a:extLst>
            <a:ext uri="{FF2B5EF4-FFF2-40B4-BE49-F238E27FC236}">
              <a16:creationId xmlns:a16="http://schemas.microsoft.com/office/drawing/2014/main" id="{A0EAC925-3FD5-2241-B285-ACBCB3B6F1A8}"/>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95377" y="166458"/>
          <a:ext cx="2044916" cy="896963"/>
        </a:xfrm>
        <a:prstGeom prst="rect">
          <a:avLst/>
        </a:prstGeom>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0</xdr:col>
      <xdr:colOff>453585</xdr:colOff>
      <xdr:row>0</xdr:row>
      <xdr:rowOff>180047</xdr:rowOff>
    </xdr:from>
    <xdr:to>
      <xdr:col>2</xdr:col>
      <xdr:colOff>192963</xdr:colOff>
      <xdr:row>5</xdr:row>
      <xdr:rowOff>124151</xdr:rowOff>
    </xdr:to>
    <xdr:pic>
      <xdr:nvPicPr>
        <xdr:cNvPr id="3" name="Picture 2">
          <a:extLst>
            <a:ext uri="{FF2B5EF4-FFF2-40B4-BE49-F238E27FC236}">
              <a16:creationId xmlns:a16="http://schemas.microsoft.com/office/drawing/2014/main" id="{5BB13CEA-F2AB-C147-9795-E59A3EB4E70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53585" y="180047"/>
          <a:ext cx="2053864" cy="893637"/>
        </a:xfrm>
        <a:prstGeom prst="rect">
          <a:avLst/>
        </a:prstGeom>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0</xdr:col>
      <xdr:colOff>635000</xdr:colOff>
      <xdr:row>1</xdr:row>
      <xdr:rowOff>12700</xdr:rowOff>
    </xdr:from>
    <xdr:to>
      <xdr:col>2</xdr:col>
      <xdr:colOff>114516</xdr:colOff>
      <xdr:row>5</xdr:row>
      <xdr:rowOff>180411</xdr:rowOff>
    </xdr:to>
    <xdr:pic>
      <xdr:nvPicPr>
        <xdr:cNvPr id="3" name="Picture 2">
          <a:extLst>
            <a:ext uri="{FF2B5EF4-FFF2-40B4-BE49-F238E27FC236}">
              <a16:creationId xmlns:a16="http://schemas.microsoft.com/office/drawing/2014/main" id="{F5F745DB-A0A0-274C-818A-22FF0C81558E}"/>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35000" y="203200"/>
          <a:ext cx="2044916" cy="929711"/>
        </a:xfrm>
        <a:prstGeom prst="rect">
          <a:avLst/>
        </a:prstGeom>
      </xdr:spPr>
    </xdr:pic>
    <xdr:clientData/>
  </xdr:twoCellAnchor>
</xdr:wsDr>
</file>

<file path=xl/drawings/drawing15.xml><?xml version="1.0" encoding="utf-8"?>
<xdr:wsDr xmlns:xdr="http://schemas.openxmlformats.org/drawingml/2006/spreadsheetDrawing" xmlns:a="http://schemas.openxmlformats.org/drawingml/2006/main">
  <xdr:twoCellAnchor>
    <xdr:from>
      <xdr:col>0</xdr:col>
      <xdr:colOff>15240</xdr:colOff>
      <xdr:row>0</xdr:row>
      <xdr:rowOff>15240</xdr:rowOff>
    </xdr:from>
    <xdr:to>
      <xdr:col>11</xdr:col>
      <xdr:colOff>403860</xdr:colOff>
      <xdr:row>19</xdr:row>
      <xdr:rowOff>160020</xdr:rowOff>
    </xdr:to>
    <xdr:graphicFrame macro="">
      <xdr:nvGraphicFramePr>
        <xdr:cNvPr id="3" name="Chart 2">
          <a:extLst>
            <a:ext uri="{FF2B5EF4-FFF2-40B4-BE49-F238E27FC236}">
              <a16:creationId xmlns:a16="http://schemas.microsoft.com/office/drawing/2014/main" id="{00000000-0008-0000-0D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11</xdr:col>
      <xdr:colOff>447040</xdr:colOff>
      <xdr:row>0</xdr:row>
      <xdr:rowOff>25400</xdr:rowOff>
    </xdr:from>
    <xdr:to>
      <xdr:col>23</xdr:col>
      <xdr:colOff>302260</xdr:colOff>
      <xdr:row>19</xdr:row>
      <xdr:rowOff>158750</xdr:rowOff>
    </xdr:to>
    <xdr:graphicFrame macro="">
      <xdr:nvGraphicFramePr>
        <xdr:cNvPr id="4" name="Chart 3">
          <a:extLst>
            <a:ext uri="{FF2B5EF4-FFF2-40B4-BE49-F238E27FC236}">
              <a16:creationId xmlns:a16="http://schemas.microsoft.com/office/drawing/2014/main" id="{00000000-0008-0000-0D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353060</xdr:colOff>
      <xdr:row>20</xdr:row>
      <xdr:rowOff>34290</xdr:rowOff>
    </xdr:from>
    <xdr:to>
      <xdr:col>17</xdr:col>
      <xdr:colOff>238760</xdr:colOff>
      <xdr:row>40</xdr:row>
      <xdr:rowOff>22860</xdr:rowOff>
    </xdr:to>
    <xdr:graphicFrame macro="">
      <xdr:nvGraphicFramePr>
        <xdr:cNvPr id="5" name="Chart 4">
          <a:extLst>
            <a:ext uri="{FF2B5EF4-FFF2-40B4-BE49-F238E27FC236}">
              <a16:creationId xmlns:a16="http://schemas.microsoft.com/office/drawing/2014/main" id="{00000000-0008-0000-0D00-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16.xml><?xml version="1.0" encoding="utf-8"?>
<xdr:wsDr xmlns:xdr="http://schemas.openxmlformats.org/drawingml/2006/spreadsheetDrawing" xmlns:a="http://schemas.openxmlformats.org/drawingml/2006/main">
  <xdr:twoCellAnchor editAs="oneCell">
    <xdr:from>
      <xdr:col>0</xdr:col>
      <xdr:colOff>546100</xdr:colOff>
      <xdr:row>0</xdr:row>
      <xdr:rowOff>152400</xdr:rowOff>
    </xdr:from>
    <xdr:to>
      <xdr:col>2</xdr:col>
      <xdr:colOff>851116</xdr:colOff>
      <xdr:row>6</xdr:row>
      <xdr:rowOff>15311</xdr:rowOff>
    </xdr:to>
    <xdr:pic>
      <xdr:nvPicPr>
        <xdr:cNvPr id="3" name="Picture 2">
          <a:extLst>
            <a:ext uri="{FF2B5EF4-FFF2-40B4-BE49-F238E27FC236}">
              <a16:creationId xmlns:a16="http://schemas.microsoft.com/office/drawing/2014/main" id="{48D9E1B5-AD3A-3A4D-B47D-B81B1747BB9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46100" y="152400"/>
          <a:ext cx="2044916" cy="929711"/>
        </a:xfrm>
        <a:prstGeom prst="rect">
          <a:avLst/>
        </a:prstGeom>
      </xdr:spPr>
    </xdr:pic>
    <xdr:clientData/>
  </xdr:twoCellAnchor>
</xdr:wsDr>
</file>

<file path=xl/drawings/drawing17.xml><?xml version="1.0" encoding="utf-8"?>
<xdr:wsDr xmlns:xdr="http://schemas.openxmlformats.org/drawingml/2006/spreadsheetDrawing" xmlns:a="http://schemas.openxmlformats.org/drawingml/2006/main">
  <xdr:twoCellAnchor editAs="oneCell">
    <xdr:from>
      <xdr:col>0</xdr:col>
      <xdr:colOff>368300</xdr:colOff>
      <xdr:row>1</xdr:row>
      <xdr:rowOff>12701</xdr:rowOff>
    </xdr:from>
    <xdr:to>
      <xdr:col>2</xdr:col>
      <xdr:colOff>446636</xdr:colOff>
      <xdr:row>5</xdr:row>
      <xdr:rowOff>190501</xdr:rowOff>
    </xdr:to>
    <xdr:pic>
      <xdr:nvPicPr>
        <xdr:cNvPr id="3" name="Picture 2">
          <a:extLst>
            <a:ext uri="{FF2B5EF4-FFF2-40B4-BE49-F238E27FC236}">
              <a16:creationId xmlns:a16="http://schemas.microsoft.com/office/drawing/2014/main" id="{FC18BE99-CF40-7747-BBC2-D58292D0A13C}"/>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68300" y="177801"/>
          <a:ext cx="1843636" cy="838200"/>
        </a:xfrm>
        <a:prstGeom prst="rect">
          <a:avLst/>
        </a:prstGeom>
      </xdr:spPr>
    </xdr:pic>
    <xdr:clientData/>
  </xdr:twoCellAnchor>
</xdr:wsDr>
</file>

<file path=xl/drawings/drawing18.xml><?xml version="1.0" encoding="utf-8"?>
<xdr:wsDr xmlns:xdr="http://schemas.openxmlformats.org/drawingml/2006/spreadsheetDrawing" xmlns:a="http://schemas.openxmlformats.org/drawingml/2006/main">
  <xdr:twoCellAnchor editAs="oneCell">
    <xdr:from>
      <xdr:col>1</xdr:col>
      <xdr:colOff>0</xdr:colOff>
      <xdr:row>0</xdr:row>
      <xdr:rowOff>86590</xdr:rowOff>
    </xdr:from>
    <xdr:to>
      <xdr:col>1</xdr:col>
      <xdr:colOff>2044916</xdr:colOff>
      <xdr:row>5</xdr:row>
      <xdr:rowOff>150392</xdr:rowOff>
    </xdr:to>
    <xdr:pic>
      <xdr:nvPicPr>
        <xdr:cNvPr id="3" name="Picture 2">
          <a:extLst>
            <a:ext uri="{FF2B5EF4-FFF2-40B4-BE49-F238E27FC236}">
              <a16:creationId xmlns:a16="http://schemas.microsoft.com/office/drawing/2014/main" id="{AD6A1878-9DA1-7143-AE96-7AA3227BB481}"/>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89659" y="86590"/>
          <a:ext cx="2044916" cy="929711"/>
        </a:xfrm>
        <a:prstGeom prst="rect">
          <a:avLst/>
        </a:prstGeom>
      </xdr:spPr>
    </xdr:pic>
    <xdr:clientData/>
  </xdr:twoCellAnchor>
</xdr:wsDr>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www.godrejcp.com/" TargetMode="External"/><Relationship Id="rId1" Type="http://schemas.openxmlformats.org/officeDocument/2006/relationships/hyperlink" Target="https://varunbeverages.com/" TargetMode="External"/><Relationship Id="rId6" Type="http://schemas.openxmlformats.org/officeDocument/2006/relationships/comments" Target="../comments1.xml"/><Relationship Id="rId5" Type="http://schemas.openxmlformats.org/officeDocument/2006/relationships/vmlDrawing" Target="../drawings/vmlDrawing1.vml"/><Relationship Id="rId4"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6.bin"/></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7.bin"/></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FFFFCC"/>
  </sheetPr>
  <dimension ref="B7:I57"/>
  <sheetViews>
    <sheetView showGridLines="0" tabSelected="1" zoomScaleNormal="100" workbookViewId="0">
      <selection activeCell="L25" sqref="L25"/>
    </sheetView>
  </sheetViews>
  <sheetFormatPr baseColWidth="10" defaultColWidth="8.83203125" defaultRowHeight="14" x14ac:dyDescent="0.15"/>
  <cols>
    <col min="1" max="1" width="7.33203125" style="2" customWidth="1"/>
    <col min="2" max="2" width="38" style="2" bestFit="1" customWidth="1"/>
    <col min="3" max="3" width="16.83203125" style="127" customWidth="1"/>
    <col min="4" max="4" width="16.33203125" style="2" customWidth="1"/>
    <col min="5" max="5" width="15.1640625" style="2" customWidth="1"/>
    <col min="6" max="6" width="15.83203125" style="2" customWidth="1"/>
    <col min="7" max="7" width="13.5" style="2" customWidth="1"/>
    <col min="8" max="8" width="13.83203125" style="2" customWidth="1"/>
    <col min="9" max="16384" width="8.83203125" style="2"/>
  </cols>
  <sheetData>
    <row r="7" spans="2:7" x14ac:dyDescent="0.15">
      <c r="B7" s="270" t="s">
        <v>172</v>
      </c>
      <c r="C7" s="338" t="s">
        <v>336</v>
      </c>
      <c r="D7" s="338"/>
      <c r="E7" s="338"/>
      <c r="F7" s="338"/>
      <c r="G7" s="4"/>
    </row>
    <row r="8" spans="2:7" x14ac:dyDescent="0.15">
      <c r="B8" s="270" t="s">
        <v>167</v>
      </c>
      <c r="C8" s="351" t="s">
        <v>339</v>
      </c>
      <c r="D8" s="351"/>
      <c r="E8" s="351"/>
      <c r="F8" s="351"/>
    </row>
    <row r="9" spans="2:7" x14ac:dyDescent="0.15">
      <c r="B9" s="270" t="s">
        <v>168</v>
      </c>
      <c r="C9" s="351" t="s">
        <v>309</v>
      </c>
      <c r="D9" s="351"/>
      <c r="E9" s="351"/>
      <c r="F9" s="351"/>
    </row>
    <row r="10" spans="2:7" x14ac:dyDescent="0.15">
      <c r="B10" s="270" t="s">
        <v>169</v>
      </c>
      <c r="C10" s="351" t="s">
        <v>337</v>
      </c>
      <c r="D10" s="351"/>
      <c r="E10" s="351"/>
      <c r="F10" s="351"/>
    </row>
    <row r="11" spans="2:7" x14ac:dyDescent="0.15">
      <c r="B11" s="270" t="s">
        <v>170</v>
      </c>
      <c r="C11" s="351" t="s">
        <v>338</v>
      </c>
      <c r="D11" s="351"/>
      <c r="E11" s="351"/>
      <c r="F11" s="351"/>
    </row>
    <row r="12" spans="2:7" ht="16" x14ac:dyDescent="0.2">
      <c r="B12" s="270" t="s">
        <v>171</v>
      </c>
      <c r="C12" s="352" t="s">
        <v>340</v>
      </c>
      <c r="D12" s="353"/>
      <c r="E12" s="353"/>
      <c r="F12" s="353"/>
    </row>
    <row r="13" spans="2:7" ht="112.75" customHeight="1" x14ac:dyDescent="0.15">
      <c r="B13" s="271" t="s">
        <v>172</v>
      </c>
      <c r="C13" s="339" t="s">
        <v>341</v>
      </c>
      <c r="D13" s="340"/>
      <c r="E13" s="340"/>
      <c r="F13" s="341"/>
    </row>
    <row r="14" spans="2:7" ht="15" customHeight="1" x14ac:dyDescent="0.15">
      <c r="B14" s="270" t="s">
        <v>230</v>
      </c>
      <c r="C14" s="342">
        <v>1175.3</v>
      </c>
      <c r="D14" s="343"/>
      <c r="E14" s="343"/>
      <c r="F14" s="344"/>
    </row>
    <row r="17" spans="2:9" s="10" customFormat="1" x14ac:dyDescent="0.15">
      <c r="B17" s="349" t="s">
        <v>68</v>
      </c>
      <c r="C17" s="349"/>
      <c r="D17" s="272" t="s">
        <v>69</v>
      </c>
    </row>
    <row r="18" spans="2:9" x14ac:dyDescent="0.15">
      <c r="B18" s="350" t="s">
        <v>71</v>
      </c>
      <c r="C18" s="350"/>
      <c r="D18" s="273">
        <f>IF(B18="Best case",1,IF(B18="Base case",2,3))</f>
        <v>2</v>
      </c>
      <c r="E18" s="9"/>
    </row>
    <row r="20" spans="2:9" x14ac:dyDescent="0.15">
      <c r="E20" s="14"/>
      <c r="F20" s="9"/>
      <c r="H20" s="184"/>
    </row>
    <row r="21" spans="2:9" x14ac:dyDescent="0.15">
      <c r="B21" s="348" t="s">
        <v>63</v>
      </c>
      <c r="C21" s="348"/>
      <c r="D21" s="348"/>
      <c r="E21" s="14"/>
      <c r="F21" s="9"/>
      <c r="G21" s="45"/>
      <c r="H21" s="184"/>
      <c r="I21" s="45"/>
    </row>
    <row r="22" spans="2:9" x14ac:dyDescent="0.15">
      <c r="B22" s="226" t="s">
        <v>0</v>
      </c>
      <c r="C22" s="215"/>
      <c r="D22" s="227" t="s">
        <v>74</v>
      </c>
      <c r="E22" s="14"/>
      <c r="F22" s="9"/>
      <c r="G22" s="45"/>
      <c r="H22" s="184"/>
      <c r="I22" s="45"/>
    </row>
    <row r="23" spans="2:9" x14ac:dyDescent="0.15">
      <c r="B23" s="158" t="s">
        <v>64</v>
      </c>
      <c r="C23" s="127" t="s">
        <v>49</v>
      </c>
      <c r="D23" s="159">
        <v>1022820329</v>
      </c>
      <c r="F23" s="9"/>
      <c r="G23" s="45"/>
      <c r="H23" s="184"/>
      <c r="I23" s="45"/>
    </row>
    <row r="24" spans="2:9" x14ac:dyDescent="0.15">
      <c r="B24" s="158" t="s">
        <v>73</v>
      </c>
      <c r="C24" s="127" t="s">
        <v>66</v>
      </c>
      <c r="D24" s="159">
        <v>1</v>
      </c>
      <c r="G24" s="45"/>
      <c r="H24" s="184"/>
      <c r="I24" s="45"/>
    </row>
    <row r="25" spans="2:9" x14ac:dyDescent="0.15">
      <c r="B25" s="158" t="s">
        <v>230</v>
      </c>
      <c r="C25" s="127" t="s">
        <v>66</v>
      </c>
      <c r="D25" s="159">
        <v>1175.3</v>
      </c>
    </row>
    <row r="26" spans="2:9" x14ac:dyDescent="0.15">
      <c r="B26" s="160" t="s">
        <v>65</v>
      </c>
      <c r="C26" s="161" t="s">
        <v>75</v>
      </c>
      <c r="D26" s="163">
        <f>D23*D25/10^7</f>
        <v>120212.07326737</v>
      </c>
    </row>
    <row r="27" spans="2:9" x14ac:dyDescent="0.15">
      <c r="D27" s="9"/>
    </row>
    <row r="29" spans="2:9" x14ac:dyDescent="0.15">
      <c r="B29" s="345" t="s">
        <v>46</v>
      </c>
      <c r="C29" s="346"/>
      <c r="D29" s="347"/>
    </row>
    <row r="30" spans="2:9" x14ac:dyDescent="0.15">
      <c r="B30" s="158" t="s">
        <v>350</v>
      </c>
      <c r="C30" s="127" t="s">
        <v>47</v>
      </c>
      <c r="D30" s="162">
        <v>8.0000000000000002E-3</v>
      </c>
    </row>
    <row r="31" spans="2:9" x14ac:dyDescent="0.15">
      <c r="B31" s="158" t="s">
        <v>351</v>
      </c>
      <c r="C31" s="127" t="s">
        <v>47</v>
      </c>
      <c r="D31" s="162">
        <v>0.03</v>
      </c>
    </row>
    <row r="32" spans="2:9" x14ac:dyDescent="0.15">
      <c r="B32" s="158" t="s">
        <v>62</v>
      </c>
      <c r="C32" s="127" t="s">
        <v>47</v>
      </c>
      <c r="D32" s="162">
        <v>0.06</v>
      </c>
    </row>
    <row r="33" spans="2:8" x14ac:dyDescent="0.15">
      <c r="B33" s="158" t="s">
        <v>67</v>
      </c>
      <c r="C33" s="127" t="s">
        <v>47</v>
      </c>
      <c r="D33" s="162">
        <v>6.2590000000000007E-2</v>
      </c>
    </row>
    <row r="34" spans="2:8" x14ac:dyDescent="0.15">
      <c r="B34" s="160" t="s">
        <v>277</v>
      </c>
      <c r="C34" s="161" t="s">
        <v>47</v>
      </c>
      <c r="D34" s="245">
        <v>0.05</v>
      </c>
    </row>
    <row r="37" spans="2:8" x14ac:dyDescent="0.15">
      <c r="B37" s="345" t="s">
        <v>352</v>
      </c>
      <c r="C37" s="346"/>
      <c r="D37" s="347"/>
    </row>
    <row r="38" spans="2:8" x14ac:dyDescent="0.15">
      <c r="B38" s="225" t="s">
        <v>48</v>
      </c>
      <c r="C38" s="214"/>
      <c r="D38" s="216" t="s">
        <v>310</v>
      </c>
    </row>
    <row r="39" spans="2:8" s="189" customFormat="1" x14ac:dyDescent="0.15">
      <c r="B39" s="236">
        <v>2020</v>
      </c>
      <c r="C39" s="260"/>
      <c r="D39" s="293">
        <v>4534.5099999999993</v>
      </c>
    </row>
    <row r="40" spans="2:8" s="237" customFormat="1" x14ac:dyDescent="0.15">
      <c r="B40" s="236">
        <v>2021</v>
      </c>
      <c r="C40" s="260"/>
      <c r="D40" s="293">
        <v>4901</v>
      </c>
    </row>
    <row r="41" spans="2:8" x14ac:dyDescent="0.15">
      <c r="B41" s="236">
        <v>2022</v>
      </c>
      <c r="C41" s="260"/>
      <c r="D41" s="293">
        <v>5474.28</v>
      </c>
      <c r="F41" s="45"/>
      <c r="H41" s="184"/>
    </row>
    <row r="42" spans="2:8" x14ac:dyDescent="0.15">
      <c r="B42" s="236">
        <v>2023</v>
      </c>
      <c r="C42" s="260"/>
      <c r="D42" s="293">
        <v>5740.6500000000005</v>
      </c>
      <c r="F42" s="45"/>
      <c r="H42" s="101"/>
    </row>
    <row r="43" spans="2:8" x14ac:dyDescent="0.15">
      <c r="B43" s="262">
        <v>2024</v>
      </c>
      <c r="C43" s="261"/>
      <c r="D43" s="294">
        <v>5778.86</v>
      </c>
      <c r="F43" s="45"/>
      <c r="H43" s="185"/>
    </row>
    <row r="44" spans="2:8" s="5" customFormat="1" x14ac:dyDescent="0.15">
      <c r="C44" s="25"/>
      <c r="F44" s="204"/>
    </row>
    <row r="46" spans="2:8" ht="15.5" customHeight="1" x14ac:dyDescent="0.15">
      <c r="B46" s="274" t="s">
        <v>184</v>
      </c>
      <c r="C46" s="274" t="s">
        <v>185</v>
      </c>
      <c r="D46" s="332" t="s">
        <v>46</v>
      </c>
      <c r="E46" s="333"/>
      <c r="F46" s="333"/>
      <c r="G46" s="333"/>
      <c r="H46" s="334"/>
    </row>
    <row r="47" spans="2:8" ht="51" customHeight="1" x14ac:dyDescent="0.15">
      <c r="B47" s="356" t="s">
        <v>176</v>
      </c>
      <c r="C47" s="131" t="s">
        <v>395</v>
      </c>
      <c r="D47" s="357" t="s">
        <v>396</v>
      </c>
      <c r="E47" s="358"/>
      <c r="F47" s="358"/>
      <c r="G47" s="358"/>
      <c r="H47" s="359"/>
    </row>
    <row r="48" spans="2:8" ht="69" customHeight="1" x14ac:dyDescent="0.15">
      <c r="B48" s="356"/>
      <c r="C48" s="131" t="s">
        <v>398</v>
      </c>
      <c r="D48" s="335" t="s">
        <v>397</v>
      </c>
      <c r="E48" s="336"/>
      <c r="F48" s="336"/>
      <c r="G48" s="336"/>
      <c r="H48" s="337"/>
    </row>
    <row r="49" spans="2:8" ht="68" customHeight="1" x14ac:dyDescent="0.15">
      <c r="B49" s="355"/>
      <c r="C49" s="131" t="s">
        <v>399</v>
      </c>
      <c r="D49" s="335" t="s">
        <v>404</v>
      </c>
      <c r="E49" s="336"/>
      <c r="F49" s="336"/>
      <c r="G49" s="336"/>
      <c r="H49" s="337"/>
    </row>
    <row r="50" spans="2:8" ht="49" customHeight="1" x14ac:dyDescent="0.15">
      <c r="B50" s="354" t="s">
        <v>186</v>
      </c>
      <c r="C50" s="131" t="s">
        <v>408</v>
      </c>
      <c r="D50" s="335" t="s">
        <v>400</v>
      </c>
      <c r="E50" s="336"/>
      <c r="F50" s="336"/>
      <c r="G50" s="336"/>
      <c r="H50" s="337"/>
    </row>
    <row r="51" spans="2:8" ht="47" customHeight="1" x14ac:dyDescent="0.15">
      <c r="B51" s="355"/>
      <c r="C51" s="130" t="s">
        <v>401</v>
      </c>
      <c r="D51" s="335" t="s">
        <v>412</v>
      </c>
      <c r="E51" s="336"/>
      <c r="F51" s="336"/>
      <c r="G51" s="336"/>
      <c r="H51" s="337"/>
    </row>
    <row r="52" spans="2:8" ht="48.5" customHeight="1" x14ac:dyDescent="0.15">
      <c r="B52" s="354" t="s">
        <v>187</v>
      </c>
      <c r="C52" s="131" t="s">
        <v>405</v>
      </c>
      <c r="D52" s="335" t="s">
        <v>410</v>
      </c>
      <c r="E52" s="336"/>
      <c r="F52" s="336"/>
      <c r="G52" s="336"/>
      <c r="H52" s="337"/>
    </row>
    <row r="53" spans="2:8" ht="30" customHeight="1" x14ac:dyDescent="0.15">
      <c r="B53" s="355"/>
      <c r="C53" s="130" t="s">
        <v>406</v>
      </c>
      <c r="D53" s="335" t="s">
        <v>411</v>
      </c>
      <c r="E53" s="336"/>
      <c r="F53" s="336"/>
      <c r="G53" s="336"/>
      <c r="H53" s="337"/>
    </row>
    <row r="54" spans="2:8" ht="43.25" customHeight="1" x14ac:dyDescent="0.15">
      <c r="B54" s="331" t="s">
        <v>188</v>
      </c>
      <c r="C54" s="131" t="s">
        <v>407</v>
      </c>
      <c r="D54" s="335" t="s">
        <v>334</v>
      </c>
      <c r="E54" s="336"/>
      <c r="F54" s="336"/>
      <c r="G54" s="336"/>
      <c r="H54" s="337"/>
    </row>
    <row r="55" spans="2:8" ht="38" customHeight="1" x14ac:dyDescent="0.15">
      <c r="B55" s="331" t="s">
        <v>179</v>
      </c>
      <c r="C55" s="131" t="s">
        <v>409</v>
      </c>
      <c r="D55" s="335" t="s">
        <v>402</v>
      </c>
      <c r="E55" s="336"/>
      <c r="F55" s="336"/>
      <c r="G55" s="336"/>
      <c r="H55" s="337"/>
    </row>
    <row r="56" spans="2:8" ht="19.25" customHeight="1" x14ac:dyDescent="0.15">
      <c r="B56" s="330" t="s">
        <v>182</v>
      </c>
      <c r="C56" s="130" t="s">
        <v>403</v>
      </c>
      <c r="D56" s="335" t="s">
        <v>189</v>
      </c>
      <c r="E56" s="336"/>
      <c r="F56" s="336"/>
      <c r="G56" s="336"/>
      <c r="H56" s="337"/>
    </row>
    <row r="57" spans="2:8" ht="17.5" customHeight="1" x14ac:dyDescent="0.15"/>
  </sheetData>
  <mergeCells count="27">
    <mergeCell ref="D56:H56"/>
    <mergeCell ref="D48:H48"/>
    <mergeCell ref="D49:H49"/>
    <mergeCell ref="B50:B51"/>
    <mergeCell ref="D52:H52"/>
    <mergeCell ref="B47:B49"/>
    <mergeCell ref="D50:H50"/>
    <mergeCell ref="B52:B53"/>
    <mergeCell ref="D47:H47"/>
    <mergeCell ref="D51:H51"/>
    <mergeCell ref="D54:H54"/>
    <mergeCell ref="D46:H46"/>
    <mergeCell ref="D53:H53"/>
    <mergeCell ref="D55:H55"/>
    <mergeCell ref="C7:F7"/>
    <mergeCell ref="C13:F13"/>
    <mergeCell ref="C14:F14"/>
    <mergeCell ref="B29:D29"/>
    <mergeCell ref="B37:D37"/>
    <mergeCell ref="B21:D21"/>
    <mergeCell ref="B17:C17"/>
    <mergeCell ref="B18:C18"/>
    <mergeCell ref="C8:F8"/>
    <mergeCell ref="C9:F9"/>
    <mergeCell ref="C10:F10"/>
    <mergeCell ref="C11:F11"/>
    <mergeCell ref="C12:F12"/>
  </mergeCells>
  <dataValidations count="1">
    <dataValidation type="list" allowBlank="1" showInputMessage="1" showErrorMessage="1" sqref="B18:C18" xr:uid="{00000000-0002-0000-0000-000000000000}">
      <formula1>"Best case, Base case, Worst case"</formula1>
    </dataValidation>
  </dataValidations>
  <hyperlinks>
    <hyperlink ref="C12:F12" r:id="rId1" display="https://varunbeverages.com/" xr:uid="{C300CA1E-65CD-45D1-964B-6773A20E32D3}"/>
    <hyperlink ref="C12" r:id="rId2" xr:uid="{F92631FB-178E-A543-A096-62AF064DA4DF}"/>
  </hyperlinks>
  <pageMargins left="0.7" right="0.7" top="0.75" bottom="0.75" header="0.3" footer="0.3"/>
  <pageSetup orientation="portrait" r:id="rId3"/>
  <drawing r:id="rId4"/>
  <legacyDrawing r:id="rId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FFFFCC"/>
  </sheetPr>
  <dimension ref="B1:R62"/>
  <sheetViews>
    <sheetView showGridLines="0" topLeftCell="A76" zoomScaleNormal="100" workbookViewId="0">
      <selection activeCell="G36" sqref="G36"/>
    </sheetView>
  </sheetViews>
  <sheetFormatPr baseColWidth="10" defaultColWidth="8.83203125" defaultRowHeight="14" x14ac:dyDescent="0.15"/>
  <cols>
    <col min="1" max="1" width="5.5" style="2" customWidth="1"/>
    <col min="2" max="2" width="36.6640625" style="1" bestFit="1" customWidth="1"/>
    <col min="3" max="3" width="13.1640625" style="1" bestFit="1" customWidth="1"/>
    <col min="4" max="6" width="13.1640625" style="9" bestFit="1" customWidth="1"/>
    <col min="7" max="7" width="13.5" style="9" customWidth="1"/>
    <col min="8" max="16384" width="8.83203125" style="2"/>
  </cols>
  <sheetData>
    <row r="1" spans="2:18" x14ac:dyDescent="0.15">
      <c r="D1" s="2"/>
      <c r="E1" s="2"/>
      <c r="F1" s="2"/>
      <c r="G1" s="2"/>
    </row>
    <row r="2" spans="2:18" x14ac:dyDescent="0.15">
      <c r="D2" s="2"/>
      <c r="E2" s="2"/>
      <c r="F2" s="2"/>
      <c r="G2" s="2"/>
    </row>
    <row r="3" spans="2:18" x14ac:dyDescent="0.15">
      <c r="D3" s="2"/>
      <c r="E3" s="2"/>
      <c r="F3" s="2"/>
      <c r="G3" s="2"/>
    </row>
    <row r="4" spans="2:18" x14ac:dyDescent="0.15">
      <c r="D4" s="2"/>
      <c r="E4" s="2"/>
      <c r="F4" s="2"/>
      <c r="G4" s="2"/>
    </row>
    <row r="5" spans="2:18" x14ac:dyDescent="0.15">
      <c r="D5" s="2"/>
      <c r="E5" s="2"/>
      <c r="F5" s="2"/>
      <c r="G5" s="2"/>
    </row>
    <row r="6" spans="2:18" ht="14.5" customHeight="1" x14ac:dyDescent="0.15">
      <c r="B6" s="3"/>
      <c r="C6" s="3"/>
      <c r="D6" s="2"/>
      <c r="E6" s="2"/>
      <c r="F6" s="362" t="s">
        <v>76</v>
      </c>
      <c r="G6" s="362"/>
    </row>
    <row r="7" spans="2:18" ht="16.75" customHeight="1" x14ac:dyDescent="0.2">
      <c r="B7" s="363" t="s">
        <v>173</v>
      </c>
      <c r="C7" s="364"/>
      <c r="D7" s="364"/>
      <c r="E7" s="364"/>
      <c r="F7" s="364"/>
      <c r="G7" s="365"/>
    </row>
    <row r="8" spans="2:18" s="4" customFormat="1" x14ac:dyDescent="0.15">
      <c r="B8" s="360" t="s">
        <v>0</v>
      </c>
      <c r="C8" s="234">
        <v>2020</v>
      </c>
      <c r="D8" s="234">
        <v>2021</v>
      </c>
      <c r="E8" s="234">
        <v>2022</v>
      </c>
      <c r="F8" s="234">
        <v>2023</v>
      </c>
      <c r="G8" s="234">
        <v>2024</v>
      </c>
      <c r="I8" s="2"/>
      <c r="J8" s="2"/>
      <c r="K8" s="2"/>
      <c r="L8" s="2"/>
      <c r="M8" s="2"/>
      <c r="N8" s="2"/>
      <c r="O8" s="2"/>
      <c r="P8" s="2"/>
      <c r="Q8" s="2"/>
      <c r="R8" s="2"/>
    </row>
    <row r="9" spans="2:18" x14ac:dyDescent="0.15">
      <c r="B9" s="361"/>
      <c r="C9" s="13" t="s">
        <v>2</v>
      </c>
      <c r="D9" s="13" t="s">
        <v>2</v>
      </c>
      <c r="E9" s="13" t="s">
        <v>2</v>
      </c>
      <c r="F9" s="13" t="s">
        <v>2</v>
      </c>
      <c r="G9" s="13" t="s">
        <v>2</v>
      </c>
    </row>
    <row r="10" spans="2:18" x14ac:dyDescent="0.15">
      <c r="B10" s="24"/>
      <c r="C10" s="24"/>
      <c r="D10" s="25"/>
      <c r="E10" s="25"/>
      <c r="F10" s="25"/>
      <c r="G10" s="25"/>
    </row>
    <row r="11" spans="2:18" ht="16" x14ac:dyDescent="0.2">
      <c r="B11" s="1" t="s">
        <v>6</v>
      </c>
      <c r="C11" s="6">
        <v>9910.7999999999993</v>
      </c>
      <c r="D11" s="6">
        <v>11028.62</v>
      </c>
      <c r="E11" s="6">
        <v>12276.5</v>
      </c>
      <c r="F11" s="6">
        <v>13315.97</v>
      </c>
      <c r="G11" s="6">
        <v>14096.11</v>
      </c>
      <c r="H11" s="275"/>
    </row>
    <row r="12" spans="2:18" ht="15" x14ac:dyDescent="0.2">
      <c r="C12" s="9"/>
      <c r="H12" s="275"/>
    </row>
    <row r="13" spans="2:18" s="4" customFormat="1" ht="15" x14ac:dyDescent="0.15">
      <c r="B13" s="12" t="s">
        <v>9</v>
      </c>
      <c r="C13" s="11">
        <f>SUM(C11:C11)</f>
        <v>9910.7999999999993</v>
      </c>
      <c r="D13" s="11">
        <f>SUM(D11:D11)</f>
        <v>11028.62</v>
      </c>
      <c r="E13" s="11">
        <f>SUM(E11:E11)</f>
        <v>12276.5</v>
      </c>
      <c r="F13" s="11">
        <f>SUM(F11:F11)</f>
        <v>13315.97</v>
      </c>
      <c r="G13" s="11">
        <f>SUM(G11:G11)</f>
        <v>14096.11</v>
      </c>
      <c r="I13" s="2"/>
      <c r="J13" s="2"/>
      <c r="K13" s="2"/>
      <c r="L13" s="2"/>
      <c r="M13" s="2"/>
      <c r="N13" s="2"/>
      <c r="O13" s="2"/>
      <c r="P13" s="2"/>
      <c r="Q13" s="2"/>
      <c r="R13" s="2"/>
    </row>
    <row r="15" spans="2:18" s="4" customFormat="1" ht="15" x14ac:dyDescent="0.15">
      <c r="B15" s="7" t="s">
        <v>8</v>
      </c>
      <c r="C15" s="7"/>
      <c r="D15" s="8"/>
      <c r="E15" s="8"/>
      <c r="F15" s="8"/>
      <c r="G15" s="8"/>
      <c r="I15" s="2"/>
      <c r="J15" s="2"/>
      <c r="K15" s="2"/>
      <c r="L15" s="2"/>
      <c r="M15" s="2"/>
      <c r="N15" s="2"/>
      <c r="O15" s="2"/>
      <c r="P15" s="2"/>
      <c r="Q15" s="2"/>
      <c r="R15" s="2"/>
    </row>
    <row r="16" spans="2:18" ht="15" x14ac:dyDescent="0.15">
      <c r="B16" s="1" t="s">
        <v>235</v>
      </c>
      <c r="C16" s="238">
        <v>4121.75</v>
      </c>
      <c r="D16" s="6">
        <v>4606.76</v>
      </c>
      <c r="E16" s="6">
        <v>5782.98</v>
      </c>
      <c r="F16" s="6">
        <v>6184.67</v>
      </c>
      <c r="G16" s="6">
        <v>5677.89</v>
      </c>
    </row>
    <row r="17" spans="2:18" ht="15" x14ac:dyDescent="0.15">
      <c r="B17" s="1" t="s">
        <v>236</v>
      </c>
      <c r="C17" s="238">
        <v>313.08</v>
      </c>
      <c r="D17" s="6">
        <v>365.01</v>
      </c>
      <c r="E17" s="6">
        <v>353.65</v>
      </c>
      <c r="F17" s="6">
        <v>305.18</v>
      </c>
      <c r="G17" s="6">
        <v>655.54</v>
      </c>
    </row>
    <row r="18" spans="2:18" ht="15" x14ac:dyDescent="0.15">
      <c r="B18" s="1" t="s">
        <v>45</v>
      </c>
      <c r="C18" s="238">
        <v>-173.15</v>
      </c>
      <c r="D18" s="21">
        <v>-42.35</v>
      </c>
      <c r="E18" s="21">
        <v>-61.54</v>
      </c>
      <c r="F18" s="21">
        <v>212.94</v>
      </c>
      <c r="G18" s="21">
        <v>-13.13</v>
      </c>
    </row>
    <row r="19" spans="2:18" ht="15" x14ac:dyDescent="0.15">
      <c r="B19" s="1" t="s">
        <v>10</v>
      </c>
      <c r="C19" s="238">
        <v>1018.82</v>
      </c>
      <c r="D19" s="6">
        <v>1123.3399999999999</v>
      </c>
      <c r="E19" s="6">
        <v>1104.1400000000001</v>
      </c>
      <c r="F19" s="6">
        <v>1111.48</v>
      </c>
      <c r="G19" s="6">
        <v>1249.3399999999999</v>
      </c>
    </row>
    <row r="20" spans="2:18" ht="15" x14ac:dyDescent="0.15">
      <c r="B20" s="1" t="s">
        <v>13</v>
      </c>
      <c r="C20" s="238">
        <v>2487.27</v>
      </c>
      <c r="D20" s="6">
        <v>2587.61</v>
      </c>
      <c r="E20" s="6">
        <v>2702.16</v>
      </c>
      <c r="F20" s="6">
        <v>3071.24</v>
      </c>
      <c r="G20" s="6">
        <v>3583</v>
      </c>
    </row>
    <row r="22" spans="2:18" s="4" customFormat="1" ht="15" x14ac:dyDescent="0.15">
      <c r="B22" s="12" t="s">
        <v>14</v>
      </c>
      <c r="C22" s="11">
        <f>SUM(C16:C20)</f>
        <v>7767.77</v>
      </c>
      <c r="D22" s="11">
        <f t="shared" ref="D22:G22" si="0">SUM(D16:D20)</f>
        <v>8640.3700000000008</v>
      </c>
      <c r="E22" s="11">
        <f t="shared" si="0"/>
        <v>9881.39</v>
      </c>
      <c r="F22" s="11">
        <f t="shared" si="0"/>
        <v>10885.51</v>
      </c>
      <c r="G22" s="11">
        <f t="shared" si="0"/>
        <v>11152.64</v>
      </c>
      <c r="I22" s="2"/>
      <c r="J22" s="2"/>
      <c r="K22" s="2"/>
      <c r="L22" s="2"/>
      <c r="M22" s="2"/>
      <c r="N22" s="2"/>
      <c r="O22" s="2"/>
      <c r="P22" s="2"/>
      <c r="Q22" s="2"/>
      <c r="R22" s="2"/>
    </row>
    <row r="23" spans="2:18" x14ac:dyDescent="0.15">
      <c r="C23" s="9"/>
    </row>
    <row r="24" spans="2:18" s="4" customFormat="1" ht="15" x14ac:dyDescent="0.15">
      <c r="B24" s="7" t="s">
        <v>15</v>
      </c>
      <c r="C24" s="8">
        <f>C13-C22</f>
        <v>2143.0299999999988</v>
      </c>
      <c r="D24" s="8">
        <f>D13-D22</f>
        <v>2388.25</v>
      </c>
      <c r="E24" s="8">
        <f>E13-E22</f>
        <v>2395.1100000000006</v>
      </c>
      <c r="F24" s="8">
        <f>F13-F22</f>
        <v>2430.4599999999991</v>
      </c>
      <c r="G24" s="175">
        <f>G13-G22</f>
        <v>2943.4700000000012</v>
      </c>
    </row>
    <row r="25" spans="2:18" x14ac:dyDescent="0.15">
      <c r="C25" s="9"/>
    </row>
    <row r="26" spans="2:18" ht="16" x14ac:dyDescent="0.2">
      <c r="B26" s="1" t="s">
        <v>12</v>
      </c>
      <c r="C26" s="6">
        <v>197.28</v>
      </c>
      <c r="D26" s="6">
        <v>203.85</v>
      </c>
      <c r="E26" s="6">
        <v>209.93</v>
      </c>
      <c r="F26" s="6">
        <v>236.29</v>
      </c>
      <c r="G26" s="6">
        <v>240.96</v>
      </c>
      <c r="I26" s="276"/>
      <c r="J26"/>
      <c r="K26" s="276"/>
      <c r="L26" s="276"/>
      <c r="M26" s="276"/>
      <c r="N26" s="280"/>
      <c r="O26" s="280"/>
      <c r="P26" s="280"/>
      <c r="Q26" s="280"/>
      <c r="R26" s="280"/>
    </row>
    <row r="27" spans="2:18" ht="15" x14ac:dyDescent="0.2">
      <c r="C27" s="9"/>
      <c r="I27"/>
      <c r="J27" s="277"/>
      <c r="K27" s="277"/>
      <c r="L27" s="277"/>
      <c r="M27" s="277"/>
      <c r="N27" s="275"/>
      <c r="O27" s="275"/>
      <c r="P27" s="275"/>
      <c r="Q27" s="275"/>
      <c r="R27" s="275"/>
    </row>
    <row r="28" spans="2:18" s="4" customFormat="1" ht="16" x14ac:dyDescent="0.2">
      <c r="B28" s="7" t="s">
        <v>16</v>
      </c>
      <c r="C28" s="8">
        <f>C24-C26</f>
        <v>1945.7499999999989</v>
      </c>
      <c r="D28" s="8">
        <f>D24-D26</f>
        <v>2184.4</v>
      </c>
      <c r="E28" s="8">
        <f t="shared" ref="E28:G28" si="1">E24-E26</f>
        <v>2185.1800000000007</v>
      </c>
      <c r="F28" s="8">
        <f t="shared" si="1"/>
        <v>2194.1699999999992</v>
      </c>
      <c r="G28" s="175">
        <f t="shared" si="1"/>
        <v>2702.5100000000011</v>
      </c>
      <c r="I28"/>
      <c r="J28" s="277"/>
      <c r="K28" s="277"/>
      <c r="L28" s="277"/>
      <c r="M28" s="277"/>
      <c r="N28" s="275"/>
      <c r="O28" s="275"/>
      <c r="P28" s="275"/>
      <c r="Q28" s="275"/>
      <c r="R28" s="275"/>
    </row>
    <row r="29" spans="2:18" s="4" customFormat="1" ht="15" x14ac:dyDescent="0.2">
      <c r="B29" s="7"/>
      <c r="C29" s="8"/>
      <c r="D29" s="8"/>
      <c r="E29" s="8"/>
      <c r="F29" s="8"/>
      <c r="G29" s="8"/>
      <c r="I29" s="276"/>
      <c r="J29"/>
      <c r="K29" s="276"/>
      <c r="L29" s="276"/>
      <c r="M29" s="276"/>
      <c r="N29" s="279"/>
      <c r="O29" s="279"/>
      <c r="P29" s="279"/>
      <c r="Q29" s="279"/>
      <c r="R29" s="279"/>
    </row>
    <row r="30" spans="2:18" ht="16" x14ac:dyDescent="0.2">
      <c r="B30" s="1" t="s">
        <v>7</v>
      </c>
      <c r="C30" s="6">
        <v>112.3</v>
      </c>
      <c r="D30" s="6">
        <v>67.069999999999993</v>
      </c>
      <c r="E30" s="6">
        <v>89.71</v>
      </c>
      <c r="F30" s="6">
        <v>168.41</v>
      </c>
      <c r="G30" s="6">
        <v>268.95</v>
      </c>
      <c r="I30" s="276"/>
      <c r="J30"/>
      <c r="K30" s="276"/>
      <c r="L30" s="276"/>
      <c r="M30" s="276"/>
      <c r="N30" s="281"/>
      <c r="O30" s="281"/>
      <c r="P30" s="281"/>
      <c r="Q30" s="281"/>
      <c r="R30" s="281"/>
    </row>
    <row r="31" spans="2:18" ht="15" x14ac:dyDescent="0.2">
      <c r="C31" s="9"/>
      <c r="I31"/>
      <c r="J31" s="277"/>
      <c r="K31" s="277"/>
      <c r="L31" s="277"/>
      <c r="M31" s="277"/>
      <c r="N31" s="275"/>
      <c r="O31" s="275"/>
      <c r="P31" s="275"/>
      <c r="Q31" s="275"/>
      <c r="R31" s="275"/>
    </row>
    <row r="32" spans="2:18" ht="16" x14ac:dyDescent="0.2">
      <c r="B32" s="1" t="s">
        <v>11</v>
      </c>
      <c r="C32" s="6">
        <v>217.41</v>
      </c>
      <c r="D32" s="6">
        <v>126.63</v>
      </c>
      <c r="E32" s="6">
        <v>110.16</v>
      </c>
      <c r="F32" s="6">
        <v>175.74</v>
      </c>
      <c r="G32" s="6">
        <v>296.37</v>
      </c>
      <c r="I32"/>
      <c r="J32" s="277"/>
      <c r="K32" s="277"/>
      <c r="L32" s="277"/>
      <c r="M32" s="277"/>
      <c r="N32" s="275"/>
      <c r="O32" s="275"/>
      <c r="P32" s="275"/>
      <c r="Q32" s="275"/>
      <c r="R32" s="275"/>
    </row>
    <row r="33" spans="2:18" ht="15" x14ac:dyDescent="0.2">
      <c r="C33" s="6"/>
      <c r="D33" s="6"/>
      <c r="E33" s="6"/>
      <c r="F33" s="6"/>
      <c r="G33" s="6"/>
      <c r="I33"/>
      <c r="J33" s="277"/>
      <c r="K33" s="277"/>
      <c r="L33" s="277"/>
      <c r="M33" s="277"/>
      <c r="N33" s="275"/>
      <c r="O33" s="275"/>
      <c r="P33" s="275"/>
      <c r="Q33" s="275"/>
      <c r="R33" s="275"/>
    </row>
    <row r="34" spans="2:18" s="172" customFormat="1" ht="30" x14ac:dyDescent="0.2">
      <c r="B34" s="171" t="s">
        <v>232</v>
      </c>
      <c r="C34" s="173">
        <f>C28+C30-C32</f>
        <v>1840.6399999999987</v>
      </c>
      <c r="D34" s="173">
        <f>D28+D30-D32</f>
        <v>2124.84</v>
      </c>
      <c r="E34" s="173">
        <f t="shared" ref="E34:G34" si="2">E28+E30-E32</f>
        <v>2164.7300000000009</v>
      </c>
      <c r="F34" s="173">
        <f t="shared" si="2"/>
        <v>2186.8399999999992</v>
      </c>
      <c r="G34" s="176">
        <f t="shared" si="2"/>
        <v>2675.0900000000011</v>
      </c>
      <c r="I34"/>
      <c r="J34" s="277"/>
      <c r="K34" s="277"/>
      <c r="L34" s="277"/>
      <c r="M34" s="277"/>
      <c r="N34" s="275"/>
      <c r="O34" s="275"/>
      <c r="P34" s="275"/>
      <c r="Q34" s="275"/>
      <c r="R34" s="275"/>
    </row>
    <row r="35" spans="2:18" ht="15" x14ac:dyDescent="0.2">
      <c r="C35" s="6"/>
      <c r="D35" s="6"/>
      <c r="E35" s="6"/>
      <c r="F35" s="6"/>
      <c r="G35" s="6"/>
      <c r="I35"/>
      <c r="J35" s="277"/>
      <c r="K35" s="277"/>
      <c r="L35" s="277"/>
      <c r="M35" s="277"/>
      <c r="N35" s="275"/>
      <c r="O35" s="275"/>
      <c r="P35" s="275"/>
      <c r="Q35" s="275"/>
      <c r="R35" s="275"/>
    </row>
    <row r="36" spans="2:18" ht="16" x14ac:dyDescent="0.2">
      <c r="B36" s="1" t="s">
        <v>233</v>
      </c>
      <c r="C36" s="21">
        <v>0.81</v>
      </c>
      <c r="D36" s="21">
        <v>-0.01</v>
      </c>
      <c r="E36" s="21">
        <v>0.28000000000000003</v>
      </c>
      <c r="F36" s="21">
        <v>0</v>
      </c>
      <c r="G36" s="21">
        <v>0</v>
      </c>
      <c r="I36"/>
      <c r="J36" s="277"/>
      <c r="K36" s="277"/>
      <c r="L36" s="277"/>
      <c r="M36" s="277"/>
      <c r="N36" s="275"/>
      <c r="O36" s="275"/>
      <c r="P36" s="275"/>
      <c r="Q36" s="275"/>
      <c r="R36" s="275"/>
    </row>
    <row r="37" spans="2:18" ht="15" x14ac:dyDescent="0.2">
      <c r="C37" s="174"/>
      <c r="D37" s="174"/>
      <c r="E37" s="174"/>
      <c r="F37" s="174"/>
      <c r="G37" s="174"/>
      <c r="I37"/>
      <c r="J37" s="277"/>
      <c r="K37" s="277"/>
      <c r="L37" s="277"/>
      <c r="M37" s="277"/>
      <c r="N37" s="275"/>
      <c r="O37" s="275"/>
      <c r="P37" s="275"/>
      <c r="Q37" s="275"/>
      <c r="R37" s="275"/>
    </row>
    <row r="38" spans="2:18" ht="16" x14ac:dyDescent="0.2">
      <c r="B38" s="1" t="s">
        <v>234</v>
      </c>
      <c r="C38" s="21">
        <v>-81.05</v>
      </c>
      <c r="D38" s="21">
        <v>-44.47</v>
      </c>
      <c r="E38" s="21">
        <v>-9.75</v>
      </c>
      <c r="F38" s="21">
        <v>-54.11</v>
      </c>
      <c r="G38" s="21">
        <v>-2476.86</v>
      </c>
      <c r="I38" s="276"/>
      <c r="J38"/>
      <c r="K38" s="276"/>
      <c r="L38" s="276"/>
      <c r="M38" s="276"/>
      <c r="N38" s="279"/>
      <c r="O38" s="279"/>
      <c r="P38" s="279"/>
      <c r="Q38" s="279"/>
      <c r="R38" s="279"/>
    </row>
    <row r="39" spans="2:18" ht="15" x14ac:dyDescent="0.2">
      <c r="C39" s="9"/>
      <c r="E39" s="21"/>
      <c r="F39" s="21"/>
      <c r="I39"/>
      <c r="J39" s="277"/>
      <c r="K39" s="276"/>
      <c r="L39" s="276"/>
      <c r="M39" s="276"/>
      <c r="N39" s="282"/>
      <c r="O39" s="282"/>
      <c r="P39" s="282"/>
      <c r="Q39" s="282"/>
      <c r="R39" s="282"/>
    </row>
    <row r="40" spans="2:18" s="4" customFormat="1" ht="16" x14ac:dyDescent="0.2">
      <c r="B40" s="7" t="s">
        <v>17</v>
      </c>
      <c r="C40" s="8">
        <f>C34+C36+C38</f>
        <v>1760.3999999999987</v>
      </c>
      <c r="D40" s="8">
        <f>D34+D36+D38</f>
        <v>2080.36</v>
      </c>
      <c r="E40" s="8">
        <f t="shared" ref="E40:G40" si="3">E34+E36+E38</f>
        <v>2155.2600000000011</v>
      </c>
      <c r="F40" s="8">
        <f t="shared" si="3"/>
        <v>2132.7299999999991</v>
      </c>
      <c r="G40" s="175">
        <f t="shared" si="3"/>
        <v>198.23000000000093</v>
      </c>
      <c r="I40"/>
      <c r="J40" s="277"/>
      <c r="K40" s="276"/>
      <c r="L40" s="276"/>
      <c r="M40" s="276"/>
      <c r="N40" s="278"/>
      <c r="O40" s="278"/>
      <c r="P40" s="278"/>
      <c r="Q40" s="278"/>
      <c r="R40" s="278"/>
    </row>
    <row r="41" spans="2:18" ht="15" x14ac:dyDescent="0.2">
      <c r="C41" s="9"/>
      <c r="I41"/>
      <c r="J41" s="277"/>
      <c r="K41" s="276"/>
      <c r="L41" s="276"/>
      <c r="M41" s="276"/>
      <c r="N41" s="275"/>
      <c r="O41" s="275"/>
      <c r="P41" s="275"/>
      <c r="Q41" s="275"/>
      <c r="R41" s="275"/>
    </row>
    <row r="42" spans="2:18" ht="16" x14ac:dyDescent="0.2">
      <c r="B42" s="1" t="s">
        <v>18</v>
      </c>
      <c r="C42" s="21">
        <v>263.82000000000005</v>
      </c>
      <c r="D42" s="21">
        <v>359.53999999999996</v>
      </c>
      <c r="E42" s="6">
        <v>371.87</v>
      </c>
      <c r="F42" s="6">
        <v>430.27</v>
      </c>
      <c r="G42" s="21">
        <v>758.78</v>
      </c>
      <c r="I42" s="276"/>
      <c r="J42"/>
      <c r="K42" s="276"/>
      <c r="L42" s="276"/>
      <c r="M42" s="276"/>
      <c r="N42" s="279"/>
      <c r="O42" s="279"/>
      <c r="P42" s="279"/>
      <c r="Q42" s="279"/>
      <c r="R42" s="279"/>
    </row>
    <row r="43" spans="2:18" ht="15" x14ac:dyDescent="0.2">
      <c r="C43" s="9"/>
      <c r="I43"/>
      <c r="J43" s="276"/>
      <c r="K43" s="276"/>
      <c r="L43" s="276"/>
      <c r="M43" s="276"/>
      <c r="N43" s="281"/>
      <c r="O43" s="281"/>
      <c r="P43" s="281"/>
      <c r="Q43" s="281"/>
      <c r="R43" s="281"/>
    </row>
    <row r="44" spans="2:18" s="4" customFormat="1" ht="16" x14ac:dyDescent="0.2">
      <c r="B44" s="12" t="s">
        <v>19</v>
      </c>
      <c r="C44" s="11">
        <f>C40-C42</f>
        <v>1496.5799999999986</v>
      </c>
      <c r="D44" s="11">
        <f>D40-D42</f>
        <v>1720.8200000000002</v>
      </c>
      <c r="E44" s="11">
        <f t="shared" ref="E44:G44" si="4">E40-E42</f>
        <v>1783.3900000000012</v>
      </c>
      <c r="F44" s="11">
        <f t="shared" si="4"/>
        <v>1702.4599999999991</v>
      </c>
      <c r="G44" s="177">
        <f t="shared" si="4"/>
        <v>-560.54999999999905</v>
      </c>
      <c r="I44"/>
      <c r="J44" s="277"/>
      <c r="K44" s="277"/>
      <c r="L44" s="277"/>
      <c r="M44" s="277"/>
      <c r="N44" s="275"/>
      <c r="O44" s="275"/>
      <c r="P44" s="275"/>
      <c r="Q44" s="275"/>
      <c r="R44" s="275"/>
    </row>
    <row r="45" spans="2:18" ht="15" x14ac:dyDescent="0.2">
      <c r="D45" s="6"/>
      <c r="E45" s="6"/>
      <c r="F45" s="6"/>
      <c r="G45" s="6"/>
      <c r="I45"/>
      <c r="J45" s="277"/>
      <c r="K45" s="277"/>
      <c r="L45" s="277"/>
      <c r="M45" s="277"/>
      <c r="N45" s="275"/>
      <c r="O45" s="275"/>
      <c r="P45" s="275"/>
      <c r="Q45" s="275"/>
      <c r="R45" s="275"/>
    </row>
    <row r="46" spans="2:18" ht="15" x14ac:dyDescent="0.2">
      <c r="I46" s="276"/>
      <c r="J46"/>
      <c r="K46" s="276"/>
      <c r="L46" s="276"/>
      <c r="M46" s="276"/>
      <c r="N46" s="279"/>
      <c r="O46" s="279"/>
      <c r="P46" s="279"/>
      <c r="Q46" s="279"/>
      <c r="R46" s="279"/>
    </row>
    <row r="47" spans="2:18" ht="16" x14ac:dyDescent="0.2">
      <c r="B47" s="232" t="s">
        <v>158</v>
      </c>
      <c r="C47" s="232"/>
      <c r="D47" s="8"/>
      <c r="E47" s="8"/>
      <c r="F47" s="8"/>
      <c r="G47" s="8"/>
      <c r="I47" s="276"/>
      <c r="J47"/>
      <c r="K47" s="276"/>
      <c r="L47" s="276"/>
      <c r="M47" s="276"/>
      <c r="N47" s="279"/>
      <c r="O47" s="279"/>
      <c r="P47" s="279"/>
      <c r="Q47" s="279"/>
      <c r="R47" s="279"/>
    </row>
    <row r="48" spans="2:18" ht="15" x14ac:dyDescent="0.15">
      <c r="B48" s="230" t="s">
        <v>297</v>
      </c>
      <c r="C48" s="231"/>
      <c r="D48" s="231">
        <f>D11/C11-1</f>
        <v>0.11278806958065957</v>
      </c>
      <c r="E48" s="231">
        <f>E11/D11-1</f>
        <v>0.11314924260696246</v>
      </c>
      <c r="F48" s="231">
        <f>F11/E11-1</f>
        <v>8.4671526900989669E-2</v>
      </c>
      <c r="G48" s="231">
        <f>G11/F11-1</f>
        <v>5.8586794653337382E-2</v>
      </c>
    </row>
    <row r="49" spans="2:18" ht="15" x14ac:dyDescent="0.15">
      <c r="B49" s="230" t="s">
        <v>298</v>
      </c>
      <c r="C49" s="231">
        <f>(C13-SUM(C16:C18))/C13</f>
        <v>0.56999636759898287</v>
      </c>
      <c r="D49" s="231">
        <f>(D13-SUM(D16:D18))/D13</f>
        <v>0.55303383378881499</v>
      </c>
      <c r="E49" s="231">
        <f>(E13-SUM(E16:E18))/E13</f>
        <v>0.50514478882417635</v>
      </c>
      <c r="F49" s="231">
        <f>(F13-SUM(F16:F18))/F13</f>
        <v>0.49663524324551644</v>
      </c>
      <c r="G49" s="231">
        <f>(G13-SUM(G16:G18))/G13</f>
        <v>0.55162807327695373</v>
      </c>
    </row>
    <row r="50" spans="2:18" ht="15" x14ac:dyDescent="0.15">
      <c r="B50" s="230" t="s">
        <v>299</v>
      </c>
      <c r="C50" s="231">
        <f>C24/C13</f>
        <v>0.21623178754490041</v>
      </c>
      <c r="D50" s="231">
        <f>D24/D13</f>
        <v>0.21655021208455816</v>
      </c>
      <c r="E50" s="231">
        <f>E24/E13</f>
        <v>0.195097136806093</v>
      </c>
      <c r="F50" s="231">
        <f>F24/F13</f>
        <v>0.18252218952130406</v>
      </c>
      <c r="G50" s="231">
        <f>G24/G13</f>
        <v>0.20881434665308379</v>
      </c>
    </row>
    <row r="51" spans="2:18" ht="15" x14ac:dyDescent="0.15">
      <c r="B51" s="230" t="s">
        <v>300</v>
      </c>
      <c r="C51" s="231">
        <f>C28/C11</f>
        <v>0.1963262299713443</v>
      </c>
      <c r="D51" s="231">
        <f>D28/D11</f>
        <v>0.1980664851994175</v>
      </c>
      <c r="E51" s="231">
        <f>E28/E11</f>
        <v>0.17799698611167683</v>
      </c>
      <c r="F51" s="231">
        <f>F28/F11</f>
        <v>0.16477733127965888</v>
      </c>
      <c r="G51" s="231">
        <f>G28/G11</f>
        <v>0.19172026892525676</v>
      </c>
    </row>
    <row r="52" spans="2:18" ht="15" x14ac:dyDescent="0.15">
      <c r="B52" s="230" t="s">
        <v>301</v>
      </c>
      <c r="C52" s="231">
        <f>C44/C11</f>
        <v>0.15100496428138988</v>
      </c>
      <c r="D52" s="231">
        <f>D44/D11</f>
        <v>0.15603221436589529</v>
      </c>
      <c r="E52" s="231">
        <f>E44/E11</f>
        <v>0.14526860261475186</v>
      </c>
      <c r="F52" s="231">
        <f>F44/F11</f>
        <v>0.12785099395688029</v>
      </c>
      <c r="G52" s="231">
        <f>G44/G11</f>
        <v>-3.9766290132525854E-2</v>
      </c>
      <c r="I52" s="172"/>
      <c r="J52" s="172"/>
      <c r="K52" s="172"/>
      <c r="L52" s="172"/>
      <c r="M52" s="172"/>
      <c r="N52" s="172"/>
      <c r="O52" s="172"/>
      <c r="P52" s="172"/>
      <c r="Q52" s="172"/>
      <c r="R52" s="172"/>
    </row>
    <row r="53" spans="2:18" ht="15" x14ac:dyDescent="0.15">
      <c r="B53" s="230" t="s">
        <v>302</v>
      </c>
      <c r="C53" s="231"/>
      <c r="D53" s="231">
        <f>D44/AVERAGE('BS Input'!D43:E43)</f>
        <v>0.1177038306994261</v>
      </c>
      <c r="E53" s="231">
        <f>E44/AVERAGE('BS Input'!E43:F43)</f>
        <v>0.1172631775514123</v>
      </c>
      <c r="F53" s="231">
        <f>F44/AVERAGE('BS Input'!F43:G43)</f>
        <v>0.1012379868122902</v>
      </c>
      <c r="G53" s="231">
        <f>G44/AVERAGE('BS Input'!G43:H43)</f>
        <v>-3.1146286699193657E-2</v>
      </c>
    </row>
    <row r="54" spans="2:18" ht="15" x14ac:dyDescent="0.15">
      <c r="B54" s="230" t="s">
        <v>200</v>
      </c>
      <c r="C54" s="114">
        <f>C11/'BS Input'!D43</f>
        <v>0.66261906624385492</v>
      </c>
      <c r="D54" s="114">
        <f>D11/'BS Input'!E43</f>
        <v>0.77215983958349954</v>
      </c>
      <c r="E54" s="114">
        <f>E11/'BS Input'!F43</f>
        <v>0.76090581044076933</v>
      </c>
      <c r="F54" s="114">
        <f>F11/'BS Input'!G43</f>
        <v>0.76096605647139748</v>
      </c>
      <c r="G54" s="114">
        <f>G11/'BS Input'!H43</f>
        <v>0.76212120638693248</v>
      </c>
    </row>
    <row r="55" spans="2:18" ht="15" x14ac:dyDescent="0.15">
      <c r="B55" s="230" t="s">
        <v>303</v>
      </c>
      <c r="C55" s="114">
        <f>'BS Input'!D43/'BS Input'!D51</f>
        <v>1.8936855245899147</v>
      </c>
      <c r="D55" s="114">
        <f>'BS Input'!E43/'BS Input'!E51</f>
        <v>1.5131869179671362</v>
      </c>
      <c r="E55" s="114">
        <f>'BS Input'!F43/'BS Input'!F51</f>
        <v>1.3961714894430826</v>
      </c>
      <c r="F55" s="114">
        <f>'BS Input'!G43/'BS Input'!G51</f>
        <v>1.2685572155894171</v>
      </c>
      <c r="G55" s="114">
        <f>'BS Input'!H43/'BS Input'!H51</f>
        <v>1.4680943948400491</v>
      </c>
    </row>
    <row r="56" spans="2:18" ht="15" x14ac:dyDescent="0.15">
      <c r="B56" s="230" t="s">
        <v>204</v>
      </c>
      <c r="C56" s="231"/>
      <c r="D56" s="231">
        <f>D44/AVERAGE('BS Input'!D51:E51)</f>
        <v>0.1985111834280619</v>
      </c>
      <c r="E56" s="231">
        <f>E44/AVERAGE('BS Input'!E51:F51)</f>
        <v>0.16988849159531191</v>
      </c>
      <c r="F56" s="231">
        <f>F44/AVERAGE('BS Input'!F51:G51)</f>
        <v>0.13431552305784256</v>
      </c>
      <c r="G56" s="231">
        <f>G44/AVERAGE('BS Input'!G51:H51)</f>
        <v>-4.2477493861962277E-2</v>
      </c>
    </row>
    <row r="58" spans="2:18" x14ac:dyDescent="0.15">
      <c r="I58" s="4"/>
      <c r="J58" s="4"/>
      <c r="K58" s="4"/>
      <c r="L58" s="4"/>
      <c r="M58" s="4"/>
      <c r="N58" s="4"/>
      <c r="O58" s="4"/>
      <c r="P58" s="4"/>
      <c r="Q58" s="4"/>
      <c r="R58" s="4"/>
    </row>
    <row r="62" spans="2:18" x14ac:dyDescent="0.15">
      <c r="I62" s="4"/>
      <c r="J62" s="4"/>
      <c r="K62" s="4"/>
      <c r="L62" s="4"/>
      <c r="M62" s="4"/>
      <c r="N62" s="4"/>
      <c r="O62" s="4"/>
      <c r="P62" s="4"/>
      <c r="Q62" s="4"/>
      <c r="R62" s="4"/>
    </row>
  </sheetData>
  <mergeCells count="3">
    <mergeCell ref="B8:B9"/>
    <mergeCell ref="F6:G6"/>
    <mergeCell ref="B7:G7"/>
  </mergeCells>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FFFFCC"/>
  </sheetPr>
  <dimension ref="B6:S88"/>
  <sheetViews>
    <sheetView showGridLines="0" topLeftCell="A84" zoomScale="138" zoomScaleNormal="100" workbookViewId="0">
      <selection activeCell="C32" sqref="C32"/>
    </sheetView>
  </sheetViews>
  <sheetFormatPr baseColWidth="10" defaultColWidth="8.83203125" defaultRowHeight="14" x14ac:dyDescent="0.15"/>
  <cols>
    <col min="1" max="2" width="3.83203125" style="2" customWidth="1"/>
    <col min="3" max="3" width="33.5" style="2" bestFit="1" customWidth="1"/>
    <col min="4" max="7" width="13.1640625" style="2" bestFit="1" customWidth="1"/>
    <col min="8" max="8" width="13.5" style="2" customWidth="1"/>
    <col min="9" max="16384" width="8.83203125" style="2"/>
  </cols>
  <sheetData>
    <row r="6" spans="2:19" ht="14.5" customHeight="1" x14ac:dyDescent="0.15">
      <c r="C6" s="3"/>
      <c r="D6" s="3"/>
      <c r="G6" s="366" t="s">
        <v>76</v>
      </c>
      <c r="H6" s="366"/>
    </row>
    <row r="7" spans="2:19" ht="14.5" customHeight="1" x14ac:dyDescent="0.15">
      <c r="B7" s="369" t="s">
        <v>174</v>
      </c>
      <c r="C7" s="370"/>
      <c r="D7" s="370"/>
      <c r="E7" s="370"/>
      <c r="F7" s="370"/>
      <c r="G7" s="370"/>
      <c r="H7" s="370"/>
    </row>
    <row r="8" spans="2:19" x14ac:dyDescent="0.15">
      <c r="B8" s="360" t="s">
        <v>0</v>
      </c>
      <c r="C8" s="360"/>
      <c r="D8" s="234">
        <v>2020</v>
      </c>
      <c r="E8" s="234">
        <v>2021</v>
      </c>
      <c r="F8" s="234">
        <v>2022</v>
      </c>
      <c r="G8" s="234">
        <v>2023</v>
      </c>
      <c r="H8" s="234">
        <v>2024</v>
      </c>
    </row>
    <row r="9" spans="2:19" x14ac:dyDescent="0.15">
      <c r="B9" s="361"/>
      <c r="C9" s="361"/>
      <c r="D9" s="13" t="s">
        <v>2</v>
      </c>
      <c r="E9" s="13" t="s">
        <v>2</v>
      </c>
      <c r="F9" s="13" t="s">
        <v>2</v>
      </c>
      <c r="G9" s="13" t="s">
        <v>2</v>
      </c>
      <c r="H9" s="13" t="s">
        <v>2</v>
      </c>
    </row>
    <row r="10" spans="2:19" s="4" customFormat="1" x14ac:dyDescent="0.15">
      <c r="B10" s="367" t="s">
        <v>20</v>
      </c>
      <c r="C10" s="367"/>
      <c r="D10" s="116"/>
    </row>
    <row r="12" spans="2:19" s="4" customFormat="1" ht="16" x14ac:dyDescent="0.2">
      <c r="B12" s="4" t="s">
        <v>21</v>
      </c>
      <c r="J12" s="283"/>
      <c r="K12" s="283"/>
      <c r="L12" s="284"/>
      <c r="M12" s="284"/>
      <c r="N12" s="283"/>
      <c r="O12" s="285"/>
      <c r="P12" s="285"/>
      <c r="Q12" s="285"/>
      <c r="R12" s="285"/>
      <c r="S12" s="285"/>
    </row>
    <row r="13" spans="2:19" ht="16" x14ac:dyDescent="0.2">
      <c r="C13" s="2" t="s">
        <v>22</v>
      </c>
      <c r="D13" s="6">
        <v>1205.02</v>
      </c>
      <c r="E13" s="6">
        <v>1210.22</v>
      </c>
      <c r="F13" s="6">
        <v>1274.9100000000001</v>
      </c>
      <c r="G13" s="6">
        <v>1437.4</v>
      </c>
      <c r="H13" s="6">
        <v>1281.25</v>
      </c>
      <c r="J13" s="276"/>
      <c r="K13" s="276"/>
      <c r="L13" s="286"/>
      <c r="M13" s="286"/>
      <c r="N13" s="284"/>
      <c r="O13"/>
      <c r="P13"/>
      <c r="Q13"/>
      <c r="R13"/>
      <c r="S13"/>
    </row>
    <row r="14" spans="2:19" ht="16" x14ac:dyDescent="0.2">
      <c r="C14" s="2" t="s">
        <v>23</v>
      </c>
      <c r="D14" s="6">
        <v>55.67</v>
      </c>
      <c r="E14" s="6">
        <v>52.97</v>
      </c>
      <c r="F14" s="6">
        <v>114.75</v>
      </c>
      <c r="G14" s="6">
        <v>41.61</v>
      </c>
      <c r="H14" s="6">
        <v>88.73</v>
      </c>
      <c r="J14"/>
      <c r="K14" s="277"/>
      <c r="L14" s="286"/>
      <c r="M14" s="286"/>
      <c r="N14" s="286"/>
      <c r="O14" s="275"/>
      <c r="P14" s="275"/>
      <c r="Q14" s="275"/>
      <c r="R14" s="275"/>
      <c r="S14" s="275"/>
    </row>
    <row r="15" spans="2:19" ht="16" x14ac:dyDescent="0.2">
      <c r="C15" s="2" t="s">
        <v>258</v>
      </c>
      <c r="D15" s="6">
        <v>51.9</v>
      </c>
      <c r="E15" s="6">
        <v>91.13</v>
      </c>
      <c r="F15" s="6">
        <v>98.45</v>
      </c>
      <c r="G15" s="6">
        <v>96.67</v>
      </c>
      <c r="H15" s="6">
        <v>165.12</v>
      </c>
      <c r="J15"/>
      <c r="K15" s="277"/>
      <c r="L15" s="286"/>
      <c r="M15" s="286"/>
      <c r="N15" s="286"/>
      <c r="O15" s="275"/>
      <c r="P15" s="275"/>
      <c r="Q15" s="275"/>
      <c r="R15" s="275"/>
      <c r="S15" s="275"/>
    </row>
    <row r="16" spans="2:19" ht="16" x14ac:dyDescent="0.2">
      <c r="C16" s="2" t="s">
        <v>314</v>
      </c>
      <c r="D16" s="6">
        <v>5339.32</v>
      </c>
      <c r="E16" s="6">
        <v>5129.8500000000004</v>
      </c>
      <c r="F16" s="6">
        <v>5376.79</v>
      </c>
      <c r="G16" s="6">
        <v>5822.25</v>
      </c>
      <c r="H16" s="6">
        <v>5026.3900000000003</v>
      </c>
      <c r="J16"/>
      <c r="K16" s="277"/>
      <c r="L16" s="286"/>
      <c r="M16" s="286"/>
      <c r="N16" s="286"/>
      <c r="O16" s="275"/>
      <c r="P16" s="275"/>
      <c r="Q16" s="275"/>
      <c r="R16" s="275"/>
      <c r="S16" s="275"/>
    </row>
    <row r="17" spans="2:19" ht="16" x14ac:dyDescent="0.2">
      <c r="C17" s="2" t="s">
        <v>237</v>
      </c>
      <c r="D17" s="6">
        <v>2636.5299999999997</v>
      </c>
      <c r="E17" s="6">
        <v>2478.0300000000002</v>
      </c>
      <c r="F17" s="6">
        <v>2470.84</v>
      </c>
      <c r="G17" s="6">
        <v>2581.15</v>
      </c>
      <c r="H17" s="6">
        <v>3962.11</v>
      </c>
      <c r="J17"/>
      <c r="K17" s="277"/>
      <c r="L17" s="286"/>
      <c r="M17" s="286"/>
      <c r="N17" s="286"/>
      <c r="O17" s="275"/>
      <c r="P17" s="275"/>
      <c r="Q17" s="275"/>
      <c r="R17" s="275"/>
      <c r="S17" s="275"/>
    </row>
    <row r="18" spans="2:19" ht="16" x14ac:dyDescent="0.2">
      <c r="C18" s="2" t="s">
        <v>238</v>
      </c>
      <c r="D18" s="6">
        <v>34.799999999999997</v>
      </c>
      <c r="E18" s="6">
        <v>19.420000000000002</v>
      </c>
      <c r="F18" s="6">
        <v>0</v>
      </c>
      <c r="G18" s="6">
        <v>0</v>
      </c>
      <c r="H18" s="6">
        <v>0</v>
      </c>
      <c r="J18"/>
      <c r="K18" s="277"/>
      <c r="L18" s="286"/>
      <c r="M18" s="286"/>
      <c r="N18" s="286"/>
      <c r="O18" s="275"/>
      <c r="P18" s="275"/>
      <c r="Q18" s="275"/>
      <c r="R18" s="275"/>
      <c r="S18" s="275"/>
    </row>
    <row r="19" spans="2:19" ht="16" x14ac:dyDescent="0.2">
      <c r="C19" s="178" t="s">
        <v>239</v>
      </c>
      <c r="D19" s="6"/>
      <c r="E19" s="6"/>
      <c r="F19" s="6"/>
      <c r="G19" s="6"/>
      <c r="H19" s="6"/>
      <c r="J19"/>
      <c r="K19" s="277"/>
      <c r="L19" s="286"/>
      <c r="M19" s="286"/>
      <c r="N19" s="286"/>
      <c r="O19" s="275"/>
      <c r="P19" s="275"/>
      <c r="Q19" s="275"/>
      <c r="R19" s="275"/>
      <c r="S19" s="275"/>
    </row>
    <row r="20" spans="2:19" ht="16" x14ac:dyDescent="0.2">
      <c r="C20" s="179" t="s">
        <v>242</v>
      </c>
      <c r="D20" s="6">
        <v>0</v>
      </c>
      <c r="E20" s="6">
        <v>2.5099999999999998</v>
      </c>
      <c r="F20" s="6">
        <v>171.12</v>
      </c>
      <c r="G20" s="6">
        <v>839.33</v>
      </c>
      <c r="H20" s="6">
        <v>1787.48</v>
      </c>
      <c r="J20"/>
      <c r="K20" s="277"/>
      <c r="L20" s="287"/>
      <c r="M20" s="287"/>
      <c r="N20" s="286"/>
      <c r="O20" s="275"/>
      <c r="P20" s="275"/>
      <c r="Q20" s="275"/>
      <c r="R20" s="275"/>
      <c r="S20" s="275"/>
    </row>
    <row r="21" spans="2:19" ht="16" x14ac:dyDescent="0.2">
      <c r="C21" s="179" t="s">
        <v>319</v>
      </c>
      <c r="D21" s="6">
        <v>22.63</v>
      </c>
      <c r="E21" s="6">
        <v>21.78</v>
      </c>
      <c r="F21" s="6">
        <v>0.03</v>
      </c>
      <c r="G21" s="6">
        <v>0.03</v>
      </c>
      <c r="H21" s="6">
        <v>0.01</v>
      </c>
      <c r="J21"/>
      <c r="K21" s="277"/>
      <c r="L21" s="287"/>
      <c r="M21" s="287"/>
      <c r="N21" s="286"/>
      <c r="O21" s="275"/>
      <c r="P21" s="275"/>
      <c r="Q21" s="275"/>
      <c r="R21" s="275"/>
      <c r="S21" s="275"/>
    </row>
    <row r="22" spans="2:19" ht="16" x14ac:dyDescent="0.2">
      <c r="C22" s="179" t="s">
        <v>244</v>
      </c>
      <c r="D22" s="6">
        <v>36.630000000000003</v>
      </c>
      <c r="E22" s="6">
        <v>3.36</v>
      </c>
      <c r="F22" s="6">
        <v>25.09</v>
      </c>
      <c r="G22" s="6">
        <v>21.61</v>
      </c>
      <c r="H22" s="6">
        <v>24.93</v>
      </c>
      <c r="J22" s="280"/>
      <c r="K22"/>
      <c r="L22" s="287"/>
      <c r="M22" s="287"/>
      <c r="N22" s="286"/>
      <c r="O22" s="275"/>
      <c r="P22" s="275"/>
      <c r="Q22" s="275"/>
      <c r="R22" s="275"/>
      <c r="S22" s="275"/>
    </row>
    <row r="23" spans="2:19" ht="16" x14ac:dyDescent="0.2">
      <c r="C23" s="179" t="s">
        <v>320</v>
      </c>
      <c r="D23" s="6">
        <v>646.79</v>
      </c>
      <c r="E23" s="6">
        <v>676.79</v>
      </c>
      <c r="F23" s="6">
        <v>731.51</v>
      </c>
      <c r="G23" s="6">
        <v>702.75</v>
      </c>
      <c r="H23" s="6">
        <v>384.17</v>
      </c>
      <c r="J23"/>
      <c r="K23" s="288"/>
      <c r="L23" s="286"/>
      <c r="M23" s="286"/>
      <c r="N23" s="287"/>
      <c r="O23" s="275"/>
      <c r="P23" s="275"/>
      <c r="Q23" s="275"/>
      <c r="R23" s="275"/>
      <c r="S23" s="275"/>
    </row>
    <row r="24" spans="2:19" ht="16" x14ac:dyDescent="0.2">
      <c r="C24" s="2" t="s">
        <v>24</v>
      </c>
      <c r="D24" s="6">
        <v>45.21</v>
      </c>
      <c r="E24" s="6">
        <v>55.03</v>
      </c>
      <c r="F24" s="6">
        <v>93.67</v>
      </c>
      <c r="G24" s="6">
        <v>48.68</v>
      </c>
      <c r="H24" s="6">
        <v>121.59</v>
      </c>
      <c r="J24"/>
      <c r="K24" s="288"/>
      <c r="L24" s="286"/>
      <c r="M24" s="286"/>
      <c r="N24" s="286"/>
      <c r="O24" s="275"/>
      <c r="P24" s="275"/>
      <c r="Q24" s="275"/>
      <c r="R24" s="275"/>
      <c r="S24" s="275"/>
    </row>
    <row r="25" spans="2:19" ht="16" x14ac:dyDescent="0.2">
      <c r="C25" s="2" t="s">
        <v>342</v>
      </c>
      <c r="D25" s="6">
        <v>74.17</v>
      </c>
      <c r="E25" s="6">
        <v>69.319999999999993</v>
      </c>
      <c r="F25" s="6">
        <v>89.63</v>
      </c>
      <c r="G25" s="6">
        <v>101.32</v>
      </c>
      <c r="H25" s="6">
        <v>92.88</v>
      </c>
      <c r="J25"/>
      <c r="K25" s="288"/>
      <c r="L25" s="286"/>
      <c r="M25" s="286"/>
      <c r="N25" s="286"/>
      <c r="O25" s="275"/>
      <c r="P25" s="275"/>
      <c r="Q25" s="275"/>
      <c r="R25" s="275"/>
      <c r="S25" s="275"/>
    </row>
    <row r="26" spans="2:19" ht="16" x14ac:dyDescent="0.2">
      <c r="D26" s="6"/>
      <c r="E26" s="6"/>
      <c r="F26" s="6"/>
      <c r="G26" s="6"/>
      <c r="H26" s="6"/>
      <c r="J26"/>
      <c r="K26" s="288"/>
      <c r="L26" s="286"/>
      <c r="M26" s="286"/>
      <c r="N26" s="286"/>
      <c r="O26" s="275"/>
      <c r="P26" s="275"/>
      <c r="Q26" s="275"/>
      <c r="R26" s="275"/>
      <c r="S26" s="275"/>
    </row>
    <row r="27" spans="2:19" s="4" customFormat="1" ht="16" x14ac:dyDescent="0.2">
      <c r="B27" s="4" t="s">
        <v>240</v>
      </c>
      <c r="D27" s="180">
        <f t="shared" ref="D27:H27" si="0">SUM(D13:D18,D20:D25)</f>
        <v>10148.669999999996</v>
      </c>
      <c r="E27" s="180">
        <f t="shared" si="0"/>
        <v>9810.4100000000017</v>
      </c>
      <c r="F27" s="180">
        <f t="shared" si="0"/>
        <v>10446.790000000001</v>
      </c>
      <c r="G27" s="180">
        <f t="shared" si="0"/>
        <v>11692.800000000001</v>
      </c>
      <c r="H27" s="180">
        <f t="shared" si="0"/>
        <v>12934.66</v>
      </c>
      <c r="J27"/>
      <c r="K27" s="277"/>
      <c r="L27" s="286"/>
      <c r="M27" s="286"/>
      <c r="N27" s="286"/>
      <c r="O27" s="275"/>
      <c r="P27" s="275"/>
      <c r="Q27" s="275"/>
      <c r="R27" s="275"/>
      <c r="S27" s="275"/>
    </row>
    <row r="28" spans="2:19" ht="16" x14ac:dyDescent="0.2">
      <c r="E28" s="9"/>
      <c r="F28" s="9"/>
      <c r="G28" s="9"/>
      <c r="H28" s="9"/>
      <c r="J28"/>
      <c r="K28" s="277"/>
      <c r="L28" s="286"/>
      <c r="M28" s="286"/>
      <c r="N28" s="286"/>
      <c r="O28" s="275"/>
      <c r="P28" s="275"/>
      <c r="Q28" s="275"/>
      <c r="R28" s="275"/>
      <c r="S28" s="275"/>
    </row>
    <row r="29" spans="2:19" s="4" customFormat="1" ht="16" x14ac:dyDescent="0.2">
      <c r="B29" s="4" t="s">
        <v>26</v>
      </c>
      <c r="E29" s="8"/>
      <c r="F29" s="8"/>
      <c r="G29" s="8"/>
      <c r="H29" s="8"/>
      <c r="J29"/>
      <c r="K29" s="277"/>
      <c r="L29" s="286"/>
      <c r="M29" s="286"/>
      <c r="N29" s="286"/>
      <c r="O29" s="275"/>
      <c r="P29" s="275"/>
      <c r="Q29" s="275"/>
      <c r="R29" s="275"/>
      <c r="S29" s="275"/>
    </row>
    <row r="30" spans="2:19" ht="16" x14ac:dyDescent="0.2">
      <c r="C30" s="2" t="s">
        <v>27</v>
      </c>
      <c r="D30" s="6">
        <v>1703.12</v>
      </c>
      <c r="E30" s="6">
        <v>1716.25</v>
      </c>
      <c r="F30" s="6">
        <v>2129.85</v>
      </c>
      <c r="G30" s="6">
        <v>1537.15</v>
      </c>
      <c r="H30" s="6">
        <v>1270.92</v>
      </c>
      <c r="J30" s="276"/>
      <c r="K30"/>
      <c r="L30" s="286"/>
      <c r="M30" s="286"/>
      <c r="N30" s="286"/>
      <c r="O30" s="279"/>
      <c r="P30" s="279"/>
      <c r="Q30" s="279"/>
      <c r="R30" s="279"/>
      <c r="S30" s="279"/>
    </row>
    <row r="31" spans="2:19" ht="16" x14ac:dyDescent="0.2">
      <c r="C31" s="178" t="s">
        <v>239</v>
      </c>
      <c r="D31" s="6"/>
      <c r="E31" s="6"/>
      <c r="F31" s="6"/>
      <c r="G31" s="6"/>
      <c r="H31" s="6"/>
      <c r="J31" s="276"/>
      <c r="K31"/>
      <c r="L31" s="286"/>
      <c r="M31" s="286"/>
      <c r="N31" s="286"/>
      <c r="O31" s="275"/>
      <c r="P31" s="275"/>
      <c r="Q31" s="275"/>
      <c r="R31" s="275"/>
      <c r="S31" s="275"/>
    </row>
    <row r="32" spans="2:19" ht="16" x14ac:dyDescent="0.2">
      <c r="C32" s="2" t="s">
        <v>344</v>
      </c>
      <c r="D32" s="6">
        <v>637.17999999999995</v>
      </c>
      <c r="E32" s="6">
        <v>657.17</v>
      </c>
      <c r="F32" s="6">
        <v>844.31</v>
      </c>
      <c r="G32" s="6">
        <v>2189.65</v>
      </c>
      <c r="H32" s="6">
        <v>1716.19</v>
      </c>
      <c r="J32" s="276"/>
      <c r="K32"/>
      <c r="L32" s="286"/>
      <c r="M32" s="286"/>
      <c r="N32" s="286"/>
      <c r="O32" s="275"/>
      <c r="P32" s="275"/>
      <c r="Q32" s="275"/>
      <c r="R32" s="275"/>
      <c r="S32" s="275"/>
    </row>
    <row r="33" spans="2:19" ht="16" x14ac:dyDescent="0.2">
      <c r="C33" s="2" t="s">
        <v>245</v>
      </c>
      <c r="D33" s="6">
        <v>1157.25</v>
      </c>
      <c r="E33" s="6">
        <v>1004.5</v>
      </c>
      <c r="F33" s="6">
        <v>1116.32</v>
      </c>
      <c r="G33" s="6">
        <v>1245.28</v>
      </c>
      <c r="H33" s="6">
        <v>1535.37</v>
      </c>
      <c r="J33"/>
      <c r="K33" s="277"/>
      <c r="L33" s="284"/>
      <c r="M33" s="284"/>
      <c r="N33" s="284"/>
      <c r="O33" s="275"/>
      <c r="P33" s="275"/>
      <c r="Q33" s="275"/>
      <c r="R33" s="275"/>
      <c r="S33" s="275"/>
    </row>
    <row r="34" spans="2:19" ht="16" x14ac:dyDescent="0.2">
      <c r="C34" s="2" t="s">
        <v>246</v>
      </c>
      <c r="D34" s="6">
        <v>602.87</v>
      </c>
      <c r="E34" s="6">
        <v>524.13</v>
      </c>
      <c r="F34" s="6">
        <v>750.92</v>
      </c>
      <c r="G34" s="6">
        <v>357.62</v>
      </c>
      <c r="H34" s="6">
        <v>402.78</v>
      </c>
      <c r="J34" s="280"/>
      <c r="K34"/>
      <c r="L34" s="284"/>
      <c r="M34" s="284"/>
      <c r="N34" s="284"/>
      <c r="O34" s="289"/>
      <c r="P34" s="289"/>
      <c r="Q34" s="289"/>
      <c r="R34" s="289"/>
      <c r="S34" s="289"/>
    </row>
    <row r="35" spans="2:19" ht="16" x14ac:dyDescent="0.2">
      <c r="C35" s="2" t="s">
        <v>345</v>
      </c>
      <c r="D35" s="6">
        <v>167.29</v>
      </c>
      <c r="E35" s="6">
        <v>148.08000000000001</v>
      </c>
      <c r="F35" s="6">
        <v>356.85</v>
      </c>
      <c r="G35" s="6">
        <v>33.1</v>
      </c>
      <c r="H35" s="6">
        <v>144.16</v>
      </c>
      <c r="J35" s="280"/>
      <c r="K35"/>
      <c r="L35" s="284"/>
      <c r="M35" s="284"/>
      <c r="N35" s="284"/>
      <c r="O35" s="289"/>
      <c r="P35" s="289"/>
      <c r="Q35" s="289"/>
      <c r="R35" s="289"/>
      <c r="S35" s="289"/>
    </row>
    <row r="36" spans="2:19" ht="16" x14ac:dyDescent="0.2">
      <c r="C36" s="2" t="s">
        <v>243</v>
      </c>
      <c r="D36" s="6">
        <v>3.27</v>
      </c>
      <c r="E36" s="6">
        <v>4.6399999999999997</v>
      </c>
      <c r="F36" s="6">
        <v>0.05</v>
      </c>
      <c r="G36" s="6">
        <v>0.05</v>
      </c>
      <c r="H36" s="6">
        <v>0.01</v>
      </c>
      <c r="J36"/>
      <c r="K36" s="290"/>
      <c r="L36" s="284"/>
      <c r="M36" s="284"/>
      <c r="N36" s="284"/>
      <c r="O36" s="275"/>
      <c r="P36" s="275"/>
      <c r="Q36" s="275"/>
      <c r="R36" s="275"/>
      <c r="S36" s="275"/>
    </row>
    <row r="37" spans="2:19" ht="16" x14ac:dyDescent="0.2">
      <c r="C37" s="2" t="s">
        <v>247</v>
      </c>
      <c r="D37" s="6">
        <v>164.51</v>
      </c>
      <c r="E37" s="6">
        <v>70.64</v>
      </c>
      <c r="F37" s="6">
        <v>41.83</v>
      </c>
      <c r="G37" s="6">
        <v>42.31</v>
      </c>
      <c r="H37" s="6">
        <v>83.49</v>
      </c>
      <c r="J37"/>
      <c r="K37" s="290"/>
      <c r="L37" s="286"/>
      <c r="M37" s="286"/>
      <c r="N37" s="286"/>
      <c r="O37" s="275"/>
      <c r="P37" s="275"/>
      <c r="Q37" s="275"/>
      <c r="R37" s="275"/>
      <c r="S37" s="275"/>
    </row>
    <row r="38" spans="2:19" ht="16" x14ac:dyDescent="0.2">
      <c r="C38" s="2" t="s">
        <v>315</v>
      </c>
      <c r="D38" s="6">
        <v>372.85</v>
      </c>
      <c r="E38" s="6">
        <v>347</v>
      </c>
      <c r="F38" s="6">
        <v>447.14</v>
      </c>
      <c r="G38" s="6">
        <v>400.81</v>
      </c>
      <c r="H38" s="6">
        <v>400.57</v>
      </c>
      <c r="J38"/>
      <c r="K38" s="290"/>
      <c r="L38" s="287"/>
      <c r="M38" s="287"/>
      <c r="N38" s="287"/>
      <c r="O38" s="275"/>
      <c r="P38" s="275"/>
      <c r="Q38" s="275"/>
      <c r="R38" s="275"/>
      <c r="S38" s="275"/>
    </row>
    <row r="39" spans="2:19" ht="16" x14ac:dyDescent="0.2">
      <c r="C39" s="2" t="s">
        <v>343</v>
      </c>
      <c r="D39" s="6">
        <v>0</v>
      </c>
      <c r="E39" s="6">
        <v>0</v>
      </c>
      <c r="F39" s="6">
        <v>0</v>
      </c>
      <c r="G39" s="6">
        <v>0</v>
      </c>
      <c r="H39" s="6">
        <v>7.74</v>
      </c>
      <c r="J39"/>
      <c r="K39" s="290"/>
      <c r="L39" s="286"/>
      <c r="M39" s="286"/>
      <c r="N39" s="286"/>
      <c r="O39" s="275"/>
      <c r="P39" s="275"/>
      <c r="Q39" s="275"/>
      <c r="R39" s="275"/>
      <c r="S39" s="275"/>
    </row>
    <row r="40" spans="2:19" ht="16" x14ac:dyDescent="0.2">
      <c r="D40" s="6"/>
      <c r="E40" s="6"/>
      <c r="F40" s="6"/>
      <c r="G40" s="6"/>
      <c r="H40" s="6"/>
      <c r="J40"/>
      <c r="K40" s="290"/>
      <c r="L40" s="286"/>
      <c r="M40" s="286"/>
      <c r="N40" s="286"/>
      <c r="O40" s="275"/>
      <c r="P40" s="275"/>
      <c r="Q40" s="275"/>
      <c r="R40" s="275"/>
      <c r="S40" s="275"/>
    </row>
    <row r="41" spans="2:19" s="4" customFormat="1" ht="16" x14ac:dyDescent="0.2">
      <c r="B41" s="4" t="s">
        <v>227</v>
      </c>
      <c r="D41" s="180">
        <f t="shared" ref="D41:H41" si="1">SUM(D30,D32:D39)</f>
        <v>4808.3400000000011</v>
      </c>
      <c r="E41" s="180">
        <f t="shared" si="1"/>
        <v>4472.41</v>
      </c>
      <c r="F41" s="180">
        <f t="shared" si="1"/>
        <v>5687.27</v>
      </c>
      <c r="G41" s="180">
        <f t="shared" si="1"/>
        <v>5805.9700000000012</v>
      </c>
      <c r="H41" s="180">
        <f t="shared" si="1"/>
        <v>5561.2299999999987</v>
      </c>
      <c r="J41"/>
      <c r="K41" s="290"/>
      <c r="L41" s="286"/>
      <c r="M41" s="286"/>
      <c r="N41" s="286"/>
      <c r="O41" s="275"/>
      <c r="P41" s="275"/>
      <c r="Q41" s="275"/>
      <c r="R41" s="275"/>
      <c r="S41" s="275"/>
    </row>
    <row r="42" spans="2:19" ht="16" x14ac:dyDescent="0.2">
      <c r="D42" s="9"/>
      <c r="E42" s="9"/>
      <c r="F42" s="9"/>
      <c r="G42" s="9"/>
      <c r="H42" s="9"/>
      <c r="J42"/>
      <c r="K42" s="277"/>
      <c r="L42" s="286"/>
      <c r="M42" s="286"/>
      <c r="N42" s="286"/>
      <c r="O42" s="275"/>
      <c r="P42" s="275"/>
      <c r="Q42" s="275"/>
      <c r="R42" s="275"/>
      <c r="S42" s="275"/>
    </row>
    <row r="43" spans="2:19" s="4" customFormat="1" ht="16" x14ac:dyDescent="0.2">
      <c r="B43" s="368" t="s">
        <v>40</v>
      </c>
      <c r="C43" s="368"/>
      <c r="D43" s="11">
        <f>D27+D41</f>
        <v>14957.009999999998</v>
      </c>
      <c r="E43" s="11">
        <f>E27+E41</f>
        <v>14282.820000000002</v>
      </c>
      <c r="F43" s="11">
        <f>F27+F41</f>
        <v>16134.060000000001</v>
      </c>
      <c r="G43" s="11">
        <f>G27+G41</f>
        <v>17498.770000000004</v>
      </c>
      <c r="H43" s="11">
        <f>H27+H41</f>
        <v>18495.89</v>
      </c>
      <c r="J43"/>
      <c r="K43" s="277"/>
      <c r="L43" s="286"/>
      <c r="M43" s="286"/>
      <c r="N43" s="286"/>
      <c r="O43" s="275"/>
      <c r="P43" s="275"/>
      <c r="Q43" s="275"/>
      <c r="R43" s="275"/>
      <c r="S43" s="275"/>
    </row>
    <row r="44" spans="2:19" ht="16" x14ac:dyDescent="0.2">
      <c r="E44" s="9"/>
      <c r="F44" s="9"/>
      <c r="G44" s="9"/>
      <c r="H44" s="9"/>
      <c r="J44" s="276"/>
      <c r="K44"/>
      <c r="L44" s="286"/>
      <c r="M44" s="286"/>
      <c r="N44" s="286"/>
      <c r="O44" s="291"/>
      <c r="P44" s="291"/>
      <c r="Q44" s="291"/>
      <c r="R44" s="291"/>
      <c r="S44" s="291"/>
    </row>
    <row r="45" spans="2:19" ht="16" x14ac:dyDescent="0.2">
      <c r="B45" s="367" t="s">
        <v>30</v>
      </c>
      <c r="C45" s="367"/>
      <c r="D45" s="116"/>
      <c r="E45" s="9"/>
      <c r="F45" s="9"/>
      <c r="G45" s="9"/>
      <c r="H45" s="9"/>
      <c r="J45" s="276"/>
      <c r="K45"/>
      <c r="L45" s="286"/>
      <c r="M45" s="286"/>
      <c r="N45" s="286"/>
      <c r="O45" s="291"/>
      <c r="P45" s="291"/>
      <c r="Q45" s="291"/>
      <c r="R45" s="291"/>
      <c r="S45" s="291"/>
    </row>
    <row r="46" spans="2:19" ht="16" x14ac:dyDescent="0.2">
      <c r="B46" s="10"/>
      <c r="C46" s="10"/>
      <c r="D46" s="10"/>
      <c r="E46" s="9"/>
      <c r="F46" s="9"/>
      <c r="G46" s="9"/>
      <c r="H46" s="9"/>
      <c r="J46" s="276"/>
      <c r="K46"/>
      <c r="L46" s="286"/>
      <c r="M46" s="286"/>
      <c r="N46" s="286"/>
      <c r="O46" s="275"/>
      <c r="P46" s="275"/>
      <c r="Q46" s="275"/>
      <c r="R46" s="275"/>
      <c r="S46" s="275"/>
    </row>
    <row r="47" spans="2:19" ht="16" x14ac:dyDescent="0.2">
      <c r="B47" s="4" t="s">
        <v>31</v>
      </c>
      <c r="E47" s="9"/>
      <c r="F47" s="9"/>
      <c r="G47" s="9"/>
      <c r="H47" s="9"/>
      <c r="J47" s="276"/>
      <c r="K47"/>
      <c r="L47" s="286"/>
      <c r="M47" s="286"/>
      <c r="N47" s="286"/>
      <c r="O47" s="279"/>
      <c r="P47" s="279"/>
      <c r="Q47" s="279"/>
      <c r="R47" s="279"/>
      <c r="S47" s="279"/>
    </row>
    <row r="48" spans="2:19" ht="16" x14ac:dyDescent="0.2">
      <c r="C48" s="2" t="s">
        <v>32</v>
      </c>
      <c r="D48" s="6">
        <v>102.23</v>
      </c>
      <c r="E48" s="6">
        <v>102.25</v>
      </c>
      <c r="F48" s="6">
        <v>102.26</v>
      </c>
      <c r="G48" s="6">
        <v>102.27</v>
      </c>
      <c r="H48" s="6">
        <v>102.28</v>
      </c>
      <c r="J48"/>
      <c r="K48" s="277"/>
      <c r="L48" s="284"/>
      <c r="M48" s="284"/>
      <c r="N48" s="284"/>
      <c r="O48" s="278"/>
      <c r="P48" s="278"/>
      <c r="Q48" s="278"/>
      <c r="R48" s="278"/>
      <c r="S48" s="278"/>
    </row>
    <row r="49" spans="2:19" ht="16" x14ac:dyDescent="0.2">
      <c r="C49" s="2" t="s">
        <v>33</v>
      </c>
      <c r="D49" s="6">
        <v>7796.13</v>
      </c>
      <c r="E49" s="6">
        <v>9336.65</v>
      </c>
      <c r="F49" s="6">
        <v>11453.67</v>
      </c>
      <c r="G49" s="6">
        <v>13691.96</v>
      </c>
      <c r="H49" s="6">
        <v>12496.29</v>
      </c>
      <c r="J49"/>
      <c r="K49" s="277"/>
      <c r="L49" s="284"/>
      <c r="M49" s="284"/>
      <c r="N49" s="284"/>
      <c r="O49" s="278"/>
      <c r="P49" s="278"/>
      <c r="Q49" s="278"/>
      <c r="R49" s="278"/>
      <c r="S49" s="278"/>
    </row>
    <row r="50" spans="2:19" ht="16" x14ac:dyDescent="0.2">
      <c r="E50" s="6"/>
      <c r="F50" s="6"/>
      <c r="G50" s="6"/>
      <c r="H50" s="6"/>
      <c r="J50" s="292"/>
      <c r="K50"/>
      <c r="L50" s="286"/>
      <c r="M50" s="286"/>
      <c r="N50" s="286"/>
      <c r="O50" s="291"/>
      <c r="P50" s="291"/>
      <c r="Q50" s="291"/>
      <c r="R50" s="291"/>
      <c r="S50" s="291"/>
    </row>
    <row r="51" spans="2:19" s="4" customFormat="1" ht="16" x14ac:dyDescent="0.2">
      <c r="B51" s="4" t="s">
        <v>241</v>
      </c>
      <c r="D51" s="180">
        <f t="shared" ref="D51:H51" si="2">SUM(D48:D49)</f>
        <v>7898.36</v>
      </c>
      <c r="E51" s="180">
        <f t="shared" si="2"/>
        <v>9438.9</v>
      </c>
      <c r="F51" s="180">
        <f t="shared" si="2"/>
        <v>11555.93</v>
      </c>
      <c r="G51" s="180">
        <f t="shared" si="2"/>
        <v>13794.23</v>
      </c>
      <c r="H51" s="180">
        <f t="shared" si="2"/>
        <v>12598.570000000002</v>
      </c>
      <c r="J51" s="276"/>
      <c r="K51"/>
      <c r="L51" s="286"/>
      <c r="M51" s="286"/>
      <c r="N51" s="286"/>
      <c r="O51" s="289"/>
      <c r="P51" s="289"/>
      <c r="Q51" s="289"/>
      <c r="R51" s="289"/>
      <c r="S51" s="289"/>
    </row>
    <row r="52" spans="2:19" ht="16" x14ac:dyDescent="0.2">
      <c r="E52" s="9"/>
      <c r="F52" s="9"/>
      <c r="G52" s="9"/>
      <c r="H52" s="9"/>
      <c r="J52" s="280"/>
      <c r="K52"/>
      <c r="L52" s="286"/>
      <c r="M52" s="286"/>
      <c r="N52" s="286"/>
      <c r="O52"/>
      <c r="P52"/>
      <c r="Q52"/>
      <c r="R52"/>
      <c r="S52"/>
    </row>
    <row r="53" spans="2:19" s="4" customFormat="1" ht="16" x14ac:dyDescent="0.2">
      <c r="B53" s="4" t="s">
        <v>34</v>
      </c>
      <c r="E53" s="8"/>
      <c r="F53" s="8"/>
      <c r="G53" s="8"/>
      <c r="H53" s="8"/>
      <c r="J53"/>
      <c r="K53" s="290"/>
      <c r="L53" s="284"/>
      <c r="M53" s="284"/>
      <c r="N53" s="284"/>
      <c r="O53" s="275"/>
      <c r="P53" s="275"/>
      <c r="Q53" s="275"/>
      <c r="R53" s="275"/>
      <c r="S53" s="275"/>
    </row>
    <row r="54" spans="2:19" s="4" customFormat="1" ht="16" x14ac:dyDescent="0.2">
      <c r="C54" s="178" t="s">
        <v>248</v>
      </c>
      <c r="D54" s="178"/>
      <c r="E54" s="8"/>
      <c r="F54" s="8"/>
      <c r="G54" s="8"/>
      <c r="H54" s="8"/>
      <c r="J54"/>
      <c r="K54" s="290"/>
      <c r="L54" s="287"/>
      <c r="M54" s="287"/>
      <c r="N54" s="287"/>
      <c r="O54" s="275"/>
      <c r="P54" s="275"/>
      <c r="Q54" s="275"/>
      <c r="R54" s="275"/>
      <c r="S54" s="275"/>
    </row>
    <row r="55" spans="2:19" ht="16" x14ac:dyDescent="0.2">
      <c r="C55" s="2" t="s">
        <v>249</v>
      </c>
      <c r="D55" s="6">
        <v>2145.04</v>
      </c>
      <c r="E55" s="6">
        <v>480.11</v>
      </c>
      <c r="F55" s="6">
        <v>380.85</v>
      </c>
      <c r="G55" s="6">
        <v>189.12</v>
      </c>
      <c r="H55" s="6">
        <v>0</v>
      </c>
      <c r="J55"/>
      <c r="K55" s="290"/>
      <c r="L55" s="284"/>
      <c r="M55" s="284"/>
      <c r="N55" s="284"/>
      <c r="O55" s="275"/>
      <c r="P55" s="275"/>
      <c r="Q55" s="275"/>
      <c r="R55" s="275"/>
      <c r="S55" s="275"/>
    </row>
    <row r="56" spans="2:19" ht="16" x14ac:dyDescent="0.2">
      <c r="C56" s="2" t="s">
        <v>250</v>
      </c>
      <c r="D56" s="6">
        <v>34.19</v>
      </c>
      <c r="E56" s="6">
        <v>67.489999999999995</v>
      </c>
      <c r="F56" s="6">
        <v>64.44</v>
      </c>
      <c r="G56" s="6">
        <v>57.61</v>
      </c>
      <c r="H56" s="6">
        <v>35.83</v>
      </c>
      <c r="J56" s="277"/>
      <c r="K56"/>
      <c r="L56" s="287"/>
      <c r="M56" s="287"/>
      <c r="N56" s="287"/>
      <c r="O56" s="275"/>
      <c r="P56" s="275"/>
      <c r="Q56" s="275"/>
      <c r="R56" s="275"/>
      <c r="S56" s="275"/>
    </row>
    <row r="57" spans="2:19" ht="16" x14ac:dyDescent="0.2">
      <c r="C57" s="2" t="s">
        <v>251</v>
      </c>
      <c r="D57" s="6">
        <v>131.97999999999999</v>
      </c>
      <c r="E57" s="6">
        <v>0</v>
      </c>
      <c r="F57" s="6">
        <v>0</v>
      </c>
      <c r="G57" s="6">
        <v>0</v>
      </c>
      <c r="H57" s="6">
        <v>0</v>
      </c>
      <c r="J57" s="277"/>
      <c r="K57"/>
      <c r="L57" s="286"/>
      <c r="M57" s="286"/>
      <c r="N57" s="286"/>
      <c r="O57" s="275"/>
      <c r="P57" s="275"/>
      <c r="Q57" s="275"/>
      <c r="R57" s="275"/>
      <c r="S57" s="275"/>
    </row>
    <row r="58" spans="2:19" ht="16" x14ac:dyDescent="0.2">
      <c r="C58" s="2" t="s">
        <v>36</v>
      </c>
      <c r="D58" s="6">
        <v>116.98</v>
      </c>
      <c r="E58" s="6">
        <v>114.72</v>
      </c>
      <c r="F58" s="6">
        <v>107</v>
      </c>
      <c r="G58" s="6">
        <v>103.42</v>
      </c>
      <c r="H58" s="6">
        <v>166.63</v>
      </c>
      <c r="J58" s="277"/>
      <c r="K58"/>
      <c r="L58" s="286"/>
      <c r="M58" s="286"/>
      <c r="N58" s="286"/>
      <c r="O58" s="275"/>
      <c r="P58" s="275"/>
      <c r="Q58" s="275"/>
      <c r="R58" s="275"/>
      <c r="S58" s="275"/>
    </row>
    <row r="59" spans="2:19" ht="16" x14ac:dyDescent="0.2">
      <c r="C59" s="2" t="s">
        <v>316</v>
      </c>
      <c r="D59" s="6">
        <v>76.73</v>
      </c>
      <c r="E59" s="6">
        <v>39.03</v>
      </c>
      <c r="F59" s="6">
        <v>51.94</v>
      </c>
      <c r="G59" s="6">
        <v>61.51</v>
      </c>
      <c r="H59" s="6">
        <v>103.81</v>
      </c>
      <c r="J59" s="276"/>
      <c r="K59"/>
      <c r="L59" s="286"/>
      <c r="M59" s="286"/>
      <c r="N59" s="286"/>
      <c r="O59" s="291"/>
      <c r="P59" s="291"/>
      <c r="Q59" s="291"/>
      <c r="R59" s="291"/>
      <c r="S59" s="291"/>
    </row>
    <row r="60" spans="2:19" ht="16" x14ac:dyDescent="0.2">
      <c r="C60" s="2" t="s">
        <v>39</v>
      </c>
      <c r="D60" s="6">
        <v>7.17</v>
      </c>
      <c r="E60" s="6">
        <v>6.88</v>
      </c>
      <c r="F60" s="6">
        <v>2.29</v>
      </c>
      <c r="G60" s="6">
        <v>1.57</v>
      </c>
      <c r="H60" s="6">
        <v>0.71</v>
      </c>
      <c r="J60" s="276"/>
      <c r="K60"/>
      <c r="L60" s="286"/>
      <c r="M60" s="286"/>
      <c r="N60" s="286"/>
      <c r="O60" s="289"/>
      <c r="P60" s="289"/>
      <c r="Q60" s="289"/>
      <c r="R60" s="289"/>
      <c r="S60" s="289"/>
    </row>
    <row r="61" spans="2:19" ht="16" x14ac:dyDescent="0.2">
      <c r="E61" s="6"/>
      <c r="F61" s="6"/>
      <c r="G61" s="6"/>
      <c r="H61" s="6"/>
      <c r="J61" s="280"/>
      <c r="K61"/>
      <c r="L61" s="286"/>
      <c r="M61" s="286"/>
      <c r="N61" s="286"/>
      <c r="O61" s="275"/>
      <c r="P61" s="275"/>
      <c r="Q61" s="275"/>
      <c r="R61" s="275"/>
      <c r="S61" s="275"/>
    </row>
    <row r="62" spans="2:19" s="4" customFormat="1" ht="16" x14ac:dyDescent="0.2">
      <c r="B62" s="4" t="s">
        <v>253</v>
      </c>
      <c r="D62" s="180">
        <f>SUM(D55:D60)</f>
        <v>2512.09</v>
      </c>
      <c r="E62" s="180">
        <f>SUM(E55:E60)</f>
        <v>708.23</v>
      </c>
      <c r="F62" s="180">
        <f>SUM(F55:F60)</f>
        <v>606.52</v>
      </c>
      <c r="G62" s="180">
        <f>SUM(G55:G60)</f>
        <v>413.23</v>
      </c>
      <c r="H62" s="180">
        <f>SUM(H55:H60)</f>
        <v>306.97999999999996</v>
      </c>
      <c r="J62"/>
      <c r="K62" s="277"/>
      <c r="L62" s="286"/>
      <c r="M62" s="286"/>
      <c r="N62" s="286"/>
      <c r="O62" s="275"/>
      <c r="P62" s="275"/>
      <c r="Q62" s="275"/>
      <c r="R62" s="275"/>
      <c r="S62" s="275"/>
    </row>
    <row r="63" spans="2:19" ht="16" x14ac:dyDescent="0.2">
      <c r="E63" s="9"/>
      <c r="F63" s="9"/>
      <c r="G63" s="9"/>
      <c r="H63" s="9"/>
      <c r="J63"/>
      <c r="K63" s="277"/>
      <c r="L63" s="284"/>
      <c r="M63" s="284"/>
      <c r="N63" s="284"/>
      <c r="O63" s="275"/>
      <c r="P63" s="275"/>
      <c r="Q63" s="275"/>
      <c r="R63" s="275"/>
      <c r="S63" s="275"/>
    </row>
    <row r="64" spans="2:19" s="4" customFormat="1" ht="16" x14ac:dyDescent="0.2">
      <c r="B64" s="4" t="s">
        <v>41</v>
      </c>
      <c r="E64" s="8"/>
      <c r="F64" s="8"/>
      <c r="G64" s="8"/>
      <c r="H64" s="8"/>
      <c r="J64"/>
      <c r="K64" s="277"/>
      <c r="L64" s="284"/>
      <c r="M64" s="284"/>
      <c r="N64" s="284"/>
      <c r="O64" s="275"/>
      <c r="P64" s="275"/>
      <c r="Q64" s="275"/>
      <c r="R64" s="275"/>
      <c r="S64" s="275"/>
    </row>
    <row r="65" spans="2:19" s="4" customFormat="1" ht="16" x14ac:dyDescent="0.2">
      <c r="C65" s="178" t="s">
        <v>248</v>
      </c>
      <c r="D65" s="178"/>
      <c r="E65" s="8"/>
      <c r="F65" s="8"/>
      <c r="G65" s="8"/>
      <c r="H65" s="8"/>
      <c r="J65" s="277"/>
      <c r="K65"/>
      <c r="L65" s="287"/>
      <c r="M65" s="287"/>
      <c r="N65" s="287"/>
      <c r="O65" s="275"/>
      <c r="P65" s="275"/>
      <c r="Q65" s="275"/>
      <c r="R65" s="275"/>
      <c r="S65" s="275"/>
    </row>
    <row r="66" spans="2:19" ht="16" x14ac:dyDescent="0.2">
      <c r="C66" s="2" t="s">
        <v>249</v>
      </c>
      <c r="D66" s="6">
        <v>518.70000000000005</v>
      </c>
      <c r="E66" s="6">
        <v>279.41000000000003</v>
      </c>
      <c r="F66" s="6">
        <v>1226.81</v>
      </c>
      <c r="G66" s="6">
        <v>844.84</v>
      </c>
      <c r="H66" s="6">
        <v>3154.64</v>
      </c>
      <c r="J66" s="277"/>
      <c r="K66"/>
      <c r="L66" s="286"/>
      <c r="M66" s="286"/>
      <c r="N66" s="286"/>
      <c r="O66" s="275"/>
      <c r="P66" s="275"/>
      <c r="Q66" s="275"/>
      <c r="R66" s="275"/>
      <c r="S66" s="275"/>
    </row>
    <row r="67" spans="2:19" ht="16" x14ac:dyDescent="0.2">
      <c r="C67" s="2" t="s">
        <v>256</v>
      </c>
      <c r="D67" s="6">
        <v>22.43</v>
      </c>
      <c r="E67" s="6">
        <v>28.16</v>
      </c>
      <c r="F67" s="6">
        <v>32.24</v>
      </c>
      <c r="G67" s="6">
        <v>38.01</v>
      </c>
      <c r="H67" s="6">
        <v>31.73</v>
      </c>
      <c r="J67" s="277"/>
      <c r="K67"/>
      <c r="L67" s="286"/>
      <c r="M67" s="286"/>
      <c r="N67" s="286"/>
      <c r="O67" s="275"/>
      <c r="P67" s="275"/>
      <c r="Q67" s="275"/>
      <c r="R67" s="275"/>
      <c r="S67" s="275"/>
    </row>
    <row r="68" spans="2:19" ht="16" x14ac:dyDescent="0.2">
      <c r="C68" s="2" t="s">
        <v>252</v>
      </c>
      <c r="D68" s="6">
        <v>2480.4900000000002</v>
      </c>
      <c r="E68" s="6">
        <v>2159.6400000000003</v>
      </c>
      <c r="F68" s="6">
        <v>2163.06</v>
      </c>
      <c r="G68" s="6">
        <v>1823.17</v>
      </c>
      <c r="H68" s="6">
        <v>1675.48</v>
      </c>
      <c r="J68" s="277"/>
      <c r="K68"/>
      <c r="L68" s="286"/>
      <c r="M68" s="286"/>
      <c r="N68" s="286"/>
      <c r="O68" s="275"/>
      <c r="P68" s="275"/>
      <c r="Q68" s="275"/>
      <c r="R68" s="275"/>
      <c r="S68" s="275"/>
    </row>
    <row r="69" spans="2:19" ht="16" x14ac:dyDescent="0.2">
      <c r="C69" s="2" t="s">
        <v>255</v>
      </c>
      <c r="D69" s="6">
        <v>1336.04</v>
      </c>
      <c r="E69" s="6">
        <v>1462.23</v>
      </c>
      <c r="F69" s="6">
        <v>227.23</v>
      </c>
      <c r="G69" s="6">
        <v>266.39</v>
      </c>
      <c r="H69" s="6">
        <v>344.02</v>
      </c>
      <c r="J69" s="276"/>
      <c r="K69"/>
      <c r="L69" s="286"/>
      <c r="M69" s="286"/>
      <c r="N69" s="286"/>
      <c r="O69" s="291"/>
      <c r="P69" s="291"/>
      <c r="Q69" s="291"/>
      <c r="R69" s="291"/>
      <c r="S69" s="291"/>
    </row>
    <row r="70" spans="2:19" ht="16" x14ac:dyDescent="0.2">
      <c r="C70" s="2" t="s">
        <v>318</v>
      </c>
      <c r="D70" s="6">
        <v>84.71</v>
      </c>
      <c r="E70" s="6">
        <v>80.55</v>
      </c>
      <c r="F70" s="6">
        <v>223.84</v>
      </c>
      <c r="G70" s="6">
        <v>229.03</v>
      </c>
      <c r="H70" s="6">
        <v>235.04</v>
      </c>
      <c r="J70" s="276"/>
      <c r="K70"/>
      <c r="L70" s="286"/>
      <c r="M70" s="286"/>
      <c r="N70" s="286"/>
      <c r="O70" s="291"/>
      <c r="P70" s="291"/>
      <c r="Q70" s="291"/>
      <c r="R70" s="291"/>
      <c r="S70" s="291"/>
    </row>
    <row r="71" spans="2:19" ht="16" x14ac:dyDescent="0.2">
      <c r="C71" s="2" t="s">
        <v>36</v>
      </c>
      <c r="D71" s="6">
        <v>55.96</v>
      </c>
      <c r="E71" s="6">
        <v>72.400000000000006</v>
      </c>
      <c r="F71" s="6">
        <v>76.209999999999994</v>
      </c>
      <c r="G71" s="6">
        <v>75.16</v>
      </c>
      <c r="H71" s="6">
        <v>90.97</v>
      </c>
      <c r="J71" s="276"/>
      <c r="K71"/>
      <c r="L71" s="286"/>
      <c r="M71" s="286"/>
      <c r="N71" s="286"/>
      <c r="O71" s="291"/>
      <c r="P71" s="291"/>
      <c r="Q71" s="291"/>
      <c r="R71" s="291"/>
      <c r="S71" s="291"/>
    </row>
    <row r="72" spans="2:19" x14ac:dyDescent="0.15">
      <c r="C72" s="2" t="s">
        <v>317</v>
      </c>
      <c r="D72" s="6">
        <v>48.23</v>
      </c>
      <c r="E72" s="6">
        <v>53.3</v>
      </c>
      <c r="F72" s="6">
        <v>22.22</v>
      </c>
      <c r="G72" s="6">
        <v>14.71</v>
      </c>
      <c r="H72" s="6">
        <v>58.46</v>
      </c>
    </row>
    <row r="73" spans="2:19" x14ac:dyDescent="0.15">
      <c r="E73" s="6"/>
      <c r="F73" s="6"/>
      <c r="G73" s="6"/>
      <c r="H73" s="6"/>
    </row>
    <row r="74" spans="2:19" s="4" customFormat="1" x14ac:dyDescent="0.15">
      <c r="B74" s="4" t="s">
        <v>254</v>
      </c>
      <c r="D74" s="180">
        <f>SUM(D66:D73)</f>
        <v>4546.5599999999995</v>
      </c>
      <c r="E74" s="180">
        <f>SUM(E66:E73)</f>
        <v>4135.6900000000005</v>
      </c>
      <c r="F74" s="180">
        <f t="shared" ref="F74:H74" si="3">SUM(F66:F73)</f>
        <v>3971.6099999999997</v>
      </c>
      <c r="G74" s="180">
        <f t="shared" si="3"/>
        <v>3291.31</v>
      </c>
      <c r="H74" s="180">
        <f t="shared" si="3"/>
        <v>5590.3400000000011</v>
      </c>
    </row>
    <row r="75" spans="2:19" x14ac:dyDescent="0.15">
      <c r="D75" s="9"/>
      <c r="E75" s="9"/>
      <c r="F75" s="9"/>
      <c r="G75" s="9"/>
      <c r="H75" s="9"/>
    </row>
    <row r="76" spans="2:19" s="4" customFormat="1" x14ac:dyDescent="0.15">
      <c r="B76" s="368" t="s">
        <v>40</v>
      </c>
      <c r="C76" s="368"/>
      <c r="D76" s="11">
        <f>D74+D62+D51</f>
        <v>14957.009999999998</v>
      </c>
      <c r="E76" s="11">
        <f>E74+E62+E51</f>
        <v>14282.82</v>
      </c>
      <c r="F76" s="11">
        <f>F74+F62+F51</f>
        <v>16134.06</v>
      </c>
      <c r="G76" s="11">
        <f>G74+G62+G51</f>
        <v>17498.77</v>
      </c>
      <c r="H76" s="11">
        <f>H74+H62+H51</f>
        <v>18495.890000000003</v>
      </c>
    </row>
    <row r="77" spans="2:19" x14ac:dyDescent="0.15">
      <c r="D77" s="45">
        <f>D76-D43</f>
        <v>0</v>
      </c>
      <c r="E77" s="45">
        <f>E76-E43</f>
        <v>0</v>
      </c>
      <c r="F77" s="45">
        <f>F76-F43</f>
        <v>0</v>
      </c>
      <c r="G77" s="45">
        <f>G76-G43</f>
        <v>0</v>
      </c>
      <c r="H77" s="45">
        <f>H76-H43</f>
        <v>0</v>
      </c>
    </row>
    <row r="79" spans="2:19" x14ac:dyDescent="0.15">
      <c r="C79" s="75" t="s">
        <v>158</v>
      </c>
      <c r="D79" s="75"/>
      <c r="E79" s="75"/>
      <c r="F79" s="75"/>
      <c r="G79" s="75"/>
      <c r="H79" s="75"/>
    </row>
    <row r="80" spans="2:19" x14ac:dyDescent="0.15">
      <c r="C80" s="43" t="s">
        <v>159</v>
      </c>
      <c r="D80" s="43"/>
      <c r="E80" s="34"/>
      <c r="F80" s="34"/>
      <c r="G80" s="34"/>
      <c r="H80" s="34"/>
    </row>
    <row r="81" spans="3:8" x14ac:dyDescent="0.15">
      <c r="C81" s="34" t="s">
        <v>160</v>
      </c>
      <c r="D81" s="114"/>
      <c r="E81" s="114">
        <f>E41/E74</f>
        <v>1.081418094683112</v>
      </c>
      <c r="F81" s="114">
        <f>F41/F74</f>
        <v>1.431980985041331</v>
      </c>
      <c r="G81" s="114">
        <f>G41/G74</f>
        <v>1.7640301278214454</v>
      </c>
      <c r="H81" s="114">
        <f>H41/H74</f>
        <v>0.99479280329997777</v>
      </c>
    </row>
    <row r="82" spans="3:8" x14ac:dyDescent="0.15">
      <c r="C82" s="34" t="s">
        <v>161</v>
      </c>
      <c r="D82" s="114">
        <f>(D41-D30)/D74</f>
        <v>0.6829822987049553</v>
      </c>
      <c r="E82" s="114">
        <f>(E41-E30)/E74</f>
        <v>0.66643292896711304</v>
      </c>
      <c r="F82" s="114">
        <f>(F41-F30)/F74</f>
        <v>0.89571231817827046</v>
      </c>
      <c r="G82" s="114">
        <f>(G41-G30)/G74</f>
        <v>1.2969972442583657</v>
      </c>
      <c r="H82" s="114">
        <f>(H41-H30)/H74</f>
        <v>0.7674506380649474</v>
      </c>
    </row>
    <row r="83" spans="3:8" x14ac:dyDescent="0.15">
      <c r="C83" s="34" t="s">
        <v>346</v>
      </c>
      <c r="D83" s="114">
        <f>(D34+D35)/D74</f>
        <v>0.1693940033783784</v>
      </c>
      <c r="E83" s="114">
        <f t="shared" ref="E83:H83" si="4">(E34+E35)/E74</f>
        <v>0.16253877829334404</v>
      </c>
      <c r="F83" s="114">
        <f t="shared" si="4"/>
        <v>0.2789221499593364</v>
      </c>
      <c r="G83" s="114">
        <f t="shared" si="4"/>
        <v>0.11871260987266469</v>
      </c>
      <c r="H83" s="114">
        <f t="shared" si="4"/>
        <v>9.7836625321536766E-2</v>
      </c>
    </row>
    <row r="84" spans="3:8" x14ac:dyDescent="0.15">
      <c r="C84" s="43" t="s">
        <v>162</v>
      </c>
      <c r="D84" s="34"/>
      <c r="E84" s="34"/>
      <c r="F84" s="34"/>
      <c r="G84" s="34"/>
      <c r="H84" s="34"/>
    </row>
    <row r="85" spans="3:8" x14ac:dyDescent="0.15">
      <c r="C85" s="34" t="s">
        <v>163</v>
      </c>
      <c r="D85" s="114">
        <f>(D55+D66)/D76</f>
        <v>0.17809308143806818</v>
      </c>
      <c r="E85" s="114">
        <f t="shared" ref="E85:H85" si="5">(E55+E66)/E76</f>
        <v>5.3177173695390684E-2</v>
      </c>
      <c r="F85" s="114">
        <f t="shared" si="5"/>
        <v>9.9643859016267447E-2</v>
      </c>
      <c r="G85" s="114">
        <f t="shared" si="5"/>
        <v>5.9087581584305639E-2</v>
      </c>
      <c r="H85" s="114">
        <f t="shared" si="5"/>
        <v>0.1705589728312614</v>
      </c>
    </row>
    <row r="86" spans="3:8" x14ac:dyDescent="0.15">
      <c r="C86" s="34" t="s">
        <v>164</v>
      </c>
      <c r="D86" s="114">
        <f>(D55+D66)/D51</f>
        <v>0.33725229034888254</v>
      </c>
      <c r="E86" s="114">
        <f t="shared" ref="E86:H86" si="6">(E55+E66)/E51</f>
        <v>8.0467003570331291E-2</v>
      </c>
      <c r="F86" s="114">
        <f t="shared" si="6"/>
        <v>0.13911991505659863</v>
      </c>
      <c r="G86" s="114">
        <f t="shared" si="6"/>
        <v>7.4955977970499271E-2</v>
      </c>
      <c r="H86" s="114">
        <f t="shared" si="6"/>
        <v>0.25039667200325111</v>
      </c>
    </row>
    <row r="87" spans="3:8" x14ac:dyDescent="0.15">
      <c r="C87" s="34" t="s">
        <v>165</v>
      </c>
      <c r="D87" s="114">
        <f>'P&amp;L Input'!C28/'P&amp;L Input'!C32</f>
        <v>8.94968032749183</v>
      </c>
      <c r="E87" s="114">
        <f>'P&amp;L Input'!D28/'P&amp;L Input'!D32</f>
        <v>17.250256653241728</v>
      </c>
      <c r="F87" s="114">
        <f>'P&amp;L Input'!E28/'P&amp;L Input'!E32</f>
        <v>19.836419753086428</v>
      </c>
      <c r="G87" s="114">
        <f>'P&amp;L Input'!F28/'P&amp;L Input'!F32</f>
        <v>12.485319221577324</v>
      </c>
      <c r="H87" s="114">
        <f>'P&amp;L Input'!G28/'P&amp;L Input'!G32</f>
        <v>9.1187029726355604</v>
      </c>
    </row>
    <row r="88" spans="3:8" x14ac:dyDescent="0.15">
      <c r="C88" s="34" t="s">
        <v>166</v>
      </c>
      <c r="D88" s="36">
        <f>'P&amp;L Input'!C24/('P&amp;L Input'!C32+'BS Input'!D55+D66)</f>
        <v>0.74381063117158053</v>
      </c>
      <c r="E88" s="36">
        <f>'P&amp;L Input'!D24/('P&amp;L Input'!D32+'BS Input'!E55+E66)</f>
        <v>2.6950854821418493</v>
      </c>
      <c r="F88" s="36">
        <f>'P&amp;L Input'!E24/('P&amp;L Input'!E32+'BS Input'!F55+F66)</f>
        <v>1.3942729738855064</v>
      </c>
      <c r="G88" s="36">
        <f>'P&amp;L Input'!F24/('P&amp;L Input'!F32+'BS Input'!G55+G66)</f>
        <v>2.0091427626684295</v>
      </c>
      <c r="H88" s="36">
        <f>'P&amp;L Input'!G24/('P&amp;L Input'!G32+'BS Input'!H55+H66)</f>
        <v>0.85293001179364925</v>
      </c>
    </row>
  </sheetData>
  <mergeCells count="7">
    <mergeCell ref="G6:H6"/>
    <mergeCell ref="B8:C9"/>
    <mergeCell ref="B10:C10"/>
    <mergeCell ref="B43:C43"/>
    <mergeCell ref="B76:C76"/>
    <mergeCell ref="B45:C45"/>
    <mergeCell ref="B7:H7"/>
  </mergeCells>
  <pageMargins left="0.7" right="0.7" top="0.75" bottom="0.75" header="0.3" footer="0.3"/>
  <pageSetup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theme="9" tint="0.39997558519241921"/>
  </sheetPr>
  <dimension ref="B6:I98"/>
  <sheetViews>
    <sheetView showGridLines="0" topLeftCell="A105" zoomScale="92" workbookViewId="0">
      <selection activeCell="K37" sqref="K37"/>
    </sheetView>
  </sheetViews>
  <sheetFormatPr baseColWidth="10" defaultColWidth="22.1640625" defaultRowHeight="14" x14ac:dyDescent="0.15"/>
  <cols>
    <col min="1" max="1" width="5.83203125" style="2" customWidth="1"/>
    <col min="2" max="2" width="2.5" style="2" customWidth="1"/>
    <col min="3" max="3" width="31.5" style="2" customWidth="1"/>
    <col min="4" max="4" width="9" style="2" bestFit="1" customWidth="1"/>
    <col min="5" max="5" width="9" style="2" customWidth="1"/>
    <col min="6" max="8" width="11.33203125" style="2" bestFit="1" customWidth="1"/>
    <col min="9" max="16384" width="22.1640625" style="2"/>
  </cols>
  <sheetData>
    <row r="6" spans="2:8" x14ac:dyDescent="0.15">
      <c r="C6" s="3"/>
      <c r="D6" s="3"/>
      <c r="G6" s="362"/>
      <c r="H6" s="362"/>
    </row>
    <row r="7" spans="2:8" x14ac:dyDescent="0.15">
      <c r="B7" s="372" t="s">
        <v>175</v>
      </c>
      <c r="C7" s="373"/>
      <c r="D7" s="373"/>
      <c r="E7" s="373"/>
      <c r="F7" s="373"/>
      <c r="G7" s="373"/>
      <c r="H7" s="374"/>
    </row>
    <row r="8" spans="2:8" ht="14.5" customHeight="1" x14ac:dyDescent="0.15">
      <c r="B8" s="360" t="s">
        <v>0</v>
      </c>
      <c r="C8" s="360"/>
      <c r="D8" s="234">
        <v>2020</v>
      </c>
      <c r="E8" s="234">
        <v>2021</v>
      </c>
      <c r="F8" s="234">
        <v>2022</v>
      </c>
      <c r="G8" s="234">
        <v>2023</v>
      </c>
      <c r="H8" s="234">
        <v>2024</v>
      </c>
    </row>
    <row r="9" spans="2:8" x14ac:dyDescent="0.15">
      <c r="B9" s="361"/>
      <c r="C9" s="361"/>
      <c r="D9" s="13" t="s">
        <v>2</v>
      </c>
      <c r="E9" s="13" t="s">
        <v>2</v>
      </c>
      <c r="F9" s="13" t="s">
        <v>2</v>
      </c>
      <c r="G9" s="13" t="s">
        <v>2</v>
      </c>
      <c r="H9" s="13" t="s">
        <v>2</v>
      </c>
    </row>
    <row r="10" spans="2:8" x14ac:dyDescent="0.15">
      <c r="C10" s="24"/>
      <c r="D10" s="24"/>
      <c r="E10" s="25"/>
      <c r="F10" s="25"/>
      <c r="G10" s="25"/>
      <c r="H10" s="25"/>
    </row>
    <row r="11" spans="2:8" ht="15" x14ac:dyDescent="0.15">
      <c r="C11" s="1" t="s">
        <v>6</v>
      </c>
      <c r="D11" s="22">
        <f>'P&amp;L Input'!C11/'P&amp;L Input'!C$11</f>
        <v>1</v>
      </c>
      <c r="E11" s="22">
        <f>'P&amp;L Input'!D11/'P&amp;L Input'!D$11</f>
        <v>1</v>
      </c>
      <c r="F11" s="22">
        <f>'P&amp;L Input'!E11/'P&amp;L Input'!E$11</f>
        <v>1</v>
      </c>
      <c r="G11" s="22">
        <f>'P&amp;L Input'!F11/'P&amp;L Input'!F$11</f>
        <v>1</v>
      </c>
      <c r="H11" s="22">
        <f>'P&amp;L Input'!G11/'P&amp;L Input'!G$11</f>
        <v>1</v>
      </c>
    </row>
    <row r="12" spans="2:8" x14ac:dyDescent="0.15">
      <c r="C12" s="1"/>
      <c r="D12" s="9"/>
      <c r="E12" s="9"/>
      <c r="F12" s="9"/>
      <c r="G12" s="9"/>
      <c r="H12" s="9"/>
    </row>
    <row r="13" spans="2:8" ht="14.5" customHeight="1" x14ac:dyDescent="0.15">
      <c r="B13" s="371" t="s">
        <v>9</v>
      </c>
      <c r="C13" s="371"/>
      <c r="D13" s="23">
        <f>'P&amp;L Input'!C13/'P&amp;L Input'!C$11</f>
        <v>1</v>
      </c>
      <c r="E13" s="23">
        <f>'P&amp;L Input'!D13/'P&amp;L Input'!D$11</f>
        <v>1</v>
      </c>
      <c r="F13" s="23">
        <f>'P&amp;L Input'!E13/'P&amp;L Input'!E$11</f>
        <v>1</v>
      </c>
      <c r="G13" s="23">
        <f>'P&amp;L Input'!F13/'P&amp;L Input'!F$11</f>
        <v>1</v>
      </c>
      <c r="H13" s="23">
        <f>'P&amp;L Input'!G13/'P&amp;L Input'!G$11</f>
        <v>1</v>
      </c>
    </row>
    <row r="14" spans="2:8" x14ac:dyDescent="0.15">
      <c r="C14" s="1"/>
      <c r="D14" s="9"/>
      <c r="E14" s="9"/>
      <c r="F14" s="9"/>
      <c r="G14" s="9"/>
      <c r="H14" s="9"/>
    </row>
    <row r="15" spans="2:8" ht="15" x14ac:dyDescent="0.15">
      <c r="C15" s="7" t="s">
        <v>8</v>
      </c>
      <c r="D15" s="8"/>
      <c r="E15" s="8"/>
      <c r="F15" s="8"/>
      <c r="G15" s="8"/>
      <c r="H15" s="8"/>
    </row>
    <row r="16" spans="2:8" ht="15" x14ac:dyDescent="0.15">
      <c r="C16" s="1" t="str">
        <f>'P&amp;L Input'!B16</f>
        <v>Cost of materials consumed</v>
      </c>
      <c r="D16" s="22">
        <f>'P&amp;L Input'!C16/'P&amp;L Input'!C$11</f>
        <v>0.41588469144771362</v>
      </c>
      <c r="E16" s="22">
        <f>'P&amp;L Input'!D16/'P&amp;L Input'!D$11</f>
        <v>0.41770955931023102</v>
      </c>
      <c r="F16" s="22">
        <f>'P&amp;L Input'!E16/'P&amp;L Input'!E$11</f>
        <v>0.47106097014621429</v>
      </c>
      <c r="G16" s="22">
        <f>'P&amp;L Input'!F16/'P&amp;L Input'!F$11</f>
        <v>0.46445508663657248</v>
      </c>
      <c r="H16" s="22">
        <f>'P&amp;L Input'!G16/'P&amp;L Input'!G$11</f>
        <v>0.40279836068248615</v>
      </c>
    </row>
    <row r="17" spans="2:8" ht="15" x14ac:dyDescent="0.15">
      <c r="C17" s="1" t="str">
        <f>'P&amp;L Input'!B17</f>
        <v>Purchase of Stock-in-trade</v>
      </c>
      <c r="D17" s="22">
        <f>'P&amp;L Input'!C17/'P&amp;L Input'!C$11</f>
        <v>3.1589780845138637E-2</v>
      </c>
      <c r="E17" s="22">
        <f>'P&amp;L Input'!D17/'P&amp;L Input'!D$11</f>
        <v>3.3096615895733102E-2</v>
      </c>
      <c r="F17" s="22">
        <f>'P&amp;L Input'!E17/'P&amp;L Input'!E$11</f>
        <v>2.8807070419093389E-2</v>
      </c>
      <c r="G17" s="22">
        <f>'P&amp;L Input'!F17/'P&amp;L Input'!F$11</f>
        <v>2.29183454153171E-2</v>
      </c>
      <c r="H17" s="22">
        <f>'P&amp;L Input'!G17/'P&amp;L Input'!G$11</f>
        <v>4.6505028692312982E-2</v>
      </c>
    </row>
    <row r="18" spans="2:8" ht="15" x14ac:dyDescent="0.15">
      <c r="C18" s="1" t="s">
        <v>45</v>
      </c>
      <c r="D18" s="22">
        <f>'P&amp;L Input'!C18/'P&amp;L Input'!C$11</f>
        <v>-1.747083989183517E-2</v>
      </c>
      <c r="E18" s="22">
        <f>'P&amp;L Input'!D18/'P&amp;L Input'!D$11</f>
        <v>-3.8400089947790384E-3</v>
      </c>
      <c r="F18" s="22">
        <f>'P&amp;L Input'!E18/'P&amp;L Input'!E$11</f>
        <v>-5.0128293894839736E-3</v>
      </c>
      <c r="G18" s="22">
        <f>'P&amp;L Input'!F18/'P&amp;L Input'!F$11</f>
        <v>1.5991324702593953E-2</v>
      </c>
      <c r="H18" s="22">
        <f>'P&amp;L Input'!G18/'P&amp;L Input'!G$11</f>
        <v>-9.3146265175285945E-4</v>
      </c>
    </row>
    <row r="19" spans="2:8" ht="15" x14ac:dyDescent="0.15">
      <c r="C19" s="1" t="s">
        <v>10</v>
      </c>
      <c r="D19" s="22">
        <f>'P&amp;L Input'!C19/'P&amp;L Input'!C$11</f>
        <v>0.10279896678371071</v>
      </c>
      <c r="E19" s="22">
        <f>'P&amp;L Input'!D19/'P&amp;L Input'!D$11</f>
        <v>0.10185680529386268</v>
      </c>
      <c r="F19" s="22">
        <f>'P&amp;L Input'!E19/'P&amp;L Input'!E$11</f>
        <v>8.9939314951329785E-2</v>
      </c>
      <c r="G19" s="22">
        <f>'P&amp;L Input'!F19/'P&amp;L Input'!F$11</f>
        <v>8.3469698414760624E-2</v>
      </c>
      <c r="H19" s="22">
        <f>'P&amp;L Input'!G19/'P&amp;L Input'!G$11</f>
        <v>8.8630125616216096E-2</v>
      </c>
    </row>
    <row r="20" spans="2:8" ht="15" x14ac:dyDescent="0.15">
      <c r="C20" s="1" t="s">
        <v>13</v>
      </c>
      <c r="D20" s="22">
        <f>'P&amp;L Input'!C20/'P&amp;L Input'!C$11</f>
        <v>0.25096561327037176</v>
      </c>
      <c r="E20" s="22">
        <f>'P&amp;L Input'!D20/'P&amp;L Input'!D$11</f>
        <v>0.23462681641039404</v>
      </c>
      <c r="F20" s="22">
        <f>'P&amp;L Input'!E20/'P&amp;L Input'!E$11</f>
        <v>0.22010833706675353</v>
      </c>
      <c r="G20" s="22">
        <f>'P&amp;L Input'!F20/'P&amp;L Input'!F$11</f>
        <v>0.23064335530945174</v>
      </c>
      <c r="H20" s="22">
        <f>'P&amp;L Input'!G20/'P&amp;L Input'!G$11</f>
        <v>0.25418360100765386</v>
      </c>
    </row>
    <row r="21" spans="2:8" x14ac:dyDescent="0.15">
      <c r="C21" s="1"/>
      <c r="D21" s="9"/>
      <c r="E21" s="9"/>
      <c r="F21" s="9"/>
      <c r="G21" s="9"/>
      <c r="H21" s="9"/>
    </row>
    <row r="22" spans="2:8" ht="14.5" customHeight="1" x14ac:dyDescent="0.15">
      <c r="B22" s="371" t="s">
        <v>14</v>
      </c>
      <c r="C22" s="371"/>
      <c r="D22" s="23">
        <f>'P&amp;L Input'!C22/'P&amp;L Input'!C$11</f>
        <v>0.78376821245509964</v>
      </c>
      <c r="E22" s="23">
        <f>'P&amp;L Input'!D22/'P&amp;L Input'!D$11</f>
        <v>0.78344978791544184</v>
      </c>
      <c r="F22" s="23">
        <f>'P&amp;L Input'!E22/'P&amp;L Input'!E$11</f>
        <v>0.80490286319390703</v>
      </c>
      <c r="G22" s="23">
        <f>'P&amp;L Input'!F22/'P&amp;L Input'!F$11</f>
        <v>0.81747781047869594</v>
      </c>
      <c r="H22" s="23">
        <f>'P&amp;L Input'!G22/'P&amp;L Input'!G$11</f>
        <v>0.79118565334691615</v>
      </c>
    </row>
    <row r="23" spans="2:8" x14ac:dyDescent="0.15">
      <c r="C23" s="1"/>
      <c r="D23" s="9"/>
      <c r="E23" s="9"/>
      <c r="F23" s="9"/>
      <c r="G23" s="9"/>
      <c r="H23" s="9"/>
    </row>
    <row r="24" spans="2:8" ht="15" x14ac:dyDescent="0.15">
      <c r="C24" s="7" t="s">
        <v>15</v>
      </c>
      <c r="D24" s="22">
        <f>'P&amp;L Input'!C24/'P&amp;L Input'!C$11</f>
        <v>0.21623178754490041</v>
      </c>
      <c r="E24" s="22">
        <f>'P&amp;L Input'!D24/'P&amp;L Input'!D$11</f>
        <v>0.21655021208455816</v>
      </c>
      <c r="F24" s="22">
        <f>'P&amp;L Input'!E24/'P&amp;L Input'!E$11</f>
        <v>0.195097136806093</v>
      </c>
      <c r="G24" s="22">
        <f>'P&amp;L Input'!F24/'P&amp;L Input'!F$11</f>
        <v>0.18252218952130406</v>
      </c>
      <c r="H24" s="22">
        <f>'P&amp;L Input'!G24/'P&amp;L Input'!G$11</f>
        <v>0.20881434665308379</v>
      </c>
    </row>
    <row r="25" spans="2:8" ht="15" x14ac:dyDescent="0.15">
      <c r="C25" s="1" t="s">
        <v>12</v>
      </c>
      <c r="D25" s="22">
        <f>'P&amp;L Input'!C26/'P&amp;L Input'!C$11</f>
        <v>1.9905557573556124E-2</v>
      </c>
      <c r="E25" s="22">
        <f>'P&amp;L Input'!D26/'P&amp;L Input'!D$11</f>
        <v>1.8483726885140661E-2</v>
      </c>
      <c r="F25" s="22">
        <f>'P&amp;L Input'!E26/'P&amp;L Input'!E$11</f>
        <v>1.7100150694416161E-2</v>
      </c>
      <c r="G25" s="22">
        <f>'P&amp;L Input'!F26/'P&amp;L Input'!F$11</f>
        <v>1.7744858241645182E-2</v>
      </c>
      <c r="H25" s="22">
        <f>'P&amp;L Input'!G26/'P&amp;L Input'!G$11</f>
        <v>1.7094077727827037E-2</v>
      </c>
    </row>
    <row r="26" spans="2:8" ht="15" x14ac:dyDescent="0.15">
      <c r="C26" s="7" t="s">
        <v>16</v>
      </c>
      <c r="D26" s="22">
        <f>'P&amp;L Input'!C28/'P&amp;L Input'!C$11</f>
        <v>0.1963262299713443</v>
      </c>
      <c r="E26" s="22">
        <f>'P&amp;L Input'!D28/'P&amp;L Input'!D$11</f>
        <v>0.1980664851994175</v>
      </c>
      <c r="F26" s="22">
        <f>'P&amp;L Input'!E28/'P&amp;L Input'!E$11</f>
        <v>0.17799698611167683</v>
      </c>
      <c r="G26" s="22">
        <f>'P&amp;L Input'!F28/'P&amp;L Input'!F$11</f>
        <v>0.16477733127965888</v>
      </c>
      <c r="H26" s="22">
        <f>'P&amp;L Input'!G28/'P&amp;L Input'!G$11</f>
        <v>0.19172026892525676</v>
      </c>
    </row>
    <row r="27" spans="2:8" ht="15" x14ac:dyDescent="0.15">
      <c r="C27" s="1" t="s">
        <v>7</v>
      </c>
      <c r="D27" s="22">
        <f>'P&amp;L Input'!C30/'P&amp;L Input'!C$11</f>
        <v>1.1331073172700488E-2</v>
      </c>
      <c r="E27" s="22">
        <f>'P&amp;L Input'!D30/'P&amp;L Input'!D$11</f>
        <v>6.081449900350179E-3</v>
      </c>
      <c r="F27" s="22">
        <f>'P&amp;L Input'!E30/'P&amp;L Input'!E$11</f>
        <v>7.3074573371889381E-3</v>
      </c>
      <c r="G27" s="22">
        <f>'P&amp;L Input'!F30/'P&amp;L Input'!F$11</f>
        <v>1.2647219842039295E-2</v>
      </c>
      <c r="H27" s="22">
        <f>'P&amp;L Input'!G30/'P&amp;L Input'!G$11</f>
        <v>1.9079731926042006E-2</v>
      </c>
    </row>
    <row r="28" spans="2:8" ht="15" x14ac:dyDescent="0.15">
      <c r="C28" s="1" t="s">
        <v>11</v>
      </c>
      <c r="D28" s="22">
        <f>'P&amp;L Input'!C32/'P&amp;L Input'!C$11</f>
        <v>2.193667514226904E-2</v>
      </c>
      <c r="E28" s="22">
        <f>'P&amp;L Input'!D32/'P&amp;L Input'!D$11</f>
        <v>1.1481944250504595E-2</v>
      </c>
      <c r="F28" s="22">
        <f>'P&amp;L Input'!E32/'P&amp;L Input'!E$11</f>
        <v>8.9732415590762834E-3</v>
      </c>
      <c r="G28" s="22">
        <f>'P&amp;L Input'!F32/'P&amp;L Input'!F$11</f>
        <v>1.3197686687488783E-2</v>
      </c>
      <c r="H28" s="22">
        <f>'P&amp;L Input'!G32/'P&amp;L Input'!G$11</f>
        <v>2.1024949436404795E-2</v>
      </c>
    </row>
    <row r="29" spans="2:8" s="132" customFormat="1" ht="30" x14ac:dyDescent="0.2">
      <c r="C29" s="182" t="str">
        <f>'P&amp;L Input'!B34</f>
        <v>Profit before exceptional items, share of associate's profits &amp; tax</v>
      </c>
      <c r="D29" s="183">
        <f>'P&amp;L Input'!C34/'P&amp;L Input'!C$11</f>
        <v>0.18572062800177572</v>
      </c>
      <c r="E29" s="183">
        <f>'P&amp;L Input'!D34/'P&amp;L Input'!D$11</f>
        <v>0.19266599084926309</v>
      </c>
      <c r="F29" s="183">
        <f>'P&amp;L Input'!E34/'P&amp;L Input'!E$11</f>
        <v>0.17633120188978951</v>
      </c>
      <c r="G29" s="183">
        <f>'P&amp;L Input'!F34/'P&amp;L Input'!F$11</f>
        <v>0.16422686443420939</v>
      </c>
      <c r="H29" s="183">
        <f>'P&amp;L Input'!G34/'P&amp;L Input'!G$11</f>
        <v>0.18977505141489395</v>
      </c>
    </row>
    <row r="30" spans="2:8" ht="15" x14ac:dyDescent="0.15">
      <c r="C30" s="1" t="str">
        <f>'P&amp;L Input'!B36</f>
        <v>Share of associate's profits</v>
      </c>
      <c r="D30" s="22">
        <f>'P&amp;L Input'!C36/'P&amp;L Input'!C$11</f>
        <v>8.1729022884126414E-5</v>
      </c>
      <c r="E30" s="22">
        <f>'P&amp;L Input'!D36/'P&amp;L Input'!D$11</f>
        <v>-9.0673175791712825E-7</v>
      </c>
      <c r="F30" s="22">
        <f>'P&amp;L Input'!E36/'P&amp;L Input'!E$11</f>
        <v>2.2807803527063904E-5</v>
      </c>
      <c r="G30" s="22">
        <f>'P&amp;L Input'!F36/'P&amp;L Input'!F$11</f>
        <v>0</v>
      </c>
      <c r="H30" s="22">
        <f>'P&amp;L Input'!G36/'P&amp;L Input'!G$11</f>
        <v>0</v>
      </c>
    </row>
    <row r="31" spans="2:8" ht="15" x14ac:dyDescent="0.15">
      <c r="C31" s="1" t="str">
        <f>'P&amp;L Input'!B38</f>
        <v>Exceptional items</v>
      </c>
      <c r="D31" s="22">
        <f>'P&amp;L Input'!C38/'P&amp;L Input'!C$11</f>
        <v>-8.1779472898252416E-3</v>
      </c>
      <c r="E31" s="22">
        <f>'P&amp;L Input'!D38/'P&amp;L Input'!D$11</f>
        <v>-4.0322361274574697E-3</v>
      </c>
      <c r="F31" s="22">
        <f>'P&amp;L Input'!E38/'P&amp;L Input'!E$11</f>
        <v>-7.942003013888323E-4</v>
      </c>
      <c r="G31" s="22">
        <f>'P&amp;L Input'!F38/'P&amp;L Input'!F$11</f>
        <v>-4.0635417472403438E-3</v>
      </c>
      <c r="H31" s="22">
        <f>'P&amp;L Input'!G38/'P&amp;L Input'!G$11</f>
        <v>-0.17571230644482769</v>
      </c>
    </row>
    <row r="32" spans="2:8" ht="15" x14ac:dyDescent="0.15">
      <c r="C32" s="7" t="s">
        <v>17</v>
      </c>
      <c r="D32" s="22">
        <f>'P&amp;L Input'!C40/'P&amp;L Input'!C$11</f>
        <v>0.17762440973483462</v>
      </c>
      <c r="E32" s="22">
        <f>'P&amp;L Input'!D40/'P&amp;L Input'!D$11</f>
        <v>0.1886328479900477</v>
      </c>
      <c r="F32" s="22">
        <f>'P&amp;L Input'!E40/'P&amp;L Input'!E$11</f>
        <v>0.17555980939192775</v>
      </c>
      <c r="G32" s="22">
        <f>'P&amp;L Input'!F40/'P&amp;L Input'!F$11</f>
        <v>0.16016332268696903</v>
      </c>
      <c r="H32" s="22">
        <f>'P&amp;L Input'!G40/'P&amp;L Input'!G$11</f>
        <v>1.4062744970066274E-2</v>
      </c>
    </row>
    <row r="33" spans="2:9" ht="15" x14ac:dyDescent="0.15">
      <c r="C33" s="1" t="s">
        <v>18</v>
      </c>
      <c r="D33" s="22">
        <f>'P&amp;L Input'!C42/'P&amp;L Input'!C$11</f>
        <v>2.6619445453444735E-2</v>
      </c>
      <c r="E33" s="22">
        <f>'P&amp;L Input'!D42/'P&amp;L Input'!D$11</f>
        <v>3.2600633624152428E-2</v>
      </c>
      <c r="F33" s="22">
        <f>'P&amp;L Input'!E42/'P&amp;L Input'!E$11</f>
        <v>3.0291206777175905E-2</v>
      </c>
      <c r="G33" s="22">
        <f>'P&amp;L Input'!F42/'P&amp;L Input'!F$11</f>
        <v>3.2312328730088762E-2</v>
      </c>
      <c r="H33" s="22">
        <f>'P&amp;L Input'!G42/'P&amp;L Input'!G$11</f>
        <v>5.3829035102592127E-2</v>
      </c>
    </row>
    <row r="34" spans="2:9" ht="14.5" customHeight="1" x14ac:dyDescent="0.15">
      <c r="B34" s="371" t="s">
        <v>19</v>
      </c>
      <c r="C34" s="371"/>
      <c r="D34" s="23">
        <f>'P&amp;L Input'!C44/'P&amp;L Input'!C$11</f>
        <v>0.15100496428138988</v>
      </c>
      <c r="E34" s="23">
        <f>'P&amp;L Input'!D44/'P&amp;L Input'!D$11</f>
        <v>0.15603221436589529</v>
      </c>
      <c r="F34" s="23">
        <f>'P&amp;L Input'!E44/'P&amp;L Input'!E$11</f>
        <v>0.14526860261475186</v>
      </c>
      <c r="G34" s="23">
        <f>'P&amp;L Input'!F44/'P&amp;L Input'!F$11</f>
        <v>0.12785099395688029</v>
      </c>
      <c r="H34" s="23">
        <f>'P&amp;L Input'!G44/'P&amp;L Input'!G$11</f>
        <v>-3.9766290132525854E-2</v>
      </c>
    </row>
    <row r="35" spans="2:9" ht="14.5" customHeight="1" x14ac:dyDescent="0.15">
      <c r="B35" s="170"/>
      <c r="C35" s="170"/>
      <c r="D35" s="181"/>
      <c r="E35" s="181"/>
      <c r="F35" s="181"/>
      <c r="G35" s="181"/>
      <c r="H35" s="181"/>
    </row>
    <row r="36" spans="2:9" ht="14.5" customHeight="1" x14ac:dyDescent="0.15">
      <c r="B36" s="170"/>
      <c r="C36" s="170"/>
      <c r="D36" s="181"/>
      <c r="E36" s="181"/>
      <c r="F36" s="181"/>
      <c r="G36" s="181"/>
      <c r="H36" s="181"/>
    </row>
    <row r="38" spans="2:9" x14ac:dyDescent="0.15">
      <c r="B38" s="367" t="s">
        <v>20</v>
      </c>
      <c r="C38" s="367"/>
      <c r="D38" s="4"/>
      <c r="E38" s="4"/>
      <c r="F38" s="4"/>
      <c r="G38" s="4"/>
      <c r="H38" s="4"/>
    </row>
    <row r="40" spans="2:9" x14ac:dyDescent="0.15">
      <c r="B40" s="4" t="s">
        <v>21</v>
      </c>
      <c r="C40" s="4"/>
      <c r="D40" s="4"/>
      <c r="E40" s="4"/>
      <c r="F40" s="4"/>
      <c r="G40" s="4"/>
      <c r="H40" s="4"/>
    </row>
    <row r="41" spans="2:9" x14ac:dyDescent="0.15">
      <c r="C41" s="2" t="s">
        <v>22</v>
      </c>
      <c r="D41" s="22">
        <f>'BS Input'!D13/'BS Input'!D$43</f>
        <v>8.0565567583360587E-2</v>
      </c>
      <c r="E41" s="22">
        <f>'BS Input'!E13/'BS Input'!E$43</f>
        <v>8.4732566818037328E-2</v>
      </c>
      <c r="F41" s="22">
        <f>'BS Input'!F13/'BS Input'!F$43</f>
        <v>7.9019787951699699E-2</v>
      </c>
      <c r="G41" s="22">
        <f>'BS Input'!G13/'BS Input'!G$43</f>
        <v>8.2142916330690652E-2</v>
      </c>
      <c r="H41" s="22">
        <f>'BS Input'!H13/'BS Input'!H$43</f>
        <v>6.9272146406580054E-2</v>
      </c>
    </row>
    <row r="42" spans="2:9" x14ac:dyDescent="0.15">
      <c r="C42" s="2" t="s">
        <v>23</v>
      </c>
      <c r="D42" s="22">
        <f>'BS Input'!D14/'BS Input'!D$43</f>
        <v>3.7220005870157208E-3</v>
      </c>
      <c r="E42" s="22">
        <f>'BS Input'!E14/'BS Input'!E$43</f>
        <v>3.7086513727681222E-3</v>
      </c>
      <c r="F42" s="22">
        <f>'BS Input'!F14/'BS Input'!F$43</f>
        <v>7.1122829591559709E-3</v>
      </c>
      <c r="G42" s="22">
        <f>'BS Input'!G14/'BS Input'!G$43</f>
        <v>2.3778814168081523E-3</v>
      </c>
      <c r="H42" s="22">
        <f>'BS Input'!H14/'BS Input'!H$43</f>
        <v>4.7972819907557843E-3</v>
      </c>
    </row>
    <row r="43" spans="2:9" x14ac:dyDescent="0.15">
      <c r="C43" s="2" t="s">
        <v>258</v>
      </c>
      <c r="D43" s="22">
        <f>'BS Input'!D15/'BS Input'!D$43</f>
        <v>3.4699448619744189E-3</v>
      </c>
      <c r="E43" s="22">
        <f>'BS Input'!E15/'BS Input'!E$43</f>
        <v>6.3803926675544452E-3</v>
      </c>
      <c r="F43" s="22">
        <f>'BS Input'!F15/'BS Input'!F$43</f>
        <v>6.1019978852192187E-3</v>
      </c>
      <c r="G43" s="22">
        <f>'BS Input'!G15/'BS Input'!G$43</f>
        <v>5.5243882855766421E-3</v>
      </c>
      <c r="H43" s="22">
        <f>'BS Input'!H15/'BS Input'!H$43</f>
        <v>8.927388733388877E-3</v>
      </c>
    </row>
    <row r="44" spans="2:9" x14ac:dyDescent="0.15">
      <c r="C44" s="2" t="s">
        <v>314</v>
      </c>
      <c r="D44" s="22">
        <f>'BS Input'!D16/'BS Input'!D$43</f>
        <v>0.35697776494098754</v>
      </c>
      <c r="E44" s="22">
        <f>'BS Input'!E16/'BS Input'!E$43</f>
        <v>0.35916226627514736</v>
      </c>
      <c r="F44" s="22">
        <f>'BS Input'!F16/'BS Input'!F$43</f>
        <v>0.33325709709769269</v>
      </c>
      <c r="G44" s="22">
        <f>'BS Input'!G16/'BS Input'!G$43</f>
        <v>0.33272338570082349</v>
      </c>
      <c r="H44" s="22">
        <f>'BS Input'!H16/'BS Input'!H$43</f>
        <v>0.27175713090854242</v>
      </c>
    </row>
    <row r="45" spans="2:9" x14ac:dyDescent="0.15">
      <c r="C45" s="2" t="s">
        <v>237</v>
      </c>
      <c r="D45" s="22">
        <f>'BS Input'!D17/'BS Input'!D$43</f>
        <v>0.17627386757112551</v>
      </c>
      <c r="E45" s="22">
        <f>'BS Input'!E17/'BS Input'!E$43</f>
        <v>0.17349725054296</v>
      </c>
      <c r="F45" s="22">
        <f>'BS Input'!F17/'BS Input'!F$43</f>
        <v>0.15314434184575984</v>
      </c>
      <c r="G45" s="22">
        <f>'BS Input'!G17/'BS Input'!G$43</f>
        <v>0.1475046531841952</v>
      </c>
      <c r="H45" s="22">
        <f>'BS Input'!H17/'BS Input'!H$43</f>
        <v>0.21421569873090726</v>
      </c>
    </row>
    <row r="46" spans="2:9" x14ac:dyDescent="0.15">
      <c r="C46" s="2" t="s">
        <v>238</v>
      </c>
      <c r="D46" s="22">
        <f>'BS Input'!D18/'BS Input'!D$43</f>
        <v>2.3266682311504773E-3</v>
      </c>
      <c r="E46" s="22">
        <f>'BS Input'!E18/'BS Input'!E$43</f>
        <v>1.3596754702502726E-3</v>
      </c>
      <c r="F46" s="22">
        <f>'BS Input'!F18/'BS Input'!F$43</f>
        <v>0</v>
      </c>
      <c r="G46" s="22">
        <f>'BS Input'!G18/'BS Input'!G$43</f>
        <v>0</v>
      </c>
      <c r="H46" s="22">
        <f>'BS Input'!H18/'BS Input'!H$43</f>
        <v>0</v>
      </c>
    </row>
    <row r="47" spans="2:9" x14ac:dyDescent="0.15">
      <c r="C47" s="178" t="s">
        <v>239</v>
      </c>
      <c r="D47" s="22"/>
      <c r="E47" s="22"/>
      <c r="F47" s="22"/>
      <c r="G47" s="22"/>
      <c r="H47" s="22"/>
      <c r="I47" s="178"/>
    </row>
    <row r="48" spans="2:9" x14ac:dyDescent="0.15">
      <c r="C48" s="179" t="s">
        <v>242</v>
      </c>
      <c r="D48" s="22">
        <f>'BS Input'!D20/'BS Input'!D$43</f>
        <v>0</v>
      </c>
      <c r="E48" s="22">
        <f>'BS Input'!E20/'BS Input'!E$43</f>
        <v>1.7573560403337713E-4</v>
      </c>
      <c r="F48" s="22">
        <f>'BS Input'!F20/'BS Input'!F$43</f>
        <v>1.0606133855954422E-2</v>
      </c>
      <c r="G48" s="22">
        <f>'BS Input'!G20/'BS Input'!G$43</f>
        <v>4.7965085546012656E-2</v>
      </c>
      <c r="H48" s="22">
        <f>'BS Input'!H20/'BS Input'!H$43</f>
        <v>9.664201073860193E-2</v>
      </c>
      <c r="I48" s="179"/>
    </row>
    <row r="49" spans="2:9" x14ac:dyDescent="0.15">
      <c r="C49" s="179" t="s">
        <v>243</v>
      </c>
      <c r="D49" s="22">
        <f>'BS Input'!D21/'BS Input'!D$43</f>
        <v>1.5130029330728536E-3</v>
      </c>
      <c r="E49" s="22">
        <f>'BS Input'!E21/'BS Input'!E$43</f>
        <v>1.5249089465525715E-3</v>
      </c>
      <c r="F49" s="22">
        <f>'BS Input'!F21/'BS Input'!F$43</f>
        <v>1.8594203814786853E-6</v>
      </c>
      <c r="G49" s="22">
        <f>'BS Input'!G21/'BS Input'!G$43</f>
        <v>1.7144062125509387E-6</v>
      </c>
      <c r="H49" s="22">
        <f>'BS Input'!H21/'BS Input'!H$43</f>
        <v>5.4066065488062486E-7</v>
      </c>
      <c r="I49" s="179"/>
    </row>
    <row r="50" spans="2:9" x14ac:dyDescent="0.15">
      <c r="C50" s="179" t="s">
        <v>244</v>
      </c>
      <c r="D50" s="22">
        <f>'BS Input'!D22/'BS Input'!D$43</f>
        <v>2.4490188881333909E-3</v>
      </c>
      <c r="E50" s="22">
        <f>'BS Input'!E22/'BS Input'!E$43</f>
        <v>2.3524766117615425E-4</v>
      </c>
      <c r="F50" s="22">
        <f>'BS Input'!F22/'BS Input'!F$43</f>
        <v>1.5550952457100071E-3</v>
      </c>
      <c r="G50" s="22">
        <f>'BS Input'!G22/'BS Input'!G$43</f>
        <v>1.234943941774193E-3</v>
      </c>
      <c r="H50" s="22">
        <f>'BS Input'!H22/'BS Input'!H$43</f>
        <v>1.3478670126173978E-3</v>
      </c>
      <c r="I50" s="179"/>
    </row>
    <row r="51" spans="2:9" x14ac:dyDescent="0.15">
      <c r="C51" s="179" t="s">
        <v>321</v>
      </c>
      <c r="D51" s="22">
        <f>'BS Input'!D23/'BS Input'!D$43</f>
        <v>4.3243268540971762E-2</v>
      </c>
      <c r="E51" s="22">
        <f>'BS Input'!E23/'BS Input'!E$43</f>
        <v>4.7384900180776617E-2</v>
      </c>
      <c r="F51" s="22">
        <f>'BS Input'!F23/'BS Input'!F$43</f>
        <v>4.5339486775182437E-2</v>
      </c>
      <c r="G51" s="22">
        <f>'BS Input'!G23/'BS Input'!G$43</f>
        <v>4.0159965529005741E-2</v>
      </c>
      <c r="H51" s="22">
        <f>'BS Input'!H23/'BS Input'!H$43</f>
        <v>2.0770560378548967E-2</v>
      </c>
      <c r="I51" s="179"/>
    </row>
    <row r="52" spans="2:9" x14ac:dyDescent="0.15">
      <c r="C52" s="2" t="s">
        <v>24</v>
      </c>
      <c r="D52" s="22">
        <f>'BS Input'!D24/'BS Input'!D$43</f>
        <v>3.0226629520204913E-3</v>
      </c>
      <c r="E52" s="22">
        <f>'BS Input'!E24/'BS Input'!E$43</f>
        <v>3.8528805936082649E-3</v>
      </c>
      <c r="F52" s="22">
        <f>'BS Input'!F24/'BS Input'!F$43</f>
        <v>5.805730237770282E-3</v>
      </c>
      <c r="G52" s="22">
        <f>'BS Input'!G24/'BS Input'!G$43</f>
        <v>2.7819098142326569E-3</v>
      </c>
      <c r="H52" s="22">
        <f>'BS Input'!H24/'BS Input'!H$43</f>
        <v>6.5738929026935176E-3</v>
      </c>
    </row>
    <row r="53" spans="2:9" x14ac:dyDescent="0.15">
      <c r="C53" s="2" t="s">
        <v>342</v>
      </c>
      <c r="D53" s="22">
        <f>'BS Input'!D25/'BS Input'!D$43</f>
        <v>4.9588788133457162E-3</v>
      </c>
      <c r="E53" s="22">
        <f>'BS Input'!E25/'BS Input'!E$43</f>
        <v>4.8533832954556584E-3</v>
      </c>
      <c r="F53" s="22">
        <f>'BS Input'!F25/'BS Input'!F$43</f>
        <v>5.555328293064485E-3</v>
      </c>
      <c r="G53" s="22">
        <f>'BS Input'!G25/'BS Input'!G$43</f>
        <v>5.7901212485220377E-3</v>
      </c>
      <c r="H53" s="22">
        <f>'BS Input'!H25/'BS Input'!H$43</f>
        <v>5.021656162531243E-3</v>
      </c>
    </row>
    <row r="54" spans="2:9" x14ac:dyDescent="0.15">
      <c r="D54" s="22"/>
      <c r="E54" s="22"/>
      <c r="F54" s="22"/>
      <c r="G54" s="22"/>
      <c r="H54" s="22"/>
    </row>
    <row r="55" spans="2:9" x14ac:dyDescent="0.15">
      <c r="B55" s="4" t="s">
        <v>26</v>
      </c>
      <c r="C55" s="4"/>
      <c r="D55" s="22"/>
      <c r="E55" s="22"/>
      <c r="F55" s="22"/>
      <c r="G55" s="22"/>
      <c r="H55" s="22"/>
    </row>
    <row r="56" spans="2:9" x14ac:dyDescent="0.15">
      <c r="C56" s="2" t="s">
        <v>27</v>
      </c>
      <c r="D56" s="22">
        <f>'BS Input'!D30/'BS Input'!D$43</f>
        <v>0.1138676780987644</v>
      </c>
      <c r="E56" s="22">
        <f>'BS Input'!E30/'BS Input'!E$43</f>
        <v>0.12016184478975439</v>
      </c>
      <c r="F56" s="22">
        <f>'BS Input'!F30/'BS Input'!F$43</f>
        <v>0.13200954998307926</v>
      </c>
      <c r="G56" s="22">
        <f>'BS Input'!G30/'BS Input'!G$43</f>
        <v>8.7843316987422523E-2</v>
      </c>
      <c r="H56" s="22">
        <f>'BS Input'!H30/'BS Input'!H$43</f>
        <v>6.8713643950088374E-2</v>
      </c>
    </row>
    <row r="57" spans="2:9" x14ac:dyDescent="0.15">
      <c r="C57" s="178" t="s">
        <v>239</v>
      </c>
      <c r="D57" s="22"/>
      <c r="E57" s="22"/>
      <c r="F57" s="22"/>
      <c r="G57" s="22"/>
      <c r="H57" s="22"/>
      <c r="I57" s="178"/>
    </row>
    <row r="58" spans="2:9" x14ac:dyDescent="0.15">
      <c r="C58" s="2" t="s">
        <v>344</v>
      </c>
      <c r="D58" s="22">
        <f>'BS Input'!D32/'BS Input'!D$43</f>
        <v>4.2600760446105203E-2</v>
      </c>
      <c r="E58" s="22">
        <f>'BS Input'!E32/'BS Input'!E$43</f>
        <v>4.6011221873551576E-2</v>
      </c>
      <c r="F58" s="22">
        <f>'BS Input'!F32/'BS Input'!F$43</f>
        <v>5.2330907409542292E-2</v>
      </c>
      <c r="G58" s="22">
        <f>'BS Input'!G32/'BS Input'!G$43</f>
        <v>0.12513165211040544</v>
      </c>
      <c r="H58" s="22">
        <f>'BS Input'!H32/'BS Input'!H$43</f>
        <v>9.2787640929957962E-2</v>
      </c>
      <c r="I58" s="178"/>
    </row>
    <row r="59" spans="2:9" x14ac:dyDescent="0.15">
      <c r="C59" s="2" t="s">
        <v>245</v>
      </c>
      <c r="D59" s="22">
        <f>'BS Input'!D33/'BS Input'!D$43</f>
        <v>7.7371747428129023E-2</v>
      </c>
      <c r="E59" s="22">
        <f>'BS Input'!E33/'BS Input'!E$43</f>
        <v>7.0329248705787786E-2</v>
      </c>
      <c r="F59" s="22">
        <f>'BS Input'!F33/'BS Input'!F$43</f>
        <v>6.9190272008409534E-2</v>
      </c>
      <c r="G59" s="22">
        <f>'BS Input'!G33/'BS Input'!G$43</f>
        <v>7.1163858945514441E-2</v>
      </c>
      <c r="H59" s="22">
        <f>'BS Input'!H33/'BS Input'!H$43</f>
        <v>8.3011414968406486E-2</v>
      </c>
    </row>
    <row r="60" spans="2:9" x14ac:dyDescent="0.15">
      <c r="C60" s="2" t="s">
        <v>246</v>
      </c>
      <c r="D60" s="22">
        <f>'BS Input'!D34/'BS Input'!D$43</f>
        <v>4.0306852773381849E-2</v>
      </c>
      <c r="E60" s="22">
        <f>'BS Input'!E34/'BS Input'!E$43</f>
        <v>3.6696534717933847E-2</v>
      </c>
      <c r="F60" s="22">
        <f>'BS Input'!F34/'BS Input'!F$43</f>
        <v>4.6542531761999142E-2</v>
      </c>
      <c r="G60" s="22">
        <f>'BS Input'!G34/'BS Input'!G$43</f>
        <v>2.0436864991082226E-2</v>
      </c>
      <c r="H60" s="22">
        <f>'BS Input'!H34/'BS Input'!H$43</f>
        <v>2.1776729857281806E-2</v>
      </c>
    </row>
    <row r="61" spans="2:9" x14ac:dyDescent="0.15">
      <c r="C61" s="2" t="s">
        <v>345</v>
      </c>
      <c r="D61" s="22">
        <f>'BS Input'!D35/'BS Input'!D$43</f>
        <v>1.1184722080148373E-2</v>
      </c>
      <c r="E61" s="22">
        <f>'BS Input'!E35/'BS Input'!E$43</f>
        <v>1.0367700496120513E-2</v>
      </c>
      <c r="F61" s="22">
        <f>'BS Input'!F35/'BS Input'!F$43</f>
        <v>2.2117805437688962E-2</v>
      </c>
      <c r="G61" s="22">
        <f>'BS Input'!G35/'BS Input'!G$43</f>
        <v>1.8915615211812027E-3</v>
      </c>
      <c r="H61" s="22">
        <f>'BS Input'!H35/'BS Input'!H$43</f>
        <v>7.7941640007590874E-3</v>
      </c>
    </row>
    <row r="62" spans="2:9" x14ac:dyDescent="0.15">
      <c r="C62" s="2" t="s">
        <v>243</v>
      </c>
      <c r="D62" s="22">
        <f>'BS Input'!D36/'BS Input'!D$43</f>
        <v>2.186265837891397E-4</v>
      </c>
      <c r="E62" s="22">
        <f>'BS Input'!E36/'BS Input'!E$43</f>
        <v>3.2486581781468921E-4</v>
      </c>
      <c r="F62" s="22">
        <f>'BS Input'!F36/'BS Input'!F$43</f>
        <v>3.0990339691311425E-6</v>
      </c>
      <c r="G62" s="22">
        <f>'BS Input'!G36/'BS Input'!G$43</f>
        <v>2.8573436875848982E-6</v>
      </c>
      <c r="H62" s="22">
        <f>'BS Input'!H36/'BS Input'!H$43</f>
        <v>5.4066065488062486E-7</v>
      </c>
    </row>
    <row r="63" spans="2:9" x14ac:dyDescent="0.15">
      <c r="C63" s="2" t="s">
        <v>247</v>
      </c>
      <c r="D63" s="22">
        <f>'BS Input'!D37/'BS Input'!D$43</f>
        <v>1.0998856054786352E-2</v>
      </c>
      <c r="E63" s="22">
        <f>'BS Input'!E37/'BS Input'!E$43</f>
        <v>4.9458020194891482E-3</v>
      </c>
      <c r="F63" s="22">
        <f>'BS Input'!F37/'BS Input'!F$43</f>
        <v>2.5926518185751136E-3</v>
      </c>
      <c r="G63" s="22">
        <f>'BS Input'!G37/'BS Input'!G$43</f>
        <v>2.4178842284343408E-3</v>
      </c>
      <c r="H63" s="22">
        <f>'BS Input'!H37/'BS Input'!H$43</f>
        <v>4.5139758075983362E-3</v>
      </c>
    </row>
    <row r="64" spans="2:9" x14ac:dyDescent="0.15">
      <c r="C64" s="2" t="s">
        <v>315</v>
      </c>
      <c r="D64" s="22">
        <f>'BS Input'!D38/'BS Input'!D$43</f>
        <v>2.4928110631737228E-2</v>
      </c>
      <c r="E64" s="22">
        <f>'BS Input'!E38/'BS Input'!E$43</f>
        <v>2.4294922151227836E-2</v>
      </c>
      <c r="F64" s="22">
        <f>'BS Input'!F38/'BS Input'!F$43</f>
        <v>2.7714040979145978E-2</v>
      </c>
      <c r="G64" s="22">
        <f>'BS Input'!G38/'BS Input'!G$43</f>
        <v>2.290503846841806E-2</v>
      </c>
      <c r="H64" s="22">
        <f>'BS Input'!H38/'BS Input'!H$43</f>
        <v>2.1657243852553191E-2</v>
      </c>
    </row>
    <row r="65" spans="2:9" x14ac:dyDescent="0.15">
      <c r="C65" s="2" t="s">
        <v>343</v>
      </c>
      <c r="D65" s="22">
        <f>'BS Input'!D39/'BS Input'!D$43</f>
        <v>0</v>
      </c>
      <c r="E65" s="22">
        <f>'BS Input'!E39/'BS Input'!E$43</f>
        <v>0</v>
      </c>
      <c r="F65" s="22">
        <f>'BS Input'!F39/'BS Input'!F$43</f>
        <v>0</v>
      </c>
      <c r="G65" s="22">
        <f>'BS Input'!G39/'BS Input'!G$43</f>
        <v>0</v>
      </c>
      <c r="H65" s="22">
        <f>'BS Input'!H39/'BS Input'!H$43</f>
        <v>4.1847134687760364E-4</v>
      </c>
    </row>
    <row r="66" spans="2:9" x14ac:dyDescent="0.15">
      <c r="D66" s="22"/>
      <c r="E66" s="22"/>
      <c r="F66" s="22"/>
      <c r="G66" s="22"/>
      <c r="H66" s="22"/>
    </row>
    <row r="67" spans="2:9" x14ac:dyDescent="0.15">
      <c r="B67" s="368" t="s">
        <v>40</v>
      </c>
      <c r="C67" s="368"/>
      <c r="D67" s="23">
        <f>'BS Input'!D43/'BS Input'!D$43</f>
        <v>1</v>
      </c>
      <c r="E67" s="23">
        <f>'BS Input'!E43/'BS Input'!E$43</f>
        <v>1</v>
      </c>
      <c r="F67" s="23">
        <f>'BS Input'!F43/'BS Input'!F$43</f>
        <v>1</v>
      </c>
      <c r="G67" s="23">
        <f>'BS Input'!G43/'BS Input'!G$43</f>
        <v>1</v>
      </c>
      <c r="H67" s="23">
        <f>'BS Input'!H43/'BS Input'!H$43</f>
        <v>1</v>
      </c>
    </row>
    <row r="68" spans="2:9" x14ac:dyDescent="0.15">
      <c r="D68" s="9"/>
      <c r="E68" s="9"/>
      <c r="F68" s="9"/>
      <c r="G68" s="9"/>
      <c r="H68" s="9"/>
    </row>
    <row r="69" spans="2:9" x14ac:dyDescent="0.15">
      <c r="B69" s="367" t="s">
        <v>30</v>
      </c>
      <c r="C69" s="367"/>
      <c r="D69" s="9"/>
      <c r="E69" s="9"/>
      <c r="F69" s="9"/>
      <c r="G69" s="9"/>
      <c r="H69" s="9"/>
    </row>
    <row r="70" spans="2:9" x14ac:dyDescent="0.15">
      <c r="B70" s="10"/>
      <c r="C70" s="10"/>
      <c r="D70" s="9"/>
      <c r="E70" s="9"/>
      <c r="F70" s="9"/>
      <c r="G70" s="9"/>
      <c r="H70" s="9"/>
    </row>
    <row r="71" spans="2:9" x14ac:dyDescent="0.15">
      <c r="B71" s="4" t="s">
        <v>31</v>
      </c>
      <c r="D71" s="9"/>
      <c r="E71" s="9"/>
      <c r="F71" s="9"/>
      <c r="G71" s="9"/>
      <c r="H71" s="9"/>
    </row>
    <row r="72" spans="2:9" x14ac:dyDescent="0.15">
      <c r="C72" s="2" t="s">
        <v>32</v>
      </c>
      <c r="D72" s="22">
        <f>'BS Input'!D48/'BS Input'!D$43</f>
        <v>6.8349222204170494E-3</v>
      </c>
      <c r="E72" s="22">
        <f>'BS Input'!E48/'BS Input'!E$43</f>
        <v>7.1589504033517182E-3</v>
      </c>
      <c r="F72" s="22">
        <f>'BS Input'!F48/'BS Input'!F$43</f>
        <v>6.3381442736670122E-3</v>
      </c>
      <c r="G72" s="22">
        <f>'BS Input'!G48/'BS Input'!G$43</f>
        <v>5.8444107785861508E-3</v>
      </c>
      <c r="H72" s="22">
        <f>'BS Input'!H48/'BS Input'!H$43</f>
        <v>5.5298771781190307E-3</v>
      </c>
    </row>
    <row r="73" spans="2:9" x14ac:dyDescent="0.15">
      <c r="C73" s="2" t="s">
        <v>33</v>
      </c>
      <c r="D73" s="22">
        <f>'BS Input'!D49/'BS Input'!D$43</f>
        <v>0.52123586198043603</v>
      </c>
      <c r="E73" s="22">
        <f>'BS Input'!E49/'BS Input'!E$43</f>
        <v>0.65369793920248231</v>
      </c>
      <c r="F73" s="22">
        <f>'BS Input'!F49/'BS Input'!F$43</f>
        <v>0.70990624802436575</v>
      </c>
      <c r="G73" s="22">
        <f>'BS Input'!G49/'BS Input'!G$43</f>
        <v>0.78245270953329837</v>
      </c>
      <c r="H73" s="22">
        <f>'BS Input'!H49/'BS Input'!H$43</f>
        <v>0.67562523349782044</v>
      </c>
    </row>
    <row r="74" spans="2:9" x14ac:dyDescent="0.15">
      <c r="D74" s="22"/>
      <c r="E74" s="22"/>
      <c r="F74" s="22"/>
      <c r="G74" s="22"/>
      <c r="H74" s="22"/>
    </row>
    <row r="75" spans="2:9" x14ac:dyDescent="0.15">
      <c r="B75" s="4" t="s">
        <v>34</v>
      </c>
      <c r="C75" s="4"/>
      <c r="D75" s="22"/>
      <c r="E75" s="22"/>
      <c r="F75" s="22"/>
      <c r="G75" s="22"/>
      <c r="H75" s="22"/>
    </row>
    <row r="76" spans="2:9" x14ac:dyDescent="0.15">
      <c r="C76" s="178" t="s">
        <v>248</v>
      </c>
      <c r="I76" s="178"/>
    </row>
    <row r="77" spans="2:9" x14ac:dyDescent="0.15">
      <c r="C77" s="2" t="s">
        <v>249</v>
      </c>
      <c r="D77" s="22">
        <f>'BS Input'!D55/'BS Input'!D$43</f>
        <v>0.1434136903030753</v>
      </c>
      <c r="E77" s="22">
        <f>'BS Input'!E55/'BS Input'!E$43</f>
        <v>3.3614510299786737E-2</v>
      </c>
      <c r="F77" s="22">
        <f>'BS Input'!F55/'BS Input'!F$43</f>
        <v>2.3605341742871912E-2</v>
      </c>
      <c r="G77" s="22">
        <f>'BS Input'!G55/'BS Input'!G$43</f>
        <v>1.080761676392112E-2</v>
      </c>
      <c r="H77" s="22">
        <f>'BS Input'!H55/'BS Input'!H$43</f>
        <v>0</v>
      </c>
    </row>
    <row r="78" spans="2:9" x14ac:dyDescent="0.15">
      <c r="C78" s="2" t="s">
        <v>250</v>
      </c>
      <c r="D78" s="22">
        <f>'BS Input'!D56/'BS Input'!D$43</f>
        <v>2.2858846788228397E-3</v>
      </c>
      <c r="E78" s="22">
        <f>'BS Input'!E56/'BS Input'!E$43</f>
        <v>4.7252573371365028E-3</v>
      </c>
      <c r="F78" s="22">
        <f>'BS Input'!F56/'BS Input'!F$43</f>
        <v>3.9940349794162161E-3</v>
      </c>
      <c r="G78" s="22">
        <f>'BS Input'!G56/'BS Input'!G$43</f>
        <v>3.2922313968353194E-3</v>
      </c>
      <c r="H78" s="22">
        <f>'BS Input'!H56/'BS Input'!H$43</f>
        <v>1.9371871264372788E-3</v>
      </c>
    </row>
    <row r="79" spans="2:9" x14ac:dyDescent="0.15">
      <c r="C79" s="2" t="s">
        <v>251</v>
      </c>
      <c r="D79" s="22">
        <f>'BS Input'!D57/'BS Input'!D$43</f>
        <v>8.8239561249206892E-3</v>
      </c>
      <c r="E79" s="22">
        <f>'BS Input'!E57/'BS Input'!E$43</f>
        <v>0</v>
      </c>
      <c r="F79" s="22">
        <f>'BS Input'!F57/'BS Input'!F$43</f>
        <v>0</v>
      </c>
      <c r="G79" s="22">
        <f>'BS Input'!G57/'BS Input'!G$43</f>
        <v>0</v>
      </c>
      <c r="H79" s="22">
        <f>'BS Input'!H57/'BS Input'!H$43</f>
        <v>0</v>
      </c>
    </row>
    <row r="80" spans="2:9" x14ac:dyDescent="0.15">
      <c r="C80" s="2" t="s">
        <v>36</v>
      </c>
      <c r="D80" s="22">
        <f>'BS Input'!D58/'BS Input'!D$43</f>
        <v>7.82108188735583E-3</v>
      </c>
      <c r="E80" s="22">
        <f>'BS Input'!E58/'BS Input'!E$43</f>
        <v>8.0320272887286961E-3</v>
      </c>
      <c r="F80" s="22">
        <f>'BS Input'!F58/'BS Input'!F$43</f>
        <v>6.6319326939406446E-3</v>
      </c>
      <c r="G80" s="22">
        <f>'BS Input'!G58/'BS Input'!G$43</f>
        <v>5.9101296834006035E-3</v>
      </c>
      <c r="H80" s="22">
        <f>'BS Input'!H58/'BS Input'!H$43</f>
        <v>9.0090284922758508E-3</v>
      </c>
    </row>
    <row r="81" spans="2:9" x14ac:dyDescent="0.15">
      <c r="C81" s="2" t="s">
        <v>38</v>
      </c>
      <c r="D81" s="22">
        <f>'BS Input'!D59/'BS Input'!D$43</f>
        <v>5.1300360165567856E-3</v>
      </c>
      <c r="E81" s="22">
        <f>'BS Input'!E59/'BS Input'!E$43</f>
        <v>2.7326536356265777E-3</v>
      </c>
      <c r="F81" s="22">
        <f>'BS Input'!F59/'BS Input'!F$43</f>
        <v>3.2192764871334305E-3</v>
      </c>
      <c r="G81" s="22">
        <f>'BS Input'!G59/'BS Input'!G$43</f>
        <v>3.5151042044669414E-3</v>
      </c>
      <c r="H81" s="22">
        <f>'BS Input'!H59/'BS Input'!H$43</f>
        <v>5.6125982583157662E-3</v>
      </c>
    </row>
    <row r="82" spans="2:9" x14ac:dyDescent="0.15">
      <c r="C82" s="2" t="s">
        <v>39</v>
      </c>
      <c r="D82" s="22">
        <f>'BS Input'!D60/'BS Input'!D$43</f>
        <v>4.7937388555600353E-4</v>
      </c>
      <c r="E82" s="22">
        <f>'BS Input'!E60/'BS Input'!E$43</f>
        <v>4.8169759193212539E-4</v>
      </c>
      <c r="F82" s="22">
        <f>'BS Input'!F60/'BS Input'!F$43</f>
        <v>1.4193575578620631E-4</v>
      </c>
      <c r="G82" s="22">
        <f>'BS Input'!G60/'BS Input'!G$43</f>
        <v>8.972059179016581E-5</v>
      </c>
      <c r="H82" s="22">
        <f>'BS Input'!H60/'BS Input'!H$43</f>
        <v>3.8386906496524364E-5</v>
      </c>
    </row>
    <row r="83" spans="2:9" x14ac:dyDescent="0.15">
      <c r="D83" s="22"/>
      <c r="E83" s="22"/>
      <c r="F83" s="22"/>
      <c r="G83" s="22"/>
      <c r="H83" s="22"/>
    </row>
    <row r="84" spans="2:9" x14ac:dyDescent="0.15">
      <c r="B84" s="4" t="s">
        <v>41</v>
      </c>
      <c r="D84" s="22"/>
      <c r="E84" s="22"/>
      <c r="F84" s="22"/>
      <c r="G84" s="22"/>
      <c r="H84" s="22"/>
      <c r="I84" s="4"/>
    </row>
    <row r="85" spans="2:9" x14ac:dyDescent="0.15">
      <c r="C85" s="178" t="s">
        <v>248</v>
      </c>
    </row>
    <row r="86" spans="2:9" x14ac:dyDescent="0.15">
      <c r="C86" s="2" t="s">
        <v>249</v>
      </c>
      <c r="D86" s="22">
        <f>'BS Input'!D66/'BS Input'!D$43</f>
        <v>3.4679391134992896E-2</v>
      </c>
      <c r="E86" s="22">
        <f>'BS Input'!E66/'BS Input'!E$43</f>
        <v>1.956266339560395E-2</v>
      </c>
      <c r="F86" s="22">
        <f>'BS Input'!F66/'BS Input'!F$43</f>
        <v>7.6038517273395528E-2</v>
      </c>
      <c r="G86" s="22">
        <f>'BS Input'!G66/'BS Input'!G$43</f>
        <v>4.8279964820384512E-2</v>
      </c>
      <c r="H86" s="22">
        <f>'BS Input'!H66/'BS Input'!H$43</f>
        <v>0.17055897283126142</v>
      </c>
      <c r="I86" s="4"/>
    </row>
    <row r="87" spans="2:9" x14ac:dyDescent="0.15">
      <c r="C87" s="2" t="s">
        <v>256</v>
      </c>
      <c r="D87" s="22">
        <f>'BS Input'!D67/'BS Input'!D$43</f>
        <v>1.4996312765719888E-3</v>
      </c>
      <c r="E87" s="22">
        <f>'BS Input'!E67/'BS Input'!E$43</f>
        <v>1.9715994460477691E-3</v>
      </c>
      <c r="F87" s="22">
        <f>'BS Input'!F67/'BS Input'!F$43</f>
        <v>1.9982571032957606E-3</v>
      </c>
      <c r="G87" s="22">
        <f>'BS Input'!G67/'BS Input'!G$43</f>
        <v>2.1721526713020397E-3</v>
      </c>
      <c r="H87" s="22">
        <f>'BS Input'!H67/'BS Input'!H$43</f>
        <v>1.7155162579362226E-3</v>
      </c>
      <c r="I87" s="178"/>
    </row>
    <row r="88" spans="2:9" x14ac:dyDescent="0.15">
      <c r="C88" s="2" t="s">
        <v>252</v>
      </c>
      <c r="D88" s="22">
        <f>'BS Input'!D68/'BS Input'!D$43</f>
        <v>0.16584130116915083</v>
      </c>
      <c r="E88" s="22">
        <f>'BS Input'!E68/'BS Input'!E$43</f>
        <v>0.15120543422097318</v>
      </c>
      <c r="F88" s="22">
        <f>'BS Input'!F68/'BS Input'!F$43</f>
        <v>0.13406792834537617</v>
      </c>
      <c r="G88" s="22">
        <f>'BS Input'!G68/'BS Input'!G$43</f>
        <v>0.10418846581788319</v>
      </c>
      <c r="H88" s="22">
        <f>'BS Input'!H68/'BS Input'!H$43</f>
        <v>9.0586611403938935E-2</v>
      </c>
    </row>
    <row r="89" spans="2:9" x14ac:dyDescent="0.15">
      <c r="C89" s="2" t="s">
        <v>255</v>
      </c>
      <c r="D89" s="22">
        <f>'BS Input'!D69/'BS Input'!D$43</f>
        <v>8.9325339757077127E-2</v>
      </c>
      <c r="E89" s="22">
        <f>'BS Input'!E69/'BS Input'!E$43</f>
        <v>0.10237684154809763</v>
      </c>
      <c r="F89" s="22">
        <f>'BS Input'!F69/'BS Input'!F$43</f>
        <v>1.4083869776113388E-2</v>
      </c>
      <c r="G89" s="22">
        <f>'BS Input'!G69/'BS Input'!G$43</f>
        <v>1.522335569871482E-2</v>
      </c>
      <c r="H89" s="22">
        <f>'BS Input'!H69/'BS Input'!H$43</f>
        <v>1.8599807849203256E-2</v>
      </c>
    </row>
    <row r="90" spans="2:9" x14ac:dyDescent="0.15">
      <c r="C90" s="2" t="s">
        <v>43</v>
      </c>
      <c r="D90" s="22">
        <f>'BS Input'!D70/'BS Input'!D$43</f>
        <v>5.6635651109412915E-3</v>
      </c>
      <c r="E90" s="22">
        <f>'BS Input'!E70/'BS Input'!E$43</f>
        <v>5.6396425915890549E-3</v>
      </c>
      <c r="F90" s="22">
        <f>'BS Input'!F70/'BS Input'!F$43</f>
        <v>1.3873755273006298E-2</v>
      </c>
      <c r="G90" s="22">
        <f>'BS Input'!G70/'BS Input'!G$43</f>
        <v>1.3088348495351385E-2</v>
      </c>
      <c r="H90" s="22">
        <f>'BS Input'!H70/'BS Input'!H$43</f>
        <v>1.2707688032314207E-2</v>
      </c>
    </row>
    <row r="91" spans="2:9" x14ac:dyDescent="0.15">
      <c r="C91" s="2" t="s">
        <v>36</v>
      </c>
      <c r="D91" s="22">
        <f>'BS Input'!D71/'BS Input'!D$43</f>
        <v>3.7413894889419749E-3</v>
      </c>
      <c r="E91" s="22">
        <f>'BS Input'!E71/'BS Input'!E$43</f>
        <v>5.0690269848671339E-3</v>
      </c>
      <c r="F91" s="22">
        <f>'BS Input'!F71/'BS Input'!F$43</f>
        <v>4.7235475757496865E-3</v>
      </c>
      <c r="G91" s="22">
        <f>'BS Input'!G71/'BS Input'!G$43</f>
        <v>4.2951590311776184E-3</v>
      </c>
      <c r="H91" s="22">
        <f>'BS Input'!H71/'BS Input'!H$43</f>
        <v>4.918389977449044E-3</v>
      </c>
    </row>
    <row r="92" spans="2:9" x14ac:dyDescent="0.15">
      <c r="C92" s="2" t="s">
        <v>322</v>
      </c>
      <c r="D92" s="22">
        <f>'BS Input'!D72/'BS Input'!D$43</f>
        <v>3.2245749651835494E-3</v>
      </c>
      <c r="E92" s="22">
        <f>'BS Input'!E72/'BS Input'!E$43</f>
        <v>3.7317560537764947E-3</v>
      </c>
      <c r="F92" s="22">
        <f>'BS Input'!F72/'BS Input'!F$43</f>
        <v>1.3772106958818795E-3</v>
      </c>
      <c r="G92" s="22">
        <f>'BS Input'!G72/'BS Input'!G$43</f>
        <v>8.4063051288747704E-4</v>
      </c>
      <c r="H92" s="22">
        <f>'BS Input'!H72/'BS Input'!H$43</f>
        <v>3.1607021884321328E-3</v>
      </c>
    </row>
    <row r="93" spans="2:9" x14ac:dyDescent="0.15">
      <c r="D93" s="9"/>
      <c r="E93" s="9"/>
      <c r="F93" s="9"/>
      <c r="G93" s="9"/>
      <c r="H93" s="9"/>
    </row>
    <row r="94" spans="2:9" x14ac:dyDescent="0.15">
      <c r="B94" s="368" t="s">
        <v>40</v>
      </c>
      <c r="C94" s="368"/>
      <c r="D94" s="23">
        <f>'BS Input'!D76/'BS Input'!D$43</f>
        <v>1</v>
      </c>
      <c r="E94" s="23">
        <f>'BS Input'!E76/'BS Input'!E$43</f>
        <v>0.99999999999999989</v>
      </c>
      <c r="F94" s="23">
        <f>'BS Input'!F76/'BS Input'!F$43</f>
        <v>0.99999999999999989</v>
      </c>
      <c r="G94" s="23">
        <f>'BS Input'!G76/'BS Input'!G$43</f>
        <v>0.99999999999999978</v>
      </c>
      <c r="H94" s="23">
        <f>'BS Input'!H76/'BS Input'!H$43</f>
        <v>1.0000000000000002</v>
      </c>
    </row>
    <row r="98" ht="14.5" customHeight="1" x14ac:dyDescent="0.15"/>
  </sheetData>
  <mergeCells count="10">
    <mergeCell ref="B94:C94"/>
    <mergeCell ref="G6:H6"/>
    <mergeCell ref="B38:C38"/>
    <mergeCell ref="B67:C67"/>
    <mergeCell ref="B69:C69"/>
    <mergeCell ref="B8:C9"/>
    <mergeCell ref="B13:C13"/>
    <mergeCell ref="B22:C22"/>
    <mergeCell ref="B34:C34"/>
    <mergeCell ref="B7:H7"/>
  </mergeCells>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tint="0.39997558519241921"/>
    <pageSetUpPr autoPageBreaks="0"/>
  </sheetPr>
  <dimension ref="A1:Q44"/>
  <sheetViews>
    <sheetView showGridLines="0" topLeftCell="D6" zoomScale="114" zoomScaleNormal="100" workbookViewId="0">
      <selection activeCell="H32" sqref="H32:Q32"/>
    </sheetView>
  </sheetViews>
  <sheetFormatPr baseColWidth="10" defaultColWidth="8.83203125" defaultRowHeight="14" x14ac:dyDescent="0.15"/>
  <cols>
    <col min="1" max="1" width="5" style="2" customWidth="1"/>
    <col min="2" max="2" width="33.5" style="2" bestFit="1" customWidth="1"/>
    <col min="3" max="3" width="13.1640625" style="2" bestFit="1" customWidth="1"/>
    <col min="4" max="7" width="13.1640625" style="9" bestFit="1" customWidth="1"/>
    <col min="8" max="8" width="13.33203125" style="9" bestFit="1" customWidth="1"/>
    <col min="9" max="9" width="13.1640625" style="9" bestFit="1" customWidth="1"/>
    <col min="10" max="17" width="14.33203125" style="9" bestFit="1" customWidth="1"/>
    <col min="18" max="16384" width="8.83203125" style="9"/>
  </cols>
  <sheetData>
    <row r="1" spans="1:17" s="2" customFormat="1" x14ac:dyDescent="0.15"/>
    <row r="2" spans="1:17" s="2" customFormat="1" x14ac:dyDescent="0.15"/>
    <row r="3" spans="1:17" s="2" customFormat="1" x14ac:dyDescent="0.15"/>
    <row r="4" spans="1:17" s="2" customFormat="1" x14ac:dyDescent="0.15"/>
    <row r="5" spans="1:17" s="2" customFormat="1" x14ac:dyDescent="0.15"/>
    <row r="6" spans="1:17" s="2" customFormat="1" x14ac:dyDescent="0.15">
      <c r="B6" s="26"/>
      <c r="C6" s="26"/>
      <c r="P6" s="362" t="s">
        <v>76</v>
      </c>
      <c r="Q6" s="362"/>
    </row>
    <row r="7" spans="1:17" s="2" customFormat="1" ht="16" x14ac:dyDescent="0.2">
      <c r="B7" s="377" t="s">
        <v>176</v>
      </c>
      <c r="C7" s="378"/>
      <c r="D7" s="378"/>
      <c r="E7" s="378"/>
      <c r="F7" s="378"/>
      <c r="G7" s="378"/>
      <c r="H7" s="378"/>
      <c r="I7" s="378"/>
      <c r="J7" s="378"/>
      <c r="K7" s="378"/>
      <c r="L7" s="378"/>
      <c r="M7" s="378"/>
      <c r="N7" s="378"/>
      <c r="O7" s="378"/>
      <c r="P7" s="378"/>
      <c r="Q7" s="379"/>
    </row>
    <row r="8" spans="1:17" s="4" customFormat="1" x14ac:dyDescent="0.15">
      <c r="B8" s="375" t="s">
        <v>0</v>
      </c>
      <c r="C8" s="234">
        <v>2020</v>
      </c>
      <c r="D8" s="234">
        <v>2021</v>
      </c>
      <c r="E8" s="234">
        <v>2022</v>
      </c>
      <c r="F8" s="234">
        <v>2023</v>
      </c>
      <c r="G8" s="234">
        <v>2024</v>
      </c>
      <c r="H8" s="263">
        <v>2025</v>
      </c>
      <c r="I8" s="263">
        <v>2026</v>
      </c>
      <c r="J8" s="263">
        <v>2027</v>
      </c>
      <c r="K8" s="263">
        <v>2028</v>
      </c>
      <c r="L8" s="263">
        <v>2029</v>
      </c>
      <c r="M8" s="263">
        <v>2030</v>
      </c>
      <c r="N8" s="263">
        <v>2031</v>
      </c>
      <c r="O8" s="263">
        <v>2032</v>
      </c>
      <c r="P8" s="263">
        <v>2033</v>
      </c>
      <c r="Q8" s="263">
        <v>2034</v>
      </c>
    </row>
    <row r="9" spans="1:17" s="5" customFormat="1" x14ac:dyDescent="0.15">
      <c r="B9" s="376"/>
      <c r="C9" s="13" t="s">
        <v>2</v>
      </c>
      <c r="D9" s="13" t="s">
        <v>2</v>
      </c>
      <c r="E9" s="13" t="s">
        <v>2</v>
      </c>
      <c r="F9" s="13" t="s">
        <v>2</v>
      </c>
      <c r="G9" s="13" t="s">
        <v>2</v>
      </c>
      <c r="H9" s="119" t="s">
        <v>60</v>
      </c>
      <c r="I9" s="119" t="s">
        <v>61</v>
      </c>
      <c r="J9" s="119" t="s">
        <v>61</v>
      </c>
      <c r="K9" s="119" t="s">
        <v>61</v>
      </c>
      <c r="L9" s="119" t="s">
        <v>61</v>
      </c>
      <c r="M9" s="119" t="s">
        <v>61</v>
      </c>
      <c r="N9" s="119" t="s">
        <v>61</v>
      </c>
      <c r="O9" s="119" t="s">
        <v>61</v>
      </c>
      <c r="P9" s="119" t="s">
        <v>61</v>
      </c>
      <c r="Q9" s="119" t="s">
        <v>61</v>
      </c>
    </row>
    <row r="10" spans="1:17" s="4" customFormat="1" x14ac:dyDescent="0.15">
      <c r="B10" s="48"/>
      <c r="H10" s="27"/>
      <c r="I10" s="27"/>
      <c r="J10" s="27"/>
      <c r="K10" s="27"/>
      <c r="L10" s="27"/>
      <c r="M10" s="27"/>
      <c r="N10" s="27"/>
      <c r="O10" s="27"/>
      <c r="P10" s="27"/>
      <c r="Q10" s="27"/>
    </row>
    <row r="11" spans="1:17" x14ac:dyDescent="0.15">
      <c r="B11" s="38" t="s">
        <v>231</v>
      </c>
      <c r="C11" s="6">
        <f>C$29-C$12</f>
        <v>9826.5099999999984</v>
      </c>
      <c r="D11" s="6">
        <f>D29-D12</f>
        <v>10936.009999999998</v>
      </c>
      <c r="E11" s="6">
        <f>E29-E12</f>
        <v>12174.22</v>
      </c>
      <c r="F11" s="6">
        <f>F29-F12</f>
        <v>13198.68</v>
      </c>
      <c r="G11" s="6">
        <f>G29-G12</f>
        <v>13974.060000000001</v>
      </c>
      <c r="H11" s="28">
        <f t="shared" ref="H11:Q11" si="0">H$29-H$12</f>
        <v>15074.030578653961</v>
      </c>
      <c r="I11" s="28">
        <f t="shared" si="0"/>
        <v>16305.68470072234</v>
      </c>
      <c r="J11" s="28">
        <f t="shared" si="0"/>
        <v>17687.274528485061</v>
      </c>
      <c r="K11" s="28">
        <f t="shared" si="0"/>
        <v>19241.490788475669</v>
      </c>
      <c r="L11" s="28">
        <f t="shared" si="0"/>
        <v>20995.06921133291</v>
      </c>
      <c r="M11" s="28">
        <f t="shared" si="0"/>
        <v>22979.612850755253</v>
      </c>
      <c r="N11" s="28">
        <f t="shared" si="0"/>
        <v>25232.601096164173</v>
      </c>
      <c r="O11" s="28">
        <f t="shared" si="0"/>
        <v>27798.632030077708</v>
      </c>
      <c r="P11" s="28">
        <f t="shared" si="0"/>
        <v>30730.95747474991</v>
      </c>
      <c r="Q11" s="28">
        <f t="shared" si="0"/>
        <v>34093.386496433988</v>
      </c>
    </row>
    <row r="12" spans="1:17" x14ac:dyDescent="0.15">
      <c r="B12" s="38" t="s">
        <v>347</v>
      </c>
      <c r="C12" s="6">
        <v>84.29</v>
      </c>
      <c r="D12" s="6">
        <v>92.61</v>
      </c>
      <c r="E12" s="6">
        <v>102.28</v>
      </c>
      <c r="F12" s="6">
        <v>117.29</v>
      </c>
      <c r="G12" s="6">
        <v>122.05</v>
      </c>
      <c r="H12" s="28">
        <f t="shared" ref="H12:Q12" si="1">H$13*H$29</f>
        <v>132.81721801563208</v>
      </c>
      <c r="I12" s="28">
        <f t="shared" si="1"/>
        <v>143.6693171404844</v>
      </c>
      <c r="J12" s="28">
        <f t="shared" si="1"/>
        <v>155.84249911757217</v>
      </c>
      <c r="K12" s="28">
        <f t="shared" si="1"/>
        <v>169.53669183991744</v>
      </c>
      <c r="L12" s="28">
        <f t="shared" si="1"/>
        <v>184.98746371415996</v>
      </c>
      <c r="M12" s="28">
        <f t="shared" si="1"/>
        <v>202.47326910929735</v>
      </c>
      <c r="N12" s="28">
        <f t="shared" si="1"/>
        <v>222.32433876288255</v>
      </c>
      <c r="O12" s="28">
        <f t="shared" si="1"/>
        <v>244.93362618645119</v>
      </c>
      <c r="P12" s="28">
        <f t="shared" si="1"/>
        <v>270.77033295480049</v>
      </c>
      <c r="Q12" s="28">
        <f t="shared" si="1"/>
        <v>300.39668047379172</v>
      </c>
    </row>
    <row r="13" spans="1:17" x14ac:dyDescent="0.15">
      <c r="B13" s="121" t="s">
        <v>394</v>
      </c>
      <c r="C13" s="295">
        <f t="shared" ref="C13:G13" si="2">C$12/C$11</f>
        <v>8.5778165391374988E-3</v>
      </c>
      <c r="D13" s="295">
        <f t="shared" si="2"/>
        <v>8.4683536317176015E-3</v>
      </c>
      <c r="E13" s="295">
        <f t="shared" si="2"/>
        <v>8.4013595942902305E-3</v>
      </c>
      <c r="F13" s="295">
        <f t="shared" si="2"/>
        <v>8.8864947100770683E-3</v>
      </c>
      <c r="G13" s="295">
        <f t="shared" si="2"/>
        <v>8.7340400713894154E-3</v>
      </c>
      <c r="H13" s="296">
        <f t="shared" ref="H13:Q13" si="3">G13</f>
        <v>8.7340400713894154E-3</v>
      </c>
      <c r="I13" s="296">
        <f t="shared" si="3"/>
        <v>8.7340400713894154E-3</v>
      </c>
      <c r="J13" s="296">
        <f t="shared" si="3"/>
        <v>8.7340400713894154E-3</v>
      </c>
      <c r="K13" s="296">
        <f t="shared" si="3"/>
        <v>8.7340400713894154E-3</v>
      </c>
      <c r="L13" s="296">
        <f t="shared" si="3"/>
        <v>8.7340400713894154E-3</v>
      </c>
      <c r="M13" s="296">
        <f t="shared" si="3"/>
        <v>8.7340400713894154E-3</v>
      </c>
      <c r="N13" s="296">
        <f t="shared" si="3"/>
        <v>8.7340400713894154E-3</v>
      </c>
      <c r="O13" s="296">
        <f t="shared" si="3"/>
        <v>8.7340400713894154E-3</v>
      </c>
      <c r="P13" s="296">
        <f t="shared" si="3"/>
        <v>8.7340400713894154E-3</v>
      </c>
      <c r="Q13" s="296">
        <f t="shared" si="3"/>
        <v>8.7340400713894154E-3</v>
      </c>
    </row>
    <row r="14" spans="1:17" x14ac:dyDescent="0.15">
      <c r="B14" s="121"/>
      <c r="C14" s="19"/>
      <c r="D14" s="19"/>
      <c r="E14" s="19"/>
      <c r="F14" s="20"/>
      <c r="G14" s="20"/>
      <c r="H14" s="30"/>
      <c r="I14" s="30"/>
      <c r="J14" s="30"/>
      <c r="K14" s="30"/>
      <c r="L14" s="30"/>
      <c r="M14" s="30"/>
      <c r="N14" s="30"/>
      <c r="O14" s="30"/>
      <c r="P14" s="30"/>
      <c r="Q14" s="30"/>
    </row>
    <row r="15" spans="1:17" s="8" customFormat="1" x14ac:dyDescent="0.15">
      <c r="A15" s="4"/>
      <c r="B15" s="48" t="s">
        <v>6</v>
      </c>
      <c r="C15" s="11">
        <f t="shared" ref="C15:Q15" si="4">C29</f>
        <v>9910.7999999999993</v>
      </c>
      <c r="D15" s="11">
        <f t="shared" si="4"/>
        <v>11028.619999999999</v>
      </c>
      <c r="E15" s="11">
        <f t="shared" si="4"/>
        <v>12276.5</v>
      </c>
      <c r="F15" s="11">
        <f t="shared" si="4"/>
        <v>13315.970000000001</v>
      </c>
      <c r="G15" s="11">
        <f t="shared" si="4"/>
        <v>14096.11</v>
      </c>
      <c r="H15" s="124">
        <f t="shared" si="4"/>
        <v>15206.847796669594</v>
      </c>
      <c r="I15" s="124">
        <f t="shared" si="4"/>
        <v>16449.354017862825</v>
      </c>
      <c r="J15" s="124">
        <f t="shared" si="4"/>
        <v>17843.117027602631</v>
      </c>
      <c r="K15" s="124">
        <f t="shared" si="4"/>
        <v>19411.027480315584</v>
      </c>
      <c r="L15" s="124">
        <f t="shared" si="4"/>
        <v>21180.056675047068</v>
      </c>
      <c r="M15" s="124">
        <f t="shared" si="4"/>
        <v>23182.086119864551</v>
      </c>
      <c r="N15" s="124">
        <f t="shared" si="4"/>
        <v>25454.925434927056</v>
      </c>
      <c r="O15" s="124">
        <f t="shared" si="4"/>
        <v>28043.56565626416</v>
      </c>
      <c r="P15" s="124">
        <f t="shared" si="4"/>
        <v>31001.727807704712</v>
      </c>
      <c r="Q15" s="124">
        <f t="shared" si="4"/>
        <v>34393.783176907782</v>
      </c>
    </row>
    <row r="16" spans="1:17" s="16" customFormat="1" x14ac:dyDescent="0.15">
      <c r="A16" s="5"/>
      <c r="B16" s="121" t="s">
        <v>260</v>
      </c>
      <c r="C16" s="167"/>
      <c r="D16" s="168">
        <f>D15/C15-1</f>
        <v>0.11278806958065957</v>
      </c>
      <c r="E16" s="168">
        <f>E15/D15-1</f>
        <v>0.11314924260696269</v>
      </c>
      <c r="F16" s="168">
        <f t="shared" ref="F16:Q16" si="5">F15/E15-1</f>
        <v>8.4671526900989891E-2</v>
      </c>
      <c r="G16" s="168">
        <f t="shared" si="5"/>
        <v>5.858679465333716E-2</v>
      </c>
      <c r="H16" s="169">
        <f t="shared" si="5"/>
        <v>7.8797469420258004E-2</v>
      </c>
      <c r="I16" s="169">
        <f t="shared" si="5"/>
        <v>8.1707020271837516E-2</v>
      </c>
      <c r="J16" s="169">
        <f t="shared" si="5"/>
        <v>8.4730561955580708E-2</v>
      </c>
      <c r="K16" s="169">
        <f t="shared" si="5"/>
        <v>8.7872004105978396E-2</v>
      </c>
      <c r="L16" s="169">
        <f t="shared" si="5"/>
        <v>9.1135268162668259E-2</v>
      </c>
      <c r="M16" s="169">
        <f t="shared" si="5"/>
        <v>9.4524272315859248E-2</v>
      </c>
      <c r="N16" s="169">
        <f t="shared" si="5"/>
        <v>9.8042915694068089E-2</v>
      </c>
      <c r="O16" s="169">
        <f t="shared" si="5"/>
        <v>0.10169506204033874</v>
      </c>
      <c r="P16" s="169">
        <f t="shared" si="5"/>
        <v>0.10548452317723656</v>
      </c>
      <c r="Q16" s="169">
        <f t="shared" si="5"/>
        <v>0.10941504261449775</v>
      </c>
    </row>
    <row r="17" spans="1:17" x14ac:dyDescent="0.15">
      <c r="B17" s="38"/>
      <c r="C17" s="19"/>
      <c r="D17" s="19"/>
      <c r="E17" s="19"/>
      <c r="F17" s="20"/>
      <c r="G17" s="20"/>
      <c r="H17" s="30"/>
      <c r="I17" s="30"/>
      <c r="J17" s="30"/>
      <c r="K17" s="30"/>
      <c r="L17" s="30"/>
      <c r="M17" s="30"/>
      <c r="N17" s="30"/>
      <c r="O17" s="30"/>
      <c r="P17" s="30"/>
      <c r="Q17" s="30"/>
    </row>
    <row r="18" spans="1:17" x14ac:dyDescent="0.15">
      <c r="B18" s="38" t="s">
        <v>7</v>
      </c>
      <c r="C18" s="6">
        <v>112.3</v>
      </c>
      <c r="D18" s="6">
        <v>67.069999999999993</v>
      </c>
      <c r="E18" s="6">
        <v>89.71</v>
      </c>
      <c r="F18" s="6">
        <v>168.41</v>
      </c>
      <c r="G18" s="6">
        <v>268.95</v>
      </c>
      <c r="H18" s="35">
        <f t="shared" ref="H18:Q18" si="6">H11*H19</f>
        <v>290.12044632189799</v>
      </c>
      <c r="I18" s="35">
        <f t="shared" si="6"/>
        <v>313.8253235107959</v>
      </c>
      <c r="J18" s="35">
        <f t="shared" si="6"/>
        <v>340.41591952775758</v>
      </c>
      <c r="K18" s="35">
        <f t="shared" si="6"/>
        <v>370.32894860624111</v>
      </c>
      <c r="L18" s="35">
        <f t="shared" si="6"/>
        <v>404.07897664586994</v>
      </c>
      <c r="M18" s="35">
        <f t="shared" si="6"/>
        <v>442.27424787145782</v>
      </c>
      <c r="N18" s="35">
        <f t="shared" si="6"/>
        <v>485.63610466917652</v>
      </c>
      <c r="O18" s="35">
        <f t="shared" si="6"/>
        <v>535.02289846253689</v>
      </c>
      <c r="P18" s="35">
        <f t="shared" si="6"/>
        <v>591.45953379576065</v>
      </c>
      <c r="Q18" s="35">
        <f t="shared" si="6"/>
        <v>656.17410389077475</v>
      </c>
    </row>
    <row r="19" spans="1:17" x14ac:dyDescent="0.15">
      <c r="B19" s="38"/>
      <c r="C19" s="22">
        <f>C18/C11</f>
        <v>1.1428269039567457E-2</v>
      </c>
      <c r="D19" s="22">
        <f>D18/D11</f>
        <v>6.1329497686999192E-3</v>
      </c>
      <c r="E19" s="22">
        <f>E18/E11</f>
        <v>7.3688499139985967E-3</v>
      </c>
      <c r="F19" s="22">
        <f>F18/F11</f>
        <v>1.275960929426276E-2</v>
      </c>
      <c r="G19" s="22">
        <f>G18/G11</f>
        <v>1.9246375069235423E-2</v>
      </c>
      <c r="H19" s="190">
        <f>G19</f>
        <v>1.9246375069235423E-2</v>
      </c>
      <c r="I19" s="190">
        <f t="shared" ref="I19:Q19" si="7">H19</f>
        <v>1.9246375069235423E-2</v>
      </c>
      <c r="J19" s="190">
        <f t="shared" si="7"/>
        <v>1.9246375069235423E-2</v>
      </c>
      <c r="K19" s="190">
        <f t="shared" si="7"/>
        <v>1.9246375069235423E-2</v>
      </c>
      <c r="L19" s="190">
        <f t="shared" si="7"/>
        <v>1.9246375069235423E-2</v>
      </c>
      <c r="M19" s="190">
        <f t="shared" si="7"/>
        <v>1.9246375069235423E-2</v>
      </c>
      <c r="N19" s="190">
        <f t="shared" si="7"/>
        <v>1.9246375069235423E-2</v>
      </c>
      <c r="O19" s="190">
        <f t="shared" si="7"/>
        <v>1.9246375069235423E-2</v>
      </c>
      <c r="P19" s="190">
        <f t="shared" si="7"/>
        <v>1.9246375069235423E-2</v>
      </c>
      <c r="Q19" s="190">
        <f t="shared" si="7"/>
        <v>1.9246375069235423E-2</v>
      </c>
    </row>
    <row r="20" spans="1:17" x14ac:dyDescent="0.15">
      <c r="B20" s="38"/>
      <c r="C20" s="19"/>
      <c r="D20" s="19"/>
      <c r="E20" s="19"/>
      <c r="F20" s="20"/>
      <c r="G20" s="20"/>
      <c r="H20" s="30"/>
      <c r="I20" s="30"/>
      <c r="J20" s="30"/>
      <c r="K20" s="30"/>
      <c r="L20" s="30"/>
      <c r="M20" s="30"/>
      <c r="N20" s="30"/>
      <c r="O20" s="30"/>
      <c r="P20" s="30"/>
      <c r="Q20" s="30"/>
    </row>
    <row r="21" spans="1:17" x14ac:dyDescent="0.15">
      <c r="B21" s="38" t="s">
        <v>270</v>
      </c>
      <c r="C21" s="21">
        <v>0.81</v>
      </c>
      <c r="D21" s="21">
        <v>-0.01</v>
      </c>
      <c r="E21" s="21">
        <v>0.28000000000000003</v>
      </c>
      <c r="F21" s="21">
        <v>0</v>
      </c>
      <c r="G21" s="21">
        <v>0</v>
      </c>
      <c r="H21" s="68">
        <f t="shared" ref="H21:Q21" si="8">H22*H11</f>
        <v>1.5074030578653961</v>
      </c>
      <c r="I21" s="68">
        <f t="shared" si="8"/>
        <v>1.630568470072234</v>
      </c>
      <c r="J21" s="68">
        <f t="shared" si="8"/>
        <v>1.7687274528485062</v>
      </c>
      <c r="K21" s="68">
        <f t="shared" si="8"/>
        <v>1.924149078847567</v>
      </c>
      <c r="L21" s="68">
        <f t="shared" si="8"/>
        <v>2.0995069211332908</v>
      </c>
      <c r="M21" s="68">
        <f t="shared" si="8"/>
        <v>2.2979612850755253</v>
      </c>
      <c r="N21" s="68">
        <f t="shared" si="8"/>
        <v>2.5232601096164173</v>
      </c>
      <c r="O21" s="68">
        <f t="shared" si="8"/>
        <v>2.7798632030077708</v>
      </c>
      <c r="P21" s="68">
        <f t="shared" si="8"/>
        <v>3.0730957474749911</v>
      </c>
      <c r="Q21" s="68">
        <f t="shared" si="8"/>
        <v>3.4093386496433991</v>
      </c>
    </row>
    <row r="22" spans="1:17" s="16" customFormat="1" x14ac:dyDescent="0.15">
      <c r="A22" s="5"/>
      <c r="B22" s="41"/>
      <c r="C22" s="228">
        <f>C21/C11</f>
        <v>8.2430079448349438E-5</v>
      </c>
      <c r="D22" s="228">
        <f>D21/D11</f>
        <v>-9.144102830922797E-7</v>
      </c>
      <c r="E22" s="228">
        <f>E21/E11</f>
        <v>2.299942008605069E-5</v>
      </c>
      <c r="F22" s="228">
        <f>F21/F11</f>
        <v>0</v>
      </c>
      <c r="G22" s="228">
        <f>G21/G11</f>
        <v>0</v>
      </c>
      <c r="H22" s="190">
        <f>G22+0.0001</f>
        <v>1E-4</v>
      </c>
      <c r="I22" s="190">
        <f t="shared" ref="I22:Q22" si="9">H22</f>
        <v>1E-4</v>
      </c>
      <c r="J22" s="190">
        <f t="shared" si="9"/>
        <v>1E-4</v>
      </c>
      <c r="K22" s="190">
        <f t="shared" si="9"/>
        <v>1E-4</v>
      </c>
      <c r="L22" s="190">
        <f t="shared" si="9"/>
        <v>1E-4</v>
      </c>
      <c r="M22" s="190">
        <f t="shared" si="9"/>
        <v>1E-4</v>
      </c>
      <c r="N22" s="190">
        <f t="shared" si="9"/>
        <v>1E-4</v>
      </c>
      <c r="O22" s="190">
        <f t="shared" si="9"/>
        <v>1E-4</v>
      </c>
      <c r="P22" s="190">
        <f t="shared" si="9"/>
        <v>1E-4</v>
      </c>
      <c r="Q22" s="190">
        <f t="shared" si="9"/>
        <v>1E-4</v>
      </c>
    </row>
    <row r="23" spans="1:17" s="16" customFormat="1" x14ac:dyDescent="0.15">
      <c r="A23" s="5"/>
      <c r="C23" s="307"/>
      <c r="D23" s="228"/>
      <c r="E23" s="228"/>
      <c r="F23" s="228"/>
      <c r="G23" s="228"/>
      <c r="H23" s="68"/>
      <c r="I23" s="68"/>
      <c r="J23" s="68"/>
      <c r="K23" s="68"/>
      <c r="L23" s="68"/>
      <c r="M23" s="68"/>
      <c r="N23" s="68"/>
      <c r="O23" s="68"/>
      <c r="P23" s="68"/>
      <c r="Q23" s="68"/>
    </row>
    <row r="24" spans="1:17" s="16" customFormat="1" x14ac:dyDescent="0.15">
      <c r="A24" s="5"/>
      <c r="B24" s="38" t="s">
        <v>373</v>
      </c>
      <c r="C24" s="21">
        <f>'P&amp;L Input'!C38</f>
        <v>-81.05</v>
      </c>
      <c r="D24" s="21">
        <f>'P&amp;L Input'!D38</f>
        <v>-44.47</v>
      </c>
      <c r="E24" s="21">
        <f>'P&amp;L Input'!E38</f>
        <v>-9.75</v>
      </c>
      <c r="F24" s="21">
        <f>'P&amp;L Input'!F38</f>
        <v>-54.11</v>
      </c>
      <c r="G24" s="21">
        <f>'P&amp;L Input'!G38</f>
        <v>-2476.86</v>
      </c>
      <c r="H24" s="68">
        <f t="shared" ref="H24:Q24" si="10">H25*H11</f>
        <v>-586.26519242946551</v>
      </c>
      <c r="I24" s="68">
        <f t="shared" si="10"/>
        <v>-634.16717439197259</v>
      </c>
      <c r="J24" s="68">
        <f t="shared" si="10"/>
        <v>-687.9005154519873</v>
      </c>
      <c r="K24" s="68">
        <f t="shared" si="10"/>
        <v>-748.34771237028906</v>
      </c>
      <c r="L24" s="68">
        <f t="shared" si="10"/>
        <v>-816.5485818160746</v>
      </c>
      <c r="M24" s="68">
        <f t="shared" si="10"/>
        <v>-893.73224232278596</v>
      </c>
      <c r="N24" s="68">
        <f t="shared" si="10"/>
        <v>-981.35635720990922</v>
      </c>
      <c r="O24" s="68">
        <f t="shared" si="10"/>
        <v>-1081.1554528400518</v>
      </c>
      <c r="P24" s="68">
        <f t="shared" si="10"/>
        <v>-1195.2006202633538</v>
      </c>
      <c r="Q24" s="68">
        <f t="shared" si="10"/>
        <v>-1325.9735470623427</v>
      </c>
    </row>
    <row r="25" spans="1:17" x14ac:dyDescent="0.15">
      <c r="B25" s="38"/>
      <c r="C25" s="228">
        <f>C24/C11</f>
        <v>-8.2480962213440992E-3</v>
      </c>
      <c r="D25" s="228">
        <f t="shared" ref="D25:G25" si="11">D24/D11</f>
        <v>-4.0663825289113673E-3</v>
      </c>
      <c r="E25" s="228">
        <f t="shared" si="11"/>
        <v>-8.0087266371069361E-4</v>
      </c>
      <c r="F25" s="228">
        <f t="shared" si="11"/>
        <v>-4.0996523894813721E-3</v>
      </c>
      <c r="G25" s="228">
        <f t="shared" si="11"/>
        <v>-0.17724698477035306</v>
      </c>
      <c r="H25" s="190">
        <f>AVERAGE(C25:G25)</f>
        <v>-3.8892397714760121E-2</v>
      </c>
      <c r="I25" s="190">
        <f t="shared" ref="I25:Q25" si="12">H25</f>
        <v>-3.8892397714760121E-2</v>
      </c>
      <c r="J25" s="190">
        <f t="shared" si="12"/>
        <v>-3.8892397714760121E-2</v>
      </c>
      <c r="K25" s="190">
        <f t="shared" si="12"/>
        <v>-3.8892397714760121E-2</v>
      </c>
      <c r="L25" s="190">
        <f t="shared" si="12"/>
        <v>-3.8892397714760121E-2</v>
      </c>
      <c r="M25" s="190">
        <f t="shared" si="12"/>
        <v>-3.8892397714760121E-2</v>
      </c>
      <c r="N25" s="190">
        <f t="shared" si="12"/>
        <v>-3.8892397714760121E-2</v>
      </c>
      <c r="O25" s="190">
        <f t="shared" si="12"/>
        <v>-3.8892397714760121E-2</v>
      </c>
      <c r="P25" s="190">
        <f t="shared" si="12"/>
        <v>-3.8892397714760121E-2</v>
      </c>
      <c r="Q25" s="190">
        <f t="shared" si="12"/>
        <v>-3.8892397714760121E-2</v>
      </c>
    </row>
    <row r="26" spans="1:17" x14ac:dyDescent="0.15">
      <c r="B26" s="48" t="s">
        <v>313</v>
      </c>
      <c r="C26" s="4"/>
      <c r="H26" s="28"/>
      <c r="I26" s="28"/>
      <c r="J26" s="28"/>
      <c r="K26" s="28"/>
      <c r="L26" s="28"/>
      <c r="M26" s="28"/>
      <c r="N26" s="28"/>
      <c r="O26" s="28"/>
      <c r="P26" s="28"/>
      <c r="Q26" s="28"/>
    </row>
    <row r="27" spans="1:17" x14ac:dyDescent="0.15">
      <c r="B27" s="38" t="s">
        <v>311</v>
      </c>
      <c r="C27" s="6">
        <v>5376.29</v>
      </c>
      <c r="D27" s="6">
        <v>6127.62</v>
      </c>
      <c r="E27" s="6">
        <v>6802.22</v>
      </c>
      <c r="F27" s="6">
        <v>7575.32</v>
      </c>
      <c r="G27" s="6">
        <v>8317.25</v>
      </c>
      <c r="H27" s="28">
        <f t="shared" ref="H27:Q27" si="13">G27*(1+H30)</f>
        <v>9138.3616930822718</v>
      </c>
      <c r="I27" s="28">
        <f t="shared" si="13"/>
        <v>10067.602020240782</v>
      </c>
      <c r="J27" s="28">
        <f t="shared" si="13"/>
        <v>11122.044684305421</v>
      </c>
      <c r="K27" s="28">
        <f t="shared" si="13"/>
        <v>12321.872126359893</v>
      </c>
      <c r="L27" s="28">
        <f t="shared" si="13"/>
        <v>13691.012815537444</v>
      </c>
      <c r="M27" s="28">
        <f t="shared" si="13"/>
        <v>15257.923282182699</v>
      </c>
      <c r="N27" s="28">
        <f t="shared" si="13"/>
        <v>17056.550893784963</v>
      </c>
      <c r="O27" s="28">
        <f t="shared" si="13"/>
        <v>19127.523090574537</v>
      </c>
      <c r="P27" s="28">
        <f t="shared" si="13"/>
        <v>21519.621342063256</v>
      </c>
      <c r="Q27" s="28">
        <f t="shared" si="13"/>
        <v>24291.614338308947</v>
      </c>
    </row>
    <row r="28" spans="1:17" x14ac:dyDescent="0.15">
      <c r="B28" s="38" t="s">
        <v>312</v>
      </c>
      <c r="C28" s="6">
        <v>4534.5099999999993</v>
      </c>
      <c r="D28" s="6">
        <v>4901</v>
      </c>
      <c r="E28" s="6">
        <v>5474.28</v>
      </c>
      <c r="F28" s="6">
        <v>5740.6500000000005</v>
      </c>
      <c r="G28" s="6">
        <v>5778.86</v>
      </c>
      <c r="H28" s="28">
        <f t="shared" ref="H28:Q28" si="14">G28*(1+H31)</f>
        <v>6068.4861035873209</v>
      </c>
      <c r="I28" s="28">
        <f t="shared" si="14"/>
        <v>6381.751997622041</v>
      </c>
      <c r="J28" s="28">
        <f t="shared" si="14"/>
        <v>6721.07234329721</v>
      </c>
      <c r="K28" s="28">
        <f t="shared" si="14"/>
        <v>7089.1553539556908</v>
      </c>
      <c r="L28" s="28">
        <f t="shared" si="14"/>
        <v>7489.043859509623</v>
      </c>
      <c r="M28" s="28">
        <f t="shared" si="14"/>
        <v>7924.1628376818508</v>
      </c>
      <c r="N28" s="28">
        <f t="shared" si="14"/>
        <v>8398.374541142095</v>
      </c>
      <c r="O28" s="28">
        <f t="shared" si="14"/>
        <v>8916.0425656896223</v>
      </c>
      <c r="P28" s="28">
        <f t="shared" si="14"/>
        <v>9482.1064656414565</v>
      </c>
      <c r="Q28" s="28">
        <f t="shared" si="14"/>
        <v>10102.168838598833</v>
      </c>
    </row>
    <row r="29" spans="1:17" x14ac:dyDescent="0.15">
      <c r="B29" s="38"/>
      <c r="C29" s="17">
        <f t="shared" ref="C29:G29" si="15">SUM(C27:C28)</f>
        <v>9910.7999999999993</v>
      </c>
      <c r="D29" s="17">
        <f t="shared" si="15"/>
        <v>11028.619999999999</v>
      </c>
      <c r="E29" s="17">
        <f t="shared" si="15"/>
        <v>12276.5</v>
      </c>
      <c r="F29" s="17">
        <f t="shared" si="15"/>
        <v>13315.970000000001</v>
      </c>
      <c r="G29" s="17">
        <f t="shared" si="15"/>
        <v>14096.11</v>
      </c>
      <c r="H29" s="31">
        <f t="shared" ref="H29:Q29" si="16">SUM(H27:H28)</f>
        <v>15206.847796669594</v>
      </c>
      <c r="I29" s="31">
        <f t="shared" si="16"/>
        <v>16449.354017862825</v>
      </c>
      <c r="J29" s="31">
        <f t="shared" si="16"/>
        <v>17843.117027602631</v>
      </c>
      <c r="K29" s="31">
        <f t="shared" si="16"/>
        <v>19411.027480315584</v>
      </c>
      <c r="L29" s="31">
        <f t="shared" si="16"/>
        <v>21180.056675047068</v>
      </c>
      <c r="M29" s="31">
        <f t="shared" si="16"/>
        <v>23182.086119864551</v>
      </c>
      <c r="N29" s="31">
        <f t="shared" si="16"/>
        <v>25454.925434927056</v>
      </c>
      <c r="O29" s="31">
        <f t="shared" si="16"/>
        <v>28043.56565626416</v>
      </c>
      <c r="P29" s="31">
        <f t="shared" si="16"/>
        <v>31001.727807704712</v>
      </c>
      <c r="Q29" s="31">
        <f t="shared" si="16"/>
        <v>34393.783176907782</v>
      </c>
    </row>
    <row r="30" spans="1:17" x14ac:dyDescent="0.15">
      <c r="B30" s="38" t="s">
        <v>353</v>
      </c>
      <c r="D30" s="15">
        <f t="shared" ref="D30:G30" si="17">D27/C27-1</f>
        <v>0.13974878587278594</v>
      </c>
      <c r="E30" s="15">
        <f t="shared" si="17"/>
        <v>0.11009168323100971</v>
      </c>
      <c r="F30" s="15">
        <f t="shared" si="17"/>
        <v>0.11365407175892561</v>
      </c>
      <c r="G30" s="15">
        <f t="shared" si="17"/>
        <v>9.7940417038488103E-2</v>
      </c>
      <c r="H30" s="191">
        <f t="array" ref="H30:Q30">CHOOSE(Assumptions!D18,'Revenue Buildup'!H33:Q33,'Revenue Buildup'!H34:Q34,'Revenue Buildup'!H35:Q35)</f>
        <v>9.872394037479601E-2</v>
      </c>
      <c r="I30" s="191">
        <v>0.1016856585860399</v>
      </c>
      <c r="J30" s="191">
        <v>0.10473622834362109</v>
      </c>
      <c r="K30" s="191">
        <v>0.10787831519392972</v>
      </c>
      <c r="L30" s="191">
        <v>0.11111466464974762</v>
      </c>
      <c r="M30" s="191">
        <v>0.11444810458924005</v>
      </c>
      <c r="N30" s="191">
        <v>0.11788154772691727</v>
      </c>
      <c r="O30" s="191">
        <v>0.12141799415872478</v>
      </c>
      <c r="P30" s="191">
        <v>0.12506053398348654</v>
      </c>
      <c r="Q30" s="191">
        <v>0.12881235000299116</v>
      </c>
    </row>
    <row r="31" spans="1:17" x14ac:dyDescent="0.15">
      <c r="B31" s="121" t="s">
        <v>354</v>
      </c>
      <c r="C31" s="26"/>
      <c r="D31" s="15">
        <f t="shared" ref="D31:G31" si="18">D28/C28-1</f>
        <v>8.0822404184796248E-2</v>
      </c>
      <c r="E31" s="15">
        <f t="shared" si="18"/>
        <v>0.11697204652111814</v>
      </c>
      <c r="F31" s="15">
        <f t="shared" si="18"/>
        <v>4.8658453714461203E-2</v>
      </c>
      <c r="G31" s="15">
        <f t="shared" si="18"/>
        <v>6.6560406922560045E-3</v>
      </c>
      <c r="H31" s="29">
        <f t="array" ref="H31:Q31">CHOOSE(Assumptions!D18,'Revenue Buildup'!H39:Q39,'Revenue Buildup'!H40:Q40,'Revenue Buildup'!H41:Q41)</f>
        <v>5.0118207325895038E-2</v>
      </c>
      <c r="I31" s="29">
        <v>5.1621753545671889E-2</v>
      </c>
      <c r="J31" s="29">
        <v>5.3170406152042049E-2</v>
      </c>
      <c r="K31" s="29">
        <v>5.4765518336603314E-2</v>
      </c>
      <c r="L31" s="29">
        <v>5.6408483886701416E-2</v>
      </c>
      <c r="M31" s="29">
        <v>5.810073840330246E-2</v>
      </c>
      <c r="N31" s="29">
        <v>5.9843760555401533E-2</v>
      </c>
      <c r="O31" s="29">
        <v>6.1639073372063584E-2</v>
      </c>
      <c r="P31" s="29">
        <v>6.3488245573225494E-2</v>
      </c>
      <c r="Q31" s="29">
        <v>6.5392892940422262E-2</v>
      </c>
    </row>
    <row r="32" spans="1:17" x14ac:dyDescent="0.15">
      <c r="B32" s="125" t="s">
        <v>348</v>
      </c>
      <c r="C32" s="235"/>
      <c r="H32" s="410"/>
      <c r="I32" s="410"/>
      <c r="J32" s="410"/>
      <c r="K32" s="410"/>
      <c r="L32" s="410"/>
      <c r="M32" s="410"/>
      <c r="N32" s="410"/>
      <c r="O32" s="410"/>
      <c r="P32" s="410"/>
      <c r="Q32" s="410"/>
    </row>
    <row r="33" spans="2:17" x14ac:dyDescent="0.15">
      <c r="B33" s="121" t="s">
        <v>70</v>
      </c>
      <c r="C33" s="32"/>
      <c r="D33" s="32"/>
      <c r="E33" s="32"/>
      <c r="F33" s="32"/>
      <c r="G33" s="32"/>
      <c r="H33" s="33">
        <f>H34+0.02</f>
        <v>0.11872394037479601</v>
      </c>
      <c r="I33" s="33">
        <f>H33*(1+Assumptions!$D$31)</f>
        <v>0.1222856585860399</v>
      </c>
      <c r="J33" s="33">
        <f>I33*(1+Assumptions!$D$31)</f>
        <v>0.12595422834362111</v>
      </c>
      <c r="K33" s="33">
        <f>J33*(1+Assumptions!$D$31)</f>
        <v>0.12973285519392974</v>
      </c>
      <c r="L33" s="33">
        <f>K33*(1+Assumptions!$D$31)</f>
        <v>0.13362484084974763</v>
      </c>
      <c r="M33" s="33">
        <f>L33*(1+Assumptions!$D$31)</f>
        <v>0.13763358607524007</v>
      </c>
      <c r="N33" s="33">
        <f>M33*(1+Assumptions!$D$31)</f>
        <v>0.14176259365749727</v>
      </c>
      <c r="O33" s="33">
        <f>N33*(1+Assumptions!$D$31)</f>
        <v>0.14601547146722219</v>
      </c>
      <c r="P33" s="33">
        <f>O33*(1+Assumptions!$D$31)</f>
        <v>0.15039593561123885</v>
      </c>
      <c r="Q33" s="33">
        <f>P33*(1+Assumptions!$D$31)</f>
        <v>0.15490781367957601</v>
      </c>
    </row>
    <row r="34" spans="2:17" x14ac:dyDescent="0.15">
      <c r="B34" s="121" t="s">
        <v>71</v>
      </c>
      <c r="C34" s="32"/>
      <c r="D34" s="32"/>
      <c r="E34" s="32"/>
      <c r="F34" s="32"/>
      <c r="G34" s="32"/>
      <c r="H34" s="33">
        <f>G30*(1+Assumptions!$D$30)</f>
        <v>9.872394037479601E-2</v>
      </c>
      <c r="I34" s="33">
        <f>H34*(1+Assumptions!$D$31)</f>
        <v>0.1016856585860399</v>
      </c>
      <c r="J34" s="33">
        <f>I34*(1+Assumptions!$D$31)</f>
        <v>0.10473622834362109</v>
      </c>
      <c r="K34" s="33">
        <f>J34*(1+Assumptions!$D$31)</f>
        <v>0.10787831519392972</v>
      </c>
      <c r="L34" s="33">
        <f>K34*(1+Assumptions!$D$31)</f>
        <v>0.11111466464974762</v>
      </c>
      <c r="M34" s="33">
        <f>L34*(1+Assumptions!$D$31)</f>
        <v>0.11444810458924005</v>
      </c>
      <c r="N34" s="33">
        <f>M34*(1+Assumptions!$D$31)</f>
        <v>0.11788154772691727</v>
      </c>
      <c r="O34" s="33">
        <f>N34*(1+Assumptions!$D$31)</f>
        <v>0.12141799415872478</v>
      </c>
      <c r="P34" s="33">
        <f>O34*(1+Assumptions!$D$31)</f>
        <v>0.12506053398348654</v>
      </c>
      <c r="Q34" s="33">
        <f>P34*(1+Assumptions!$D$31)</f>
        <v>0.12881235000299116</v>
      </c>
    </row>
    <row r="35" spans="2:17" x14ac:dyDescent="0.15">
      <c r="B35" s="121" t="s">
        <v>72</v>
      </c>
      <c r="C35" s="32"/>
      <c r="D35" s="32"/>
      <c r="E35" s="32"/>
      <c r="F35" s="32"/>
      <c r="G35" s="32"/>
      <c r="H35" s="33">
        <f>H34-0.02</f>
        <v>7.8723940374796006E-2</v>
      </c>
      <c r="I35" s="33">
        <f>H35*(1+Assumptions!$D$31)</f>
        <v>8.1085658586039888E-2</v>
      </c>
      <c r="J35" s="33">
        <f>I35*(1+Assumptions!$D$31)</f>
        <v>8.351822834362109E-2</v>
      </c>
      <c r="K35" s="33">
        <f>J35*(1+Assumptions!$D$31)</f>
        <v>8.602377519392973E-2</v>
      </c>
      <c r="L35" s="33">
        <f>K35*(1+Assumptions!$D$31)</f>
        <v>8.8604488449747623E-2</v>
      </c>
      <c r="M35" s="33">
        <f>L35*(1+Assumptions!$D$31)</f>
        <v>9.1262623103240056E-2</v>
      </c>
      <c r="N35" s="33">
        <f>M35*(1+Assumptions!$D$31)</f>
        <v>9.400050179633726E-2</v>
      </c>
      <c r="O35" s="33">
        <f>N35*(1+Assumptions!$D$31)</f>
        <v>9.6820516850227384E-2</v>
      </c>
      <c r="P35" s="33">
        <f>O35*(1+Assumptions!$D$31)</f>
        <v>9.9725132355734214E-2</v>
      </c>
      <c r="Q35" s="33">
        <f>P35*(1+Assumptions!$D$31)</f>
        <v>0.10271688632640624</v>
      </c>
    </row>
    <row r="36" spans="2:17" x14ac:dyDescent="0.15">
      <c r="C36" s="158"/>
      <c r="D36" s="219"/>
      <c r="H36" s="35"/>
      <c r="I36" s="35"/>
      <c r="J36" s="35"/>
      <c r="K36" s="35"/>
      <c r="L36" s="35"/>
      <c r="M36" s="35"/>
      <c r="N36" s="35"/>
      <c r="O36" s="35"/>
      <c r="P36" s="35"/>
      <c r="Q36" s="35"/>
    </row>
    <row r="37" spans="2:17" x14ac:dyDescent="0.15">
      <c r="C37" s="158"/>
    </row>
    <row r="38" spans="2:17" x14ac:dyDescent="0.15">
      <c r="B38" s="125" t="s">
        <v>349</v>
      </c>
      <c r="C38" s="235"/>
      <c r="H38" s="28"/>
      <c r="I38" s="28"/>
      <c r="J38" s="28"/>
      <c r="K38" s="28"/>
      <c r="L38" s="28"/>
      <c r="M38" s="28"/>
      <c r="N38" s="28"/>
      <c r="O38" s="28"/>
      <c r="P38" s="28"/>
      <c r="Q38" s="28"/>
    </row>
    <row r="39" spans="2:17" x14ac:dyDescent="0.15">
      <c r="B39" s="121" t="s">
        <v>70</v>
      </c>
      <c r="C39" s="32"/>
      <c r="D39" s="32"/>
      <c r="E39" s="32"/>
      <c r="F39" s="32"/>
      <c r="G39" s="32"/>
      <c r="H39" s="33">
        <f>H40+0.02</f>
        <v>7.0118207325895035E-2</v>
      </c>
      <c r="I39" s="33">
        <f>H39*(1+Assumptions!$D$31)</f>
        <v>7.2221753545671882E-2</v>
      </c>
      <c r="J39" s="33">
        <f>I39*(1+Assumptions!$D$31)</f>
        <v>7.4388406152042036E-2</v>
      </c>
      <c r="K39" s="33">
        <f>J39*(1+Assumptions!$D$31)</f>
        <v>7.6620058336603306E-2</v>
      </c>
      <c r="L39" s="33">
        <f>K39*(1+Assumptions!$D$31)</f>
        <v>7.8918660086701412E-2</v>
      </c>
      <c r="M39" s="33">
        <f>L39*(1+Assumptions!$D$31)</f>
        <v>8.1286219889302458E-2</v>
      </c>
      <c r="N39" s="33">
        <f>M39*(1+Assumptions!$D$31)</f>
        <v>8.3724806485981532E-2</v>
      </c>
      <c r="O39" s="33">
        <f>N39*(1+Assumptions!$D$31)</f>
        <v>8.6236550680560978E-2</v>
      </c>
      <c r="P39" s="33">
        <f>O39*(1+Assumptions!$D$31)</f>
        <v>8.8823647200977809E-2</v>
      </c>
      <c r="Q39" s="33">
        <f>P39*(1+Assumptions!$D$31)</f>
        <v>9.1488356617007147E-2</v>
      </c>
    </row>
    <row r="40" spans="2:17" x14ac:dyDescent="0.15">
      <c r="B40" s="121" t="s">
        <v>71</v>
      </c>
      <c r="C40" s="32"/>
      <c r="D40" s="32"/>
      <c r="E40" s="32"/>
      <c r="F40" s="32"/>
      <c r="G40" s="32"/>
      <c r="H40" s="311">
        <f>F31*(1+Assumptions!$D$31)</f>
        <v>5.0118207325895038E-2</v>
      </c>
      <c r="I40" s="33">
        <f>H40*(1+Assumptions!$D$31)</f>
        <v>5.1621753545671889E-2</v>
      </c>
      <c r="J40" s="33">
        <f>I40*(1+Assumptions!$D$31)</f>
        <v>5.3170406152042049E-2</v>
      </c>
      <c r="K40" s="33">
        <f>J40*(1+Assumptions!$D$31)</f>
        <v>5.4765518336603314E-2</v>
      </c>
      <c r="L40" s="33">
        <f>K40*(1+Assumptions!$D$31)</f>
        <v>5.6408483886701416E-2</v>
      </c>
      <c r="M40" s="33">
        <f>L40*(1+Assumptions!$D$31)</f>
        <v>5.810073840330246E-2</v>
      </c>
      <c r="N40" s="33">
        <f>M40*(1+Assumptions!$D$31)</f>
        <v>5.9843760555401533E-2</v>
      </c>
      <c r="O40" s="33">
        <f>N40*(1+Assumptions!$D$31)</f>
        <v>6.1639073372063584E-2</v>
      </c>
      <c r="P40" s="33">
        <f>O40*(1+Assumptions!$D$31)</f>
        <v>6.3488245573225494E-2</v>
      </c>
      <c r="Q40" s="33">
        <f>P40*(1+Assumptions!$D$31)</f>
        <v>6.5392892940422262E-2</v>
      </c>
    </row>
    <row r="41" spans="2:17" x14ac:dyDescent="0.15">
      <c r="B41" s="121" t="s">
        <v>72</v>
      </c>
      <c r="C41" s="32"/>
      <c r="D41" s="32"/>
      <c r="E41" s="32"/>
      <c r="F41" s="32"/>
      <c r="G41" s="32"/>
      <c r="H41" s="33">
        <f>H40-0.02</f>
        <v>3.0118207325895038E-2</v>
      </c>
      <c r="I41" s="33">
        <f>H41*(1+Assumptions!$D$31)</f>
        <v>3.1021753545671889E-2</v>
      </c>
      <c r="J41" s="33">
        <f>I41*(1+Assumptions!$D$31)</f>
        <v>3.1952406152042048E-2</v>
      </c>
      <c r="K41" s="33">
        <f>J41*(1+Assumptions!$D$31)</f>
        <v>3.2910978336603308E-2</v>
      </c>
      <c r="L41" s="33">
        <f>K41*(1+Assumptions!$D$31)</f>
        <v>3.3898307686701407E-2</v>
      </c>
      <c r="M41" s="33">
        <f>L41*(1+Assumptions!$D$31)</f>
        <v>3.4915256917302448E-2</v>
      </c>
      <c r="N41" s="33">
        <f>M41*(1+Assumptions!$D$31)</f>
        <v>3.5962714624821521E-2</v>
      </c>
      <c r="O41" s="33">
        <f>N41*(1+Assumptions!$D$31)</f>
        <v>3.7041596063566169E-2</v>
      </c>
      <c r="P41" s="33">
        <f>O41*(1+Assumptions!$D$31)</f>
        <v>3.8152843945473157E-2</v>
      </c>
      <c r="Q41" s="33">
        <f>P41*(1+Assumptions!$D$31)</f>
        <v>3.929742926383735E-2</v>
      </c>
    </row>
    <row r="42" spans="2:17" x14ac:dyDescent="0.15">
      <c r="C42" s="158"/>
      <c r="D42" s="219"/>
      <c r="H42" s="35"/>
      <c r="I42" s="35"/>
      <c r="J42" s="35"/>
      <c r="K42" s="35"/>
      <c r="L42" s="35"/>
      <c r="M42" s="35"/>
      <c r="N42" s="35"/>
      <c r="O42" s="35"/>
      <c r="P42" s="35"/>
      <c r="Q42" s="35"/>
    </row>
    <row r="43" spans="2:17" ht="15" x14ac:dyDescent="0.2">
      <c r="C43" s="275"/>
      <c r="D43" s="275"/>
      <c r="E43" s="275"/>
      <c r="F43" s="275"/>
      <c r="G43" s="275"/>
    </row>
    <row r="44" spans="2:17" ht="15" x14ac:dyDescent="0.2">
      <c r="C44" s="275"/>
      <c r="D44" s="275"/>
      <c r="E44" s="275"/>
      <c r="F44" s="275"/>
      <c r="G44" s="275"/>
    </row>
  </sheetData>
  <mergeCells count="3">
    <mergeCell ref="B8:B9"/>
    <mergeCell ref="P6:Q6"/>
    <mergeCell ref="B7:Q7"/>
  </mergeCells>
  <pageMargins left="0.7" right="0.7" top="0.75" bottom="0.75" header="0.3" footer="0.3"/>
  <pageSetup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9" tint="0.39997558519241921"/>
  </sheetPr>
  <dimension ref="A6:Q36"/>
  <sheetViews>
    <sheetView showGridLines="0" topLeftCell="A15" zoomScale="125" zoomScaleNormal="100" workbookViewId="0">
      <selection activeCell="H34" sqref="H34"/>
    </sheetView>
  </sheetViews>
  <sheetFormatPr baseColWidth="10" defaultColWidth="8.83203125" defaultRowHeight="14" x14ac:dyDescent="0.15"/>
  <cols>
    <col min="1" max="1" width="5" style="2" customWidth="1"/>
    <col min="2" max="2" width="27.5" style="2" bestFit="1" customWidth="1"/>
    <col min="3" max="10" width="13.1640625" style="2" bestFit="1" customWidth="1"/>
    <col min="11" max="17" width="14.33203125" style="2" bestFit="1" customWidth="1"/>
    <col min="18" max="16384" width="8.83203125" style="2"/>
  </cols>
  <sheetData>
    <row r="6" spans="2:17" x14ac:dyDescent="0.15">
      <c r="P6" s="362" t="s">
        <v>76</v>
      </c>
      <c r="Q6" s="362"/>
    </row>
    <row r="7" spans="2:17" ht="16" x14ac:dyDescent="0.2">
      <c r="B7" s="377" t="s">
        <v>177</v>
      </c>
      <c r="C7" s="378"/>
      <c r="D7" s="378"/>
      <c r="E7" s="378"/>
      <c r="F7" s="378"/>
      <c r="G7" s="378"/>
      <c r="H7" s="378"/>
      <c r="I7" s="378"/>
      <c r="J7" s="378"/>
      <c r="K7" s="378"/>
      <c r="L7" s="378"/>
      <c r="M7" s="378"/>
      <c r="N7" s="378"/>
      <c r="O7" s="378"/>
      <c r="P7" s="378"/>
      <c r="Q7" s="379"/>
    </row>
    <row r="8" spans="2:17" x14ac:dyDescent="0.15">
      <c r="B8" s="375" t="s">
        <v>0</v>
      </c>
      <c r="C8" s="234">
        <v>2020</v>
      </c>
      <c r="D8" s="234">
        <v>2021</v>
      </c>
      <c r="E8" s="234">
        <v>2022</v>
      </c>
      <c r="F8" s="234">
        <v>2023</v>
      </c>
      <c r="G8" s="234">
        <v>2024</v>
      </c>
      <c r="H8" s="263">
        <v>2025</v>
      </c>
      <c r="I8" s="263">
        <v>2026</v>
      </c>
      <c r="J8" s="263">
        <v>2027</v>
      </c>
      <c r="K8" s="263">
        <v>2028</v>
      </c>
      <c r="L8" s="263">
        <v>2029</v>
      </c>
      <c r="M8" s="263">
        <v>2030</v>
      </c>
      <c r="N8" s="263">
        <v>2031</v>
      </c>
      <c r="O8" s="263">
        <v>2032</v>
      </c>
      <c r="P8" s="263">
        <v>2033</v>
      </c>
      <c r="Q8" s="263">
        <v>2034</v>
      </c>
    </row>
    <row r="9" spans="2:17" s="5" customFormat="1" x14ac:dyDescent="0.15">
      <c r="B9" s="376"/>
      <c r="C9" s="13" t="s">
        <v>2</v>
      </c>
      <c r="D9" s="13" t="s">
        <v>2</v>
      </c>
      <c r="E9" s="13" t="s">
        <v>2</v>
      </c>
      <c r="F9" s="13" t="s">
        <v>2</v>
      </c>
      <c r="G9" s="13" t="s">
        <v>2</v>
      </c>
      <c r="H9" s="119" t="s">
        <v>60</v>
      </c>
      <c r="I9" s="119" t="s">
        <v>61</v>
      </c>
      <c r="J9" s="119" t="s">
        <v>61</v>
      </c>
      <c r="K9" s="119" t="s">
        <v>61</v>
      </c>
      <c r="L9" s="119" t="s">
        <v>61</v>
      </c>
      <c r="M9" s="119" t="s">
        <v>61</v>
      </c>
      <c r="N9" s="119" t="s">
        <v>61</v>
      </c>
      <c r="O9" s="119" t="s">
        <v>61</v>
      </c>
      <c r="P9" s="119" t="s">
        <v>61</v>
      </c>
      <c r="Q9" s="119" t="s">
        <v>61</v>
      </c>
    </row>
    <row r="10" spans="2:17" x14ac:dyDescent="0.15">
      <c r="B10" s="38"/>
      <c r="H10" s="34"/>
      <c r="I10" s="34"/>
      <c r="J10" s="34"/>
      <c r="K10" s="34"/>
      <c r="L10" s="34"/>
      <c r="M10" s="34"/>
      <c r="N10" s="34"/>
      <c r="O10" s="34"/>
      <c r="P10" s="34"/>
      <c r="Q10" s="34"/>
    </row>
    <row r="11" spans="2:17" s="4" customFormat="1" x14ac:dyDescent="0.15">
      <c r="B11" s="48" t="str">
        <f>'Revenue Buildup'!B15</f>
        <v>Revenue from Operations</v>
      </c>
      <c r="C11" s="148">
        <f>'Revenue Buildup'!C15</f>
        <v>9910.7999999999993</v>
      </c>
      <c r="D11" s="149">
        <f>'Revenue Buildup'!D15</f>
        <v>11028.619999999999</v>
      </c>
      <c r="E11" s="149">
        <f>'Revenue Buildup'!E15</f>
        <v>12276.5</v>
      </c>
      <c r="F11" s="149">
        <f>'Revenue Buildup'!F15</f>
        <v>13315.970000000001</v>
      </c>
      <c r="G11" s="149">
        <f>'Revenue Buildup'!G15</f>
        <v>14096.11</v>
      </c>
      <c r="H11" s="65">
        <f>'Revenue Buildup'!H15</f>
        <v>15206.847796669594</v>
      </c>
      <c r="I11" s="65">
        <f>'Revenue Buildup'!I15</f>
        <v>16449.354017862825</v>
      </c>
      <c r="J11" s="65">
        <f>'Revenue Buildup'!J15</f>
        <v>17843.117027602631</v>
      </c>
      <c r="K11" s="65">
        <f>'Revenue Buildup'!K15</f>
        <v>19411.027480315584</v>
      </c>
      <c r="L11" s="65">
        <f>'Revenue Buildup'!L15</f>
        <v>21180.056675047068</v>
      </c>
      <c r="M11" s="65">
        <f>'Revenue Buildup'!M15</f>
        <v>23182.086119864551</v>
      </c>
      <c r="N11" s="65">
        <f>'Revenue Buildup'!N15</f>
        <v>25454.925434927056</v>
      </c>
      <c r="O11" s="65">
        <f>'Revenue Buildup'!O15</f>
        <v>28043.56565626416</v>
      </c>
      <c r="P11" s="65">
        <f>'Revenue Buildup'!P15</f>
        <v>31001.727807704712</v>
      </c>
      <c r="Q11" s="65">
        <f>'Revenue Buildup'!Q15</f>
        <v>34393.783176907782</v>
      </c>
    </row>
    <row r="12" spans="2:17" x14ac:dyDescent="0.15">
      <c r="B12" s="38"/>
      <c r="C12" s="9"/>
      <c r="D12" s="9"/>
      <c r="E12" s="9"/>
      <c r="F12" s="9"/>
      <c r="G12" s="9"/>
      <c r="H12" s="35"/>
      <c r="I12" s="35"/>
      <c r="J12" s="35"/>
      <c r="K12" s="35"/>
      <c r="L12" s="35"/>
      <c r="M12" s="35"/>
      <c r="N12" s="35"/>
      <c r="O12" s="35"/>
      <c r="P12" s="35"/>
      <c r="Q12" s="35"/>
    </row>
    <row r="13" spans="2:17" ht="15" x14ac:dyDescent="0.15">
      <c r="B13" s="39" t="s">
        <v>235</v>
      </c>
      <c r="C13" s="6">
        <f>'P&amp;L Input'!C16</f>
        <v>4121.75</v>
      </c>
      <c r="D13" s="6">
        <f>'P&amp;L Input'!D16</f>
        <v>4606.76</v>
      </c>
      <c r="E13" s="6">
        <f>'P&amp;L Input'!E16</f>
        <v>5782.98</v>
      </c>
      <c r="F13" s="6">
        <f>'P&amp;L Input'!F16</f>
        <v>6184.67</v>
      </c>
      <c r="G13" s="6">
        <f>'P&amp;L Input'!G16</f>
        <v>5677.89</v>
      </c>
      <c r="H13" s="35">
        <f t="shared" ref="H13:Q13" si="0">H11*H14</f>
        <v>6125.2933636465887</v>
      </c>
      <c r="I13" s="35">
        <f t="shared" si="0"/>
        <v>6625.7728326810129</v>
      </c>
      <c r="J13" s="35">
        <f t="shared" si="0"/>
        <v>7187.1782881840945</v>
      </c>
      <c r="K13" s="35">
        <f t="shared" si="0"/>
        <v>7818.7300482338069</v>
      </c>
      <c r="L13" s="35">
        <f t="shared" si="0"/>
        <v>8531.2921078711079</v>
      </c>
      <c r="M13" s="35">
        <f t="shared" si="0"/>
        <v>9337.7062862816565</v>
      </c>
      <c r="N13" s="35">
        <f t="shared" si="0"/>
        <v>10253.202236483539</v>
      </c>
      <c r="O13" s="35">
        <f t="shared" si="0"/>
        <v>11295.902274034872</v>
      </c>
      <c r="P13" s="35">
        <f t="shared" si="0"/>
        <v>12487.445139268104</v>
      </c>
      <c r="Q13" s="35">
        <f t="shared" si="0"/>
        <v>13853.759481327324</v>
      </c>
    </row>
    <row r="14" spans="2:17" s="5" customFormat="1" x14ac:dyDescent="0.15">
      <c r="B14" s="40"/>
      <c r="C14" s="18">
        <f>C13/C$11</f>
        <v>0.41588469144771362</v>
      </c>
      <c r="D14" s="18">
        <f>D13/D$11</f>
        <v>0.41770955931023107</v>
      </c>
      <c r="E14" s="18">
        <f>E13/E11</f>
        <v>0.47106097014621429</v>
      </c>
      <c r="F14" s="18">
        <f>F13/F11</f>
        <v>0.46445508663657242</v>
      </c>
      <c r="G14" s="18">
        <f>G13/G11</f>
        <v>0.40279836068248615</v>
      </c>
      <c r="H14" s="37">
        <f>G14</f>
        <v>0.40279836068248615</v>
      </c>
      <c r="I14" s="37">
        <f t="shared" ref="I14:Q14" si="1">H14</f>
        <v>0.40279836068248615</v>
      </c>
      <c r="J14" s="37">
        <f t="shared" si="1"/>
        <v>0.40279836068248615</v>
      </c>
      <c r="K14" s="37">
        <f t="shared" si="1"/>
        <v>0.40279836068248615</v>
      </c>
      <c r="L14" s="37">
        <f t="shared" si="1"/>
        <v>0.40279836068248615</v>
      </c>
      <c r="M14" s="37">
        <f t="shared" si="1"/>
        <v>0.40279836068248615</v>
      </c>
      <c r="N14" s="37">
        <f t="shared" si="1"/>
        <v>0.40279836068248615</v>
      </c>
      <c r="O14" s="37">
        <f t="shared" si="1"/>
        <v>0.40279836068248615</v>
      </c>
      <c r="P14" s="37">
        <f t="shared" si="1"/>
        <v>0.40279836068248615</v>
      </c>
      <c r="Q14" s="37">
        <f t="shared" si="1"/>
        <v>0.40279836068248615</v>
      </c>
    </row>
    <row r="15" spans="2:17" x14ac:dyDescent="0.15">
      <c r="B15" s="39"/>
      <c r="H15" s="34"/>
      <c r="I15" s="34"/>
      <c r="J15" s="34"/>
      <c r="K15" s="34"/>
      <c r="L15" s="34"/>
      <c r="M15" s="34"/>
      <c r="N15" s="34"/>
      <c r="O15" s="34"/>
      <c r="P15" s="34"/>
      <c r="Q15" s="34"/>
    </row>
    <row r="16" spans="2:17" ht="15" x14ac:dyDescent="0.15">
      <c r="B16" s="39" t="s">
        <v>44</v>
      </c>
      <c r="C16" s="49">
        <f>'P&amp;L Input'!C17</f>
        <v>313.08</v>
      </c>
      <c r="D16" s="49">
        <f>'P&amp;L Input'!D17</f>
        <v>365.01</v>
      </c>
      <c r="E16" s="49">
        <f>'P&amp;L Input'!E17</f>
        <v>353.65</v>
      </c>
      <c r="F16" s="49">
        <f>'P&amp;L Input'!F17</f>
        <v>305.18</v>
      </c>
      <c r="G16" s="49">
        <f>'P&amp;L Input'!G17</f>
        <v>655.54</v>
      </c>
      <c r="H16" s="36">
        <f>H$11*H17</f>
        <v>707.19489310375593</v>
      </c>
      <c r="I16" s="36">
        <f t="shared" ref="I16:Q16" si="2">I11*I17</f>
        <v>764.97768057072449</v>
      </c>
      <c r="J16" s="36">
        <f t="shared" si="2"/>
        <v>829.79466932895866</v>
      </c>
      <c r="K16" s="36">
        <f t="shared" si="2"/>
        <v>902.710389919352</v>
      </c>
      <c r="L16" s="36">
        <f t="shared" si="2"/>
        <v>984.97914337787904</v>
      </c>
      <c r="M16" s="36">
        <f t="shared" si="2"/>
        <v>1078.0835801519715</v>
      </c>
      <c r="N16" s="36">
        <f t="shared" si="2"/>
        <v>1183.7820377119701</v>
      </c>
      <c r="O16" s="36">
        <f t="shared" si="2"/>
        <v>1304.1668254793276</v>
      </c>
      <c r="P16" s="36">
        <f t="shared" si="2"/>
        <v>1441.7362412085849</v>
      </c>
      <c r="Q16" s="36">
        <f t="shared" si="2"/>
        <v>1599.4838734792879</v>
      </c>
    </row>
    <row r="17" spans="1:17" s="5" customFormat="1" x14ac:dyDescent="0.15">
      <c r="B17" s="40"/>
      <c r="C17" s="18">
        <f>C16/C$11</f>
        <v>3.1589780845138637E-2</v>
      </c>
      <c r="D17" s="18">
        <f>D16/D$11</f>
        <v>3.3096615895733102E-2</v>
      </c>
      <c r="E17" s="18">
        <f t="shared" ref="E17:G17" si="3">E16/E$11</f>
        <v>2.8807070419093389E-2</v>
      </c>
      <c r="F17" s="18">
        <f t="shared" si="3"/>
        <v>2.2918345415317096E-2</v>
      </c>
      <c r="G17" s="18">
        <f t="shared" si="3"/>
        <v>4.6505028692312982E-2</v>
      </c>
      <c r="H17" s="37">
        <f>G17</f>
        <v>4.6505028692312982E-2</v>
      </c>
      <c r="I17" s="37">
        <f t="shared" ref="I17:Q17" si="4">H17</f>
        <v>4.6505028692312982E-2</v>
      </c>
      <c r="J17" s="37">
        <f t="shared" si="4"/>
        <v>4.6505028692312982E-2</v>
      </c>
      <c r="K17" s="37">
        <f t="shared" si="4"/>
        <v>4.6505028692312982E-2</v>
      </c>
      <c r="L17" s="37">
        <f t="shared" si="4"/>
        <v>4.6505028692312982E-2</v>
      </c>
      <c r="M17" s="37">
        <f t="shared" si="4"/>
        <v>4.6505028692312982E-2</v>
      </c>
      <c r="N17" s="37">
        <f t="shared" si="4"/>
        <v>4.6505028692312982E-2</v>
      </c>
      <c r="O17" s="37">
        <f t="shared" si="4"/>
        <v>4.6505028692312982E-2</v>
      </c>
      <c r="P17" s="37">
        <f t="shared" si="4"/>
        <v>4.6505028692312982E-2</v>
      </c>
      <c r="Q17" s="37">
        <f t="shared" si="4"/>
        <v>4.6505028692312982E-2</v>
      </c>
    </row>
    <row r="18" spans="1:17" x14ac:dyDescent="0.15">
      <c r="B18" s="39"/>
      <c r="H18" s="34"/>
      <c r="I18" s="34"/>
      <c r="J18" s="34"/>
      <c r="K18" s="34"/>
      <c r="L18" s="34"/>
      <c r="M18" s="34"/>
      <c r="N18" s="34"/>
      <c r="O18" s="34"/>
      <c r="P18" s="34"/>
      <c r="Q18" s="34"/>
    </row>
    <row r="19" spans="1:17" s="133" customFormat="1" ht="30" x14ac:dyDescent="0.2">
      <c r="B19" s="197" t="s">
        <v>267</v>
      </c>
      <c r="C19" s="198">
        <f>'P&amp;L Input'!C18</f>
        <v>-173.15</v>
      </c>
      <c r="D19" s="198">
        <f>'P&amp;L Input'!D18</f>
        <v>-42.35</v>
      </c>
      <c r="E19" s="198">
        <f>'P&amp;L Input'!E18</f>
        <v>-61.54</v>
      </c>
      <c r="F19" s="198">
        <f>'P&amp;L Input'!F18</f>
        <v>212.94</v>
      </c>
      <c r="G19" s="198">
        <f>'P&amp;L Input'!G18</f>
        <v>-13.13</v>
      </c>
      <c r="H19" s="145">
        <f>'Working Capital'!G12-'Working Capital'!H12</f>
        <v>-63.546000000000049</v>
      </c>
      <c r="I19" s="145">
        <f>'Working Capital'!H12-'Working Capital'!I12</f>
        <v>-66.723300000000108</v>
      </c>
      <c r="J19" s="145">
        <f>'Working Capital'!I12-'Working Capital'!J12</f>
        <v>-70.059465000000046</v>
      </c>
      <c r="K19" s="145">
        <f>'Working Capital'!J12-'Working Capital'!K12</f>
        <v>-73.562438250000014</v>
      </c>
      <c r="L19" s="145">
        <f>'Working Capital'!K12-'Working Capital'!L12</f>
        <v>-77.24056016250006</v>
      </c>
      <c r="M19" s="145">
        <f>'Working Capital'!L12-'Working Capital'!M12</f>
        <v>-81.10258817062504</v>
      </c>
      <c r="N19" s="145">
        <f>'Working Capital'!M12-'Working Capital'!N12</f>
        <v>-85.157717579156269</v>
      </c>
      <c r="O19" s="145">
        <f>'Working Capital'!N12-'Working Capital'!O12</f>
        <v>-89.415603458114219</v>
      </c>
      <c r="P19" s="145">
        <f>'Working Capital'!O12-'Working Capital'!P12</f>
        <v>-93.886383631019953</v>
      </c>
      <c r="Q19" s="145">
        <f>'Working Capital'!P12-'Working Capital'!Q12</f>
        <v>-98.580702812570735</v>
      </c>
    </row>
    <row r="20" spans="1:17" x14ac:dyDescent="0.15">
      <c r="B20" s="39"/>
      <c r="C20" s="49"/>
      <c r="D20" s="49"/>
      <c r="E20" s="49"/>
      <c r="F20" s="49"/>
      <c r="G20" s="49"/>
      <c r="H20" s="36"/>
      <c r="I20" s="36"/>
      <c r="J20" s="36"/>
      <c r="K20" s="36"/>
      <c r="L20" s="36"/>
      <c r="M20" s="36"/>
      <c r="N20" s="36"/>
      <c r="O20" s="36"/>
      <c r="P20" s="36"/>
      <c r="Q20" s="36"/>
    </row>
    <row r="21" spans="1:17" s="4" customFormat="1" ht="15" x14ac:dyDescent="0.15">
      <c r="B21" s="94" t="s">
        <v>94</v>
      </c>
      <c r="C21" s="195">
        <f t="shared" ref="C21:Q21" si="5">SUM(C13,C16,C19)</f>
        <v>4261.68</v>
      </c>
      <c r="D21" s="196">
        <f t="shared" si="5"/>
        <v>4929.42</v>
      </c>
      <c r="E21" s="196">
        <f t="shared" si="5"/>
        <v>6075.0899999999992</v>
      </c>
      <c r="F21" s="196">
        <f t="shared" si="5"/>
        <v>6702.79</v>
      </c>
      <c r="G21" s="196">
        <f t="shared" si="5"/>
        <v>6320.3</v>
      </c>
      <c r="H21" s="51">
        <f t="shared" si="5"/>
        <v>6768.9422567503443</v>
      </c>
      <c r="I21" s="51">
        <f t="shared" si="5"/>
        <v>7324.0272132517366</v>
      </c>
      <c r="J21" s="51">
        <f t="shared" si="5"/>
        <v>7946.9134925130529</v>
      </c>
      <c r="K21" s="51">
        <f t="shared" si="5"/>
        <v>8647.8779999031576</v>
      </c>
      <c r="L21" s="51">
        <f t="shared" si="5"/>
        <v>9439.0306910864874</v>
      </c>
      <c r="M21" s="51">
        <f t="shared" si="5"/>
        <v>10334.687278263003</v>
      </c>
      <c r="N21" s="51">
        <f t="shared" si="5"/>
        <v>11351.826556616354</v>
      </c>
      <c r="O21" s="51">
        <f t="shared" si="5"/>
        <v>12510.653496056086</v>
      </c>
      <c r="P21" s="51">
        <f t="shared" si="5"/>
        <v>13835.294996845671</v>
      </c>
      <c r="Q21" s="51">
        <f t="shared" si="5"/>
        <v>15354.662651994042</v>
      </c>
    </row>
    <row r="22" spans="1:17" x14ac:dyDescent="0.15">
      <c r="B22" s="39"/>
      <c r="C22" s="49"/>
      <c r="D22" s="49"/>
      <c r="E22" s="49"/>
      <c r="F22" s="49"/>
      <c r="G22" s="49"/>
      <c r="H22" s="36"/>
      <c r="I22" s="36"/>
      <c r="J22" s="36"/>
      <c r="K22" s="36"/>
      <c r="L22" s="36"/>
      <c r="M22" s="36"/>
      <c r="N22" s="36"/>
      <c r="O22" s="36"/>
      <c r="P22" s="36"/>
      <c r="Q22" s="36"/>
    </row>
    <row r="23" spans="1:17" s="4" customFormat="1" ht="15" x14ac:dyDescent="0.15">
      <c r="B23" s="94" t="s">
        <v>266</v>
      </c>
      <c r="C23" s="207">
        <f t="shared" ref="C23:Q23" si="6">(C11-C21)/C11</f>
        <v>0.56999636759898287</v>
      </c>
      <c r="D23" s="207">
        <f t="shared" si="6"/>
        <v>0.55303383378881488</v>
      </c>
      <c r="E23" s="207">
        <f t="shared" si="6"/>
        <v>0.50514478882417635</v>
      </c>
      <c r="F23" s="207">
        <f t="shared" si="6"/>
        <v>0.4966352432455165</v>
      </c>
      <c r="G23" s="207">
        <f t="shared" si="6"/>
        <v>0.55162807327695373</v>
      </c>
      <c r="H23" s="208">
        <f t="shared" si="6"/>
        <v>0.55487538592759567</v>
      </c>
      <c r="I23" s="208">
        <f t="shared" si="6"/>
        <v>0.55475289757285506</v>
      </c>
      <c r="J23" s="208">
        <f t="shared" si="6"/>
        <v>0.55462302465317714</v>
      </c>
      <c r="K23" s="208">
        <f t="shared" si="6"/>
        <v>0.55448633470470154</v>
      </c>
      <c r="L23" s="208">
        <f t="shared" si="6"/>
        <v>0.55434346395272283</v>
      </c>
      <c r="M23" s="208">
        <f t="shared" si="6"/>
        <v>0.55419511320824189</v>
      </c>
      <c r="N23" s="208">
        <f t="shared" si="6"/>
        <v>0.5540420424472996</v>
      </c>
      <c r="O23" s="208">
        <f t="shared" si="6"/>
        <v>0.55388506406775162</v>
      </c>
      <c r="P23" s="208">
        <f t="shared" si="6"/>
        <v>0.55372503485411384</v>
      </c>
      <c r="Q23" s="208">
        <f t="shared" si="6"/>
        <v>0.55356284672099509</v>
      </c>
    </row>
    <row r="24" spans="1:17" x14ac:dyDescent="0.15">
      <c r="B24" s="39"/>
      <c r="G24" s="42"/>
      <c r="H24" s="191"/>
      <c r="I24" s="34"/>
      <c r="J24" s="34"/>
      <c r="K24" s="34"/>
      <c r="L24" s="34"/>
      <c r="M24" s="34"/>
      <c r="N24" s="34"/>
      <c r="O24" s="34"/>
      <c r="P24" s="34"/>
      <c r="Q24" s="34"/>
    </row>
    <row r="25" spans="1:17" ht="15" x14ac:dyDescent="0.15">
      <c r="B25" s="39" t="s">
        <v>10</v>
      </c>
      <c r="C25" s="49">
        <f>'P&amp;L Input'!C19</f>
        <v>1018.82</v>
      </c>
      <c r="D25" s="49">
        <f>'P&amp;L Input'!D19</f>
        <v>1123.3399999999999</v>
      </c>
      <c r="E25" s="49">
        <f>'P&amp;L Input'!E19</f>
        <v>1104.1400000000001</v>
      </c>
      <c r="F25" s="49">
        <f>'P&amp;L Input'!F19</f>
        <v>1111.48</v>
      </c>
      <c r="G25" s="49">
        <f>'P&amp;L Input'!G19</f>
        <v>1249.3399999999999</v>
      </c>
      <c r="H25" s="36">
        <f t="shared" ref="H25:Q25" si="7">H11*H26</f>
        <v>1347.7848304455051</v>
      </c>
      <c r="I25" s="36">
        <f t="shared" si="7"/>
        <v>1457.908312908791</v>
      </c>
      <c r="J25" s="36">
        <f t="shared" si="7"/>
        <v>1581.4377035412656</v>
      </c>
      <c r="K25" s="36">
        <f t="shared" si="7"/>
        <v>1720.4018039201928</v>
      </c>
      <c r="L25" s="36">
        <f t="shared" si="7"/>
        <v>1877.1910836679979</v>
      </c>
      <c r="M25" s="36">
        <f t="shared" si="7"/>
        <v>2054.6312048495347</v>
      </c>
      <c r="N25" s="36">
        <f t="shared" si="7"/>
        <v>2256.0732388489992</v>
      </c>
      <c r="O25" s="36">
        <f t="shared" si="7"/>
        <v>2485.5047468412959</v>
      </c>
      <c r="P25" s="36">
        <f t="shared" si="7"/>
        <v>2747.6870299166085</v>
      </c>
      <c r="Q25" s="36">
        <f t="shared" si="7"/>
        <v>3048.3253233862365</v>
      </c>
    </row>
    <row r="26" spans="1:17" s="5" customFormat="1" x14ac:dyDescent="0.15">
      <c r="B26" s="40"/>
      <c r="C26" s="18">
        <f>C25/C$11</f>
        <v>0.10279896678371071</v>
      </c>
      <c r="D26" s="18">
        <f>D25/D$11</f>
        <v>0.10185680529386269</v>
      </c>
      <c r="E26" s="18">
        <f t="shared" ref="E26" si="8">E25/E$11</f>
        <v>8.9939314951329785E-2</v>
      </c>
      <c r="F26" s="18">
        <f t="shared" ref="F26" si="9">F25/F$11</f>
        <v>8.346969841476061E-2</v>
      </c>
      <c r="G26" s="18">
        <f t="shared" ref="G26" si="10">G25/G$11</f>
        <v>8.8630125616216096E-2</v>
      </c>
      <c r="H26" s="37">
        <f>G26</f>
        <v>8.8630125616216096E-2</v>
      </c>
      <c r="I26" s="37">
        <f t="shared" ref="I26:Q26" si="11">H26</f>
        <v>8.8630125616216096E-2</v>
      </c>
      <c r="J26" s="37">
        <f t="shared" si="11"/>
        <v>8.8630125616216096E-2</v>
      </c>
      <c r="K26" s="37">
        <f t="shared" si="11"/>
        <v>8.8630125616216096E-2</v>
      </c>
      <c r="L26" s="37">
        <f t="shared" si="11"/>
        <v>8.8630125616216096E-2</v>
      </c>
      <c r="M26" s="37">
        <f t="shared" si="11"/>
        <v>8.8630125616216096E-2</v>
      </c>
      <c r="N26" s="37">
        <f t="shared" si="11"/>
        <v>8.8630125616216096E-2</v>
      </c>
      <c r="O26" s="37">
        <f t="shared" si="11"/>
        <v>8.8630125616216096E-2</v>
      </c>
      <c r="P26" s="37">
        <f t="shared" si="11"/>
        <v>8.8630125616216096E-2</v>
      </c>
      <c r="Q26" s="37">
        <f t="shared" si="11"/>
        <v>8.8630125616216096E-2</v>
      </c>
    </row>
    <row r="27" spans="1:17" x14ac:dyDescent="0.15">
      <c r="B27" s="39"/>
      <c r="H27" s="34"/>
      <c r="I27" s="34"/>
      <c r="J27" s="34"/>
      <c r="K27" s="34"/>
      <c r="L27" s="34"/>
      <c r="M27" s="34"/>
      <c r="N27" s="34"/>
      <c r="O27" s="34"/>
      <c r="P27" s="34"/>
      <c r="Q27" s="34"/>
    </row>
    <row r="28" spans="1:17" ht="15" x14ac:dyDescent="0.15">
      <c r="B28" s="39" t="s">
        <v>13</v>
      </c>
      <c r="C28" s="49">
        <f>'P&amp;L Input'!C20</f>
        <v>2487.27</v>
      </c>
      <c r="D28" s="49">
        <f>'P&amp;L Input'!D20</f>
        <v>2587.61</v>
      </c>
      <c r="E28" s="49">
        <f>'P&amp;L Input'!E20</f>
        <v>2702.16</v>
      </c>
      <c r="F28" s="49">
        <f>'P&amp;L Input'!F20</f>
        <v>3071.24</v>
      </c>
      <c r="G28" s="49">
        <f>'P&amp;L Input'!G20</f>
        <v>3583</v>
      </c>
      <c r="H28" s="36">
        <f t="shared" ref="H28:Q28" si="12">H11*H29</f>
        <v>3865.3313329327843</v>
      </c>
      <c r="I28" s="36">
        <f t="shared" si="12"/>
        <v>4181.156038510092</v>
      </c>
      <c r="J28" s="36">
        <f t="shared" si="12"/>
        <v>4535.4277392770218</v>
      </c>
      <c r="K28" s="36">
        <f t="shared" si="12"/>
        <v>4933.9648642051416</v>
      </c>
      <c r="L28" s="36">
        <f t="shared" si="12"/>
        <v>5383.6230752096599</v>
      </c>
      <c r="M28" s="36">
        <f t="shared" si="12"/>
        <v>5892.5061288167217</v>
      </c>
      <c r="N28" s="36">
        <f t="shared" si="12"/>
        <v>6470.2246104310789</v>
      </c>
      <c r="O28" s="36">
        <f t="shared" si="12"/>
        <v>7128.2145036037937</v>
      </c>
      <c r="P28" s="36">
        <f t="shared" si="12"/>
        <v>7880.1308116215023</v>
      </c>
      <c r="Q28" s="36">
        <f t="shared" si="12"/>
        <v>8742.3356601828855</v>
      </c>
    </row>
    <row r="29" spans="1:17" s="5" customFormat="1" x14ac:dyDescent="0.15">
      <c r="B29" s="41"/>
      <c r="C29" s="18">
        <f>C28/C$11</f>
        <v>0.25096561327037176</v>
      </c>
      <c r="D29" s="18">
        <f>D28/D$11</f>
        <v>0.23462681641039407</v>
      </c>
      <c r="E29" s="18">
        <f t="shared" ref="E29" si="13">E28/E$11</f>
        <v>0.22010833706675353</v>
      </c>
      <c r="F29" s="18">
        <f t="shared" ref="F29" si="14">F28/F$11</f>
        <v>0.23064335530945171</v>
      </c>
      <c r="G29" s="18">
        <f t="shared" ref="G29" si="15">G28/G$11</f>
        <v>0.25418360100765386</v>
      </c>
      <c r="H29" s="37">
        <f>G29</f>
        <v>0.25418360100765386</v>
      </c>
      <c r="I29" s="37">
        <f t="shared" ref="I29:Q29" si="16">H29</f>
        <v>0.25418360100765386</v>
      </c>
      <c r="J29" s="37">
        <f t="shared" si="16"/>
        <v>0.25418360100765386</v>
      </c>
      <c r="K29" s="37">
        <f t="shared" si="16"/>
        <v>0.25418360100765386</v>
      </c>
      <c r="L29" s="37">
        <f t="shared" si="16"/>
        <v>0.25418360100765386</v>
      </c>
      <c r="M29" s="37">
        <f t="shared" si="16"/>
        <v>0.25418360100765386</v>
      </c>
      <c r="N29" s="37">
        <f t="shared" si="16"/>
        <v>0.25418360100765386</v>
      </c>
      <c r="O29" s="37">
        <f t="shared" si="16"/>
        <v>0.25418360100765386</v>
      </c>
      <c r="P29" s="37">
        <f t="shared" si="16"/>
        <v>0.25418360100765386</v>
      </c>
      <c r="Q29" s="37">
        <f t="shared" si="16"/>
        <v>0.25418360100765386</v>
      </c>
    </row>
    <row r="30" spans="1:17" x14ac:dyDescent="0.15">
      <c r="B30" s="38"/>
      <c r="H30" s="34"/>
      <c r="I30" s="34"/>
      <c r="J30" s="34"/>
      <c r="K30" s="34"/>
      <c r="L30" s="34"/>
      <c r="M30" s="34"/>
      <c r="N30" s="34"/>
      <c r="O30" s="34"/>
      <c r="P30" s="34"/>
      <c r="Q30" s="34"/>
    </row>
    <row r="31" spans="1:17" s="9" customFormat="1" x14ac:dyDescent="0.15">
      <c r="A31" s="2"/>
      <c r="B31" s="38" t="s">
        <v>11</v>
      </c>
      <c r="C31" s="49">
        <f>'P&amp;L Input'!C32</f>
        <v>217.41</v>
      </c>
      <c r="D31" s="49">
        <f>'P&amp;L Input'!D32</f>
        <v>126.63</v>
      </c>
      <c r="E31" s="49">
        <f>'P&amp;L Input'!E32</f>
        <v>110.16</v>
      </c>
      <c r="F31" s="49">
        <f>'P&amp;L Input'!F32</f>
        <v>175.74</v>
      </c>
      <c r="G31" s="49">
        <f>'P&amp;L Input'!G32</f>
        <v>296.37</v>
      </c>
      <c r="H31" s="35">
        <f>('Balance Sheet'!H57+'Balance Sheet'!H58+'Balance Sheet'!H68+'Balance Sheet'!H69)*'Cost Buildup'!H32</f>
        <v>201.07483958165233</v>
      </c>
      <c r="I31" s="35">
        <f>('Balance Sheet'!I57+'Balance Sheet'!I58+'Balance Sheet'!I68+'Balance Sheet'!I69)*'Cost Buildup'!I32</f>
        <v>219.30823617296411</v>
      </c>
      <c r="J31" s="35">
        <f>('Balance Sheet'!J57+'Balance Sheet'!J58+'Balance Sheet'!J68+'Balance Sheet'!J69)*'Cost Buildup'!J32</f>
        <v>232.09668740884771</v>
      </c>
      <c r="K31" s="35">
        <f>('Balance Sheet'!K57+'Balance Sheet'!K58+'Balance Sheet'!K68+'Balance Sheet'!K69)*'Cost Buildup'!K32</f>
        <v>245.86156325250678</v>
      </c>
      <c r="L31" s="35">
        <f>('Balance Sheet'!L57+'Balance Sheet'!L58+'Balance Sheet'!L68+'Balance Sheet'!L69)*'Cost Buildup'!L32</f>
        <v>260.70963870286175</v>
      </c>
      <c r="M31" s="35">
        <f>('Balance Sheet'!M57+'Balance Sheet'!M58+'Balance Sheet'!M68+'Balance Sheet'!M69)*'Cost Buildup'!M32</f>
        <v>275.62307922755554</v>
      </c>
      <c r="N31" s="35">
        <f>('Balance Sheet'!N57+'Balance Sheet'!N58+'Balance Sheet'!N68+'Balance Sheet'!N69)*'Cost Buildup'!N32</f>
        <v>291.69504099868135</v>
      </c>
      <c r="O31" s="35">
        <f>('Balance Sheet'!O57+'Balance Sheet'!O58+'Balance Sheet'!O68+'Balance Sheet'!O69)*'Cost Buildup'!O32</f>
        <v>309.05492473768618</v>
      </c>
      <c r="P31" s="35">
        <f>('Balance Sheet'!P57+'Balance Sheet'!P58+'Balance Sheet'!P68+'Balance Sheet'!P69)*'Cost Buildup'!P32</f>
        <v>327.85258971497183</v>
      </c>
      <c r="Q31" s="35">
        <f>('Balance Sheet'!Q57+'Balance Sheet'!Q58+'Balance Sheet'!Q68+'Balance Sheet'!Q69)*'Cost Buildup'!Q32</f>
        <v>357.50554663418245</v>
      </c>
    </row>
    <row r="32" spans="1:17" s="15" customFormat="1" x14ac:dyDescent="0.15">
      <c r="B32" s="57" t="s">
        <v>95</v>
      </c>
      <c r="C32" s="18">
        <f>C31/('BS Input'!D55+'BS Input'!D56+'BS Input'!D66+'BS Input'!D67)</f>
        <v>7.9919569468746773E-2</v>
      </c>
      <c r="D32" s="18">
        <f>D31/('BS Input'!E55+'BS Input'!E56+'BS Input'!E66+'BS Input'!E67)</f>
        <v>0.14807582118175333</v>
      </c>
      <c r="E32" s="18">
        <f>E31/('BS Input'!F55+'BS Input'!F56+'BS Input'!F66+'BS Input'!F67)</f>
        <v>6.4634990670875525E-2</v>
      </c>
      <c r="F32" s="18">
        <f>F31/('BS Input'!G55+'BS Input'!G56+'BS Input'!G66+'BS Input'!G67)</f>
        <v>0.15557995006993749</v>
      </c>
      <c r="G32" s="18">
        <f>G31/('BS Input'!H55+'BS Input'!H56+'BS Input'!H66+'BS Input'!H67)</f>
        <v>9.1977530879523317E-2</v>
      </c>
      <c r="H32" s="37">
        <f>G32</f>
        <v>9.1977530879523317E-2</v>
      </c>
      <c r="I32" s="37">
        <f t="shared" ref="I32:Q32" si="17">H32</f>
        <v>9.1977530879523317E-2</v>
      </c>
      <c r="J32" s="37">
        <f t="shared" si="17"/>
        <v>9.1977530879523317E-2</v>
      </c>
      <c r="K32" s="37">
        <f t="shared" si="17"/>
        <v>9.1977530879523317E-2</v>
      </c>
      <c r="L32" s="37">
        <f t="shared" si="17"/>
        <v>9.1977530879523317E-2</v>
      </c>
      <c r="M32" s="37">
        <f t="shared" si="17"/>
        <v>9.1977530879523317E-2</v>
      </c>
      <c r="N32" s="37">
        <f t="shared" si="17"/>
        <v>9.1977530879523317E-2</v>
      </c>
      <c r="O32" s="37">
        <f t="shared" si="17"/>
        <v>9.1977530879523317E-2</v>
      </c>
      <c r="P32" s="37">
        <f t="shared" si="17"/>
        <v>9.1977530879523317E-2</v>
      </c>
      <c r="Q32" s="37">
        <f t="shared" si="17"/>
        <v>9.1977530879523317E-2</v>
      </c>
    </row>
    <row r="33" spans="2:17" x14ac:dyDescent="0.15">
      <c r="B33" s="38"/>
      <c r="C33" s="4"/>
      <c r="D33" s="4"/>
      <c r="E33" s="4"/>
      <c r="F33" s="4"/>
      <c r="G33" s="4"/>
      <c r="H33" s="34"/>
      <c r="I33" s="34"/>
      <c r="J33" s="34"/>
      <c r="K33" s="34"/>
      <c r="L33" s="34"/>
      <c r="M33" s="34"/>
      <c r="N33" s="34"/>
      <c r="O33" s="34"/>
      <c r="P33" s="34"/>
      <c r="Q33" s="34"/>
    </row>
    <row r="34" spans="2:17" x14ac:dyDescent="0.15">
      <c r="B34" s="38" t="s">
        <v>77</v>
      </c>
      <c r="C34" s="18">
        <f>'P&amp;L Input'!C42/'P&amp;L Input'!C40</f>
        <v>0.14986366734833007</v>
      </c>
      <c r="D34" s="18">
        <f>'P&amp;L Input'!D42/'P&amp;L Input'!D40</f>
        <v>0.17282585706320058</v>
      </c>
      <c r="E34" s="18">
        <f>'P&amp;L Input'!E42/'P&amp;L Input'!E40</f>
        <v>0.17254066794725453</v>
      </c>
      <c r="F34" s="18">
        <f>'P&amp;L Input'!F42/'P&amp;L Input'!F40</f>
        <v>0.20174611882423005</v>
      </c>
      <c r="G34" s="18">
        <f>'P&amp;L Input'!G42/'P&amp;L Input'!G40</f>
        <v>3.8277758159713282</v>
      </c>
      <c r="H34" s="37">
        <f>F34+1%</f>
        <v>0.21174611882423006</v>
      </c>
      <c r="I34" s="37">
        <f>H34</f>
        <v>0.21174611882423006</v>
      </c>
      <c r="J34" s="37">
        <f>I34+1%</f>
        <v>0.22174611882423007</v>
      </c>
      <c r="K34" s="37">
        <f>J34</f>
        <v>0.22174611882423007</v>
      </c>
      <c r="L34" s="37">
        <f>K34+1%</f>
        <v>0.23174611882423007</v>
      </c>
      <c r="M34" s="37">
        <f>L34</f>
        <v>0.23174611882423007</v>
      </c>
      <c r="N34" s="37">
        <f>M34+1%</f>
        <v>0.24174611882423008</v>
      </c>
      <c r="O34" s="37">
        <f>N34</f>
        <v>0.24174611882423008</v>
      </c>
      <c r="P34" s="37">
        <f>O34+1%</f>
        <v>0.25174611882423009</v>
      </c>
      <c r="Q34" s="37">
        <f>P34</f>
        <v>0.25174611882423009</v>
      </c>
    </row>
    <row r="36" spans="2:17" x14ac:dyDescent="0.15">
      <c r="H36" s="184"/>
    </row>
  </sheetData>
  <mergeCells count="3">
    <mergeCell ref="B8:B9"/>
    <mergeCell ref="P6:Q6"/>
    <mergeCell ref="B7:Q7"/>
  </mergeCells>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theme="9" tint="0.39997558519241921"/>
  </sheetPr>
  <dimension ref="A6:AH285"/>
  <sheetViews>
    <sheetView showGridLines="0" topLeftCell="B252" zoomScaleNormal="100" workbookViewId="0">
      <selection activeCell="I282" sqref="I282:Q282"/>
    </sheetView>
  </sheetViews>
  <sheetFormatPr baseColWidth="10" defaultColWidth="8.83203125" defaultRowHeight="14" x14ac:dyDescent="0.15"/>
  <cols>
    <col min="1" max="1" width="4.83203125" style="2" customWidth="1"/>
    <col min="2" max="2" width="33.83203125" style="2" customWidth="1"/>
    <col min="3" max="3" width="12" style="2" customWidth="1"/>
    <col min="4" max="7" width="12" style="2" bestFit="1" customWidth="1"/>
    <col min="8" max="8" width="13.83203125" style="2" bestFit="1" customWidth="1"/>
    <col min="9" max="9" width="12" style="2" bestFit="1" customWidth="1"/>
    <col min="10" max="17" width="13.83203125" style="2" bestFit="1" customWidth="1"/>
    <col min="18" max="18" width="10.1640625" style="2" bestFit="1" customWidth="1"/>
    <col min="19" max="16384" width="8.83203125" style="2"/>
  </cols>
  <sheetData>
    <row r="6" spans="2:34" x14ac:dyDescent="0.15">
      <c r="P6" s="362" t="s">
        <v>76</v>
      </c>
      <c r="Q6" s="362"/>
    </row>
    <row r="7" spans="2:34" ht="16" x14ac:dyDescent="0.2">
      <c r="B7" s="377" t="s">
        <v>178</v>
      </c>
      <c r="C7" s="378"/>
      <c r="D7" s="378"/>
      <c r="E7" s="378"/>
      <c r="F7" s="378"/>
      <c r="G7" s="378"/>
      <c r="H7" s="378"/>
      <c r="I7" s="378"/>
      <c r="J7" s="378"/>
      <c r="K7" s="378"/>
      <c r="L7" s="378"/>
      <c r="M7" s="378"/>
      <c r="N7" s="378"/>
      <c r="O7" s="378"/>
      <c r="P7" s="378"/>
      <c r="Q7" s="379"/>
    </row>
    <row r="8" spans="2:34" x14ac:dyDescent="0.15">
      <c r="B8" s="375" t="s">
        <v>0</v>
      </c>
      <c r="C8" s="234">
        <v>2020</v>
      </c>
      <c r="D8" s="234">
        <v>2021</v>
      </c>
      <c r="E8" s="234">
        <v>2022</v>
      </c>
      <c r="F8" s="234">
        <v>2023</v>
      </c>
      <c r="G8" s="234">
        <v>2024</v>
      </c>
      <c r="H8" s="263">
        <v>2025</v>
      </c>
      <c r="I8" s="263">
        <v>2026</v>
      </c>
      <c r="J8" s="263">
        <v>2027</v>
      </c>
      <c r="K8" s="263">
        <v>2028</v>
      </c>
      <c r="L8" s="263">
        <v>2029</v>
      </c>
      <c r="M8" s="263">
        <v>2030</v>
      </c>
      <c r="N8" s="263">
        <v>2031</v>
      </c>
      <c r="O8" s="263">
        <v>2032</v>
      </c>
      <c r="P8" s="263">
        <v>2033</v>
      </c>
      <c r="Q8" s="263">
        <v>2034</v>
      </c>
    </row>
    <row r="9" spans="2:34" x14ac:dyDescent="0.15">
      <c r="B9" s="376"/>
      <c r="C9" s="13" t="s">
        <v>2</v>
      </c>
      <c r="D9" s="13" t="s">
        <v>2</v>
      </c>
      <c r="E9" s="13" t="s">
        <v>2</v>
      </c>
      <c r="F9" s="13" t="s">
        <v>2</v>
      </c>
      <c r="G9" s="13" t="s">
        <v>2</v>
      </c>
      <c r="H9" s="119" t="s">
        <v>60</v>
      </c>
      <c r="I9" s="119" t="s">
        <v>61</v>
      </c>
      <c r="J9" s="119" t="s">
        <v>61</v>
      </c>
      <c r="K9" s="119" t="s">
        <v>61</v>
      </c>
      <c r="L9" s="119" t="s">
        <v>61</v>
      </c>
      <c r="M9" s="119" t="s">
        <v>61</v>
      </c>
      <c r="N9" s="119" t="s">
        <v>61</v>
      </c>
      <c r="O9" s="119" t="s">
        <v>61</v>
      </c>
      <c r="P9" s="119" t="s">
        <v>61</v>
      </c>
      <c r="Q9" s="119" t="s">
        <v>61</v>
      </c>
      <c r="AB9" s="4"/>
      <c r="AD9" s="10"/>
      <c r="AE9" s="10"/>
      <c r="AF9" s="10"/>
      <c r="AG9" s="10"/>
      <c r="AH9" s="10"/>
    </row>
    <row r="10" spans="2:34" ht="16" x14ac:dyDescent="0.2">
      <c r="B10" s="381" t="s">
        <v>118</v>
      </c>
      <c r="C10" s="381"/>
      <c r="D10" s="381"/>
      <c r="E10" s="381"/>
      <c r="F10" s="381"/>
      <c r="G10" s="381"/>
      <c r="H10" s="381"/>
      <c r="I10" s="381"/>
      <c r="J10" s="381"/>
      <c r="K10" s="381"/>
      <c r="L10" s="381"/>
      <c r="M10" s="381"/>
      <c r="N10" s="381"/>
      <c r="O10" s="381"/>
      <c r="P10" s="381"/>
      <c r="Q10" s="381"/>
    </row>
    <row r="11" spans="2:34" s="4" customFormat="1" x14ac:dyDescent="0.15">
      <c r="B11" s="403" t="s">
        <v>78</v>
      </c>
      <c r="H11" s="43"/>
      <c r="I11" s="43"/>
      <c r="J11" s="43"/>
      <c r="K11" s="43"/>
      <c r="L11" s="43"/>
      <c r="M11" s="43"/>
      <c r="N11" s="43"/>
      <c r="O11" s="43"/>
      <c r="P11" s="43"/>
      <c r="Q11" s="43"/>
    </row>
    <row r="12" spans="2:34" s="4" customFormat="1" x14ac:dyDescent="0.15">
      <c r="B12" s="48" t="s">
        <v>79</v>
      </c>
      <c r="C12" s="66">
        <v>60.08</v>
      </c>
      <c r="D12" s="66">
        <f t="shared" ref="D12:G12" si="0">C18</f>
        <v>56.03</v>
      </c>
      <c r="E12" s="66">
        <f t="shared" si="0"/>
        <v>59.02</v>
      </c>
      <c r="F12" s="66">
        <f t="shared" si="0"/>
        <v>61.330000000000005</v>
      </c>
      <c r="G12" s="66">
        <f t="shared" si="0"/>
        <v>62.77</v>
      </c>
      <c r="H12" s="68">
        <f t="shared" ref="H12:Q12" si="1">G18</f>
        <v>56.730000000000004</v>
      </c>
      <c r="I12" s="68">
        <f t="shared" si="1"/>
        <v>61.690800000000003</v>
      </c>
      <c r="J12" s="68">
        <f t="shared" si="1"/>
        <v>66.651600000000002</v>
      </c>
      <c r="K12" s="68">
        <f t="shared" si="1"/>
        <v>71.612399999999994</v>
      </c>
      <c r="L12" s="68">
        <f t="shared" si="1"/>
        <v>76.771631999999997</v>
      </c>
      <c r="M12" s="68">
        <f t="shared" si="1"/>
        <v>81.930864</v>
      </c>
      <c r="N12" s="68">
        <f t="shared" si="1"/>
        <v>87.090096000000003</v>
      </c>
      <c r="O12" s="68">
        <f t="shared" si="1"/>
        <v>92.455697279999995</v>
      </c>
      <c r="P12" s="68">
        <f t="shared" si="1"/>
        <v>97.821298559999988</v>
      </c>
      <c r="Q12" s="68">
        <f t="shared" si="1"/>
        <v>103.18689983999998</v>
      </c>
    </row>
    <row r="13" spans="2:34" s="4" customFormat="1" x14ac:dyDescent="0.15">
      <c r="B13" s="38" t="s">
        <v>80</v>
      </c>
      <c r="C13" s="21">
        <v>0.1</v>
      </c>
      <c r="D13" s="21">
        <v>0</v>
      </c>
      <c r="E13" s="21">
        <v>0</v>
      </c>
      <c r="F13" s="21">
        <v>0</v>
      </c>
      <c r="G13" s="21">
        <v>0.6</v>
      </c>
      <c r="H13" s="68">
        <f>G13*1.04</f>
        <v>0.624</v>
      </c>
      <c r="I13" s="68">
        <f t="shared" ref="I13" si="2">H13</f>
        <v>0.624</v>
      </c>
      <c r="J13" s="68">
        <f t="shared" ref="J13" si="3">I13</f>
        <v>0.624</v>
      </c>
      <c r="K13" s="68">
        <f>J13*1.04</f>
        <v>0.64895999999999998</v>
      </c>
      <c r="L13" s="68">
        <f t="shared" ref="L13" si="4">K13</f>
        <v>0.64895999999999998</v>
      </c>
      <c r="M13" s="68">
        <f t="shared" ref="M13" si="5">L13</f>
        <v>0.64895999999999998</v>
      </c>
      <c r="N13" s="68">
        <f>M13*1.04</f>
        <v>0.67491840000000003</v>
      </c>
      <c r="O13" s="68">
        <f t="shared" ref="O13" si="6">N13</f>
        <v>0.67491840000000003</v>
      </c>
      <c r="P13" s="68">
        <f t="shared" ref="P13" si="7">O13</f>
        <v>0.67491840000000003</v>
      </c>
      <c r="Q13" s="68">
        <f>(P13*1.04)-0.11</f>
        <v>0.59191513600000012</v>
      </c>
    </row>
    <row r="14" spans="2:34" s="4" customFormat="1" x14ac:dyDescent="0.15">
      <c r="B14" s="38" t="s">
        <v>375</v>
      </c>
      <c r="C14" s="21">
        <v>0</v>
      </c>
      <c r="D14" s="21">
        <v>0</v>
      </c>
      <c r="E14" s="21">
        <v>0</v>
      </c>
      <c r="F14" s="21">
        <v>0</v>
      </c>
      <c r="G14" s="21">
        <v>-2.48</v>
      </c>
      <c r="H14" s="68">
        <f>0</f>
        <v>0</v>
      </c>
      <c r="I14" s="68">
        <f>0</f>
        <v>0</v>
      </c>
      <c r="J14" s="68">
        <f>0</f>
        <v>0</v>
      </c>
      <c r="K14" s="68">
        <f>0</f>
        <v>0</v>
      </c>
      <c r="L14" s="68">
        <f>0</f>
        <v>0</v>
      </c>
      <c r="M14" s="68">
        <f>0</f>
        <v>0</v>
      </c>
      <c r="N14" s="68">
        <f>0</f>
        <v>0</v>
      </c>
      <c r="O14" s="68">
        <f>0</f>
        <v>0</v>
      </c>
      <c r="P14" s="68">
        <f>0</f>
        <v>0</v>
      </c>
      <c r="Q14" s="68">
        <f>0</f>
        <v>0</v>
      </c>
    </row>
    <row r="15" spans="2:34" s="4" customFormat="1" x14ac:dyDescent="0.15">
      <c r="B15" s="38" t="s">
        <v>376</v>
      </c>
      <c r="C15" s="21">
        <v>0</v>
      </c>
      <c r="D15" s="21">
        <v>-0.11</v>
      </c>
      <c r="E15" s="21">
        <v>0</v>
      </c>
      <c r="F15" s="21">
        <v>0</v>
      </c>
      <c r="G15" s="21">
        <v>1.9</v>
      </c>
      <c r="H15" s="68">
        <f>G15*1.04</f>
        <v>1.976</v>
      </c>
      <c r="I15" s="68">
        <f t="shared" ref="I15:I16" si="8">H15</f>
        <v>1.976</v>
      </c>
      <c r="J15" s="68">
        <f t="shared" ref="J15:J16" si="9">I15</f>
        <v>1.976</v>
      </c>
      <c r="K15" s="68">
        <f>J15*1.04</f>
        <v>2.05504</v>
      </c>
      <c r="L15" s="68">
        <f t="shared" ref="L15:L16" si="10">K15</f>
        <v>2.05504</v>
      </c>
      <c r="M15" s="68">
        <f t="shared" ref="M15:M16" si="11">L15</f>
        <v>2.05504</v>
      </c>
      <c r="N15" s="68">
        <f>M15*1.04</f>
        <v>2.1372415999999999</v>
      </c>
      <c r="O15" s="68">
        <f t="shared" ref="O15:O16" si="12">N15</f>
        <v>2.1372415999999999</v>
      </c>
      <c r="P15" s="68">
        <f t="shared" ref="P15:P16" si="13">O15</f>
        <v>2.1372415999999999</v>
      </c>
      <c r="Q15" s="68">
        <f>(P15*1.04)-0.11</f>
        <v>2.1127312640000002</v>
      </c>
    </row>
    <row r="16" spans="2:34" s="4" customFormat="1" x14ac:dyDescent="0.15">
      <c r="B16" s="38" t="s">
        <v>377</v>
      </c>
      <c r="C16" s="21">
        <v>-0.06</v>
      </c>
      <c r="D16" s="21">
        <v>0</v>
      </c>
      <c r="E16" s="21">
        <v>0.04</v>
      </c>
      <c r="F16" s="21">
        <v>0.03</v>
      </c>
      <c r="G16" s="21">
        <v>0</v>
      </c>
      <c r="H16" s="68">
        <f>G16*1.04</f>
        <v>0</v>
      </c>
      <c r="I16" s="68">
        <f t="shared" si="8"/>
        <v>0</v>
      </c>
      <c r="J16" s="68">
        <f t="shared" si="9"/>
        <v>0</v>
      </c>
      <c r="K16" s="68">
        <f>J16*1.04</f>
        <v>0</v>
      </c>
      <c r="L16" s="68">
        <f t="shared" si="10"/>
        <v>0</v>
      </c>
      <c r="M16" s="68">
        <f t="shared" si="11"/>
        <v>0</v>
      </c>
      <c r="N16" s="68">
        <f>M16*1.04</f>
        <v>0</v>
      </c>
      <c r="O16" s="68">
        <f t="shared" si="12"/>
        <v>0</v>
      </c>
      <c r="P16" s="68">
        <f t="shared" si="13"/>
        <v>0</v>
      </c>
      <c r="Q16" s="68">
        <f>(P16*1.04)-0.11</f>
        <v>-0.11</v>
      </c>
    </row>
    <row r="17" spans="2:17" s="4" customFormat="1" x14ac:dyDescent="0.15">
      <c r="B17" s="38" t="s">
        <v>378</v>
      </c>
      <c r="C17" s="21">
        <v>-4.09</v>
      </c>
      <c r="D17" s="21">
        <v>3.1</v>
      </c>
      <c r="E17" s="21">
        <v>2.27</v>
      </c>
      <c r="F17" s="21">
        <v>1.41</v>
      </c>
      <c r="G17" s="21">
        <v>-6.06</v>
      </c>
      <c r="H17" s="68">
        <f>E17*1.04</f>
        <v>2.3608000000000002</v>
      </c>
      <c r="I17" s="68">
        <f t="shared" ref="I17" si="14">H17</f>
        <v>2.3608000000000002</v>
      </c>
      <c r="J17" s="68">
        <f t="shared" ref="J17" si="15">I17</f>
        <v>2.3608000000000002</v>
      </c>
      <c r="K17" s="68">
        <f>J17*1.04</f>
        <v>2.4552320000000005</v>
      </c>
      <c r="L17" s="68">
        <f t="shared" ref="L17" si="16">K17</f>
        <v>2.4552320000000005</v>
      </c>
      <c r="M17" s="68">
        <f t="shared" ref="M17" si="17">L17</f>
        <v>2.4552320000000005</v>
      </c>
      <c r="N17" s="68">
        <f>M17*1.04</f>
        <v>2.5534412800000008</v>
      </c>
      <c r="O17" s="68">
        <f t="shared" ref="O17" si="18">N17</f>
        <v>2.5534412800000008</v>
      </c>
      <c r="P17" s="68">
        <f t="shared" ref="P17" si="19">O17</f>
        <v>2.5534412800000008</v>
      </c>
      <c r="Q17" s="68">
        <f>(P17*1.04)-0.11</f>
        <v>2.545578931200001</v>
      </c>
    </row>
    <row r="18" spans="2:17" s="4" customFormat="1" x14ac:dyDescent="0.15">
      <c r="B18" s="48" t="s">
        <v>81</v>
      </c>
      <c r="C18" s="71">
        <f t="shared" ref="C18:G18" si="20">SUM(C12:C17)</f>
        <v>56.03</v>
      </c>
      <c r="D18" s="71">
        <f t="shared" si="20"/>
        <v>59.02</v>
      </c>
      <c r="E18" s="71">
        <f t="shared" si="20"/>
        <v>61.330000000000005</v>
      </c>
      <c r="F18" s="71">
        <f t="shared" si="20"/>
        <v>62.77</v>
      </c>
      <c r="G18" s="71">
        <f t="shared" si="20"/>
        <v>56.730000000000004</v>
      </c>
      <c r="H18" s="67">
        <f>SUM(H12:H17)</f>
        <v>61.690800000000003</v>
      </c>
      <c r="I18" s="67">
        <f t="shared" ref="I18:Q18" si="21">SUM(I12:I17)</f>
        <v>66.651600000000002</v>
      </c>
      <c r="J18" s="67">
        <f t="shared" si="21"/>
        <v>71.612399999999994</v>
      </c>
      <c r="K18" s="67">
        <f t="shared" si="21"/>
        <v>76.771631999999997</v>
      </c>
      <c r="L18" s="67">
        <f t="shared" si="21"/>
        <v>81.930864</v>
      </c>
      <c r="M18" s="67">
        <f t="shared" si="21"/>
        <v>87.090096000000003</v>
      </c>
      <c r="N18" s="67">
        <f t="shared" si="21"/>
        <v>92.455697279999995</v>
      </c>
      <c r="O18" s="67">
        <f t="shared" si="21"/>
        <v>97.821298559999988</v>
      </c>
      <c r="P18" s="67">
        <f t="shared" si="21"/>
        <v>103.18689983999998</v>
      </c>
      <c r="Q18" s="67">
        <f t="shared" si="21"/>
        <v>108.32712517119998</v>
      </c>
    </row>
    <row r="19" spans="2:17" s="4" customFormat="1" x14ac:dyDescent="0.15">
      <c r="B19" s="38" t="s">
        <v>83</v>
      </c>
      <c r="C19" s="317">
        <v>0</v>
      </c>
      <c r="D19" s="66">
        <v>0</v>
      </c>
      <c r="E19" s="66">
        <v>0</v>
      </c>
      <c r="F19" s="66">
        <v>0</v>
      </c>
      <c r="G19" s="66">
        <v>0</v>
      </c>
      <c r="H19" s="68">
        <v>0</v>
      </c>
      <c r="I19" s="68">
        <v>0</v>
      </c>
      <c r="J19" s="68">
        <v>0</v>
      </c>
      <c r="K19" s="68">
        <v>0</v>
      </c>
      <c r="L19" s="68">
        <v>0</v>
      </c>
      <c r="M19" s="68">
        <v>0</v>
      </c>
      <c r="N19" s="68">
        <v>0</v>
      </c>
      <c r="O19" s="68">
        <v>0</v>
      </c>
      <c r="P19" s="68">
        <v>0</v>
      </c>
      <c r="Q19" s="68">
        <v>0</v>
      </c>
    </row>
    <row r="20" spans="2:17" s="4" customFormat="1" ht="15" thickBot="1" x14ac:dyDescent="0.2">
      <c r="B20" s="48" t="s">
        <v>84</v>
      </c>
      <c r="C20" s="297">
        <f t="shared" ref="C20:Q20" si="22">C18-C19</f>
        <v>56.03</v>
      </c>
      <c r="D20" s="69">
        <f t="shared" si="22"/>
        <v>59.02</v>
      </c>
      <c r="E20" s="69">
        <f t="shared" si="22"/>
        <v>61.330000000000005</v>
      </c>
      <c r="F20" s="69">
        <f t="shared" si="22"/>
        <v>62.77</v>
      </c>
      <c r="G20" s="69">
        <f t="shared" si="22"/>
        <v>56.730000000000004</v>
      </c>
      <c r="H20" s="70">
        <f>H18-H19</f>
        <v>61.690800000000003</v>
      </c>
      <c r="I20" s="70">
        <f t="shared" si="22"/>
        <v>66.651600000000002</v>
      </c>
      <c r="J20" s="70">
        <f t="shared" si="22"/>
        <v>71.612399999999994</v>
      </c>
      <c r="K20" s="70">
        <f t="shared" si="22"/>
        <v>76.771631999999997</v>
      </c>
      <c r="L20" s="70">
        <f t="shared" si="22"/>
        <v>81.930864</v>
      </c>
      <c r="M20" s="70">
        <f t="shared" si="22"/>
        <v>87.090096000000003</v>
      </c>
      <c r="N20" s="70">
        <f t="shared" si="22"/>
        <v>92.455697279999995</v>
      </c>
      <c r="O20" s="70">
        <f t="shared" si="22"/>
        <v>97.821298559999988</v>
      </c>
      <c r="P20" s="70">
        <f t="shared" si="22"/>
        <v>103.18689983999998</v>
      </c>
      <c r="Q20" s="70">
        <f t="shared" si="22"/>
        <v>108.32712517119998</v>
      </c>
    </row>
    <row r="21" spans="2:17" ht="15" thickTop="1" x14ac:dyDescent="0.15">
      <c r="B21" s="38"/>
      <c r="C21" s="72"/>
      <c r="D21" s="72"/>
      <c r="E21" s="72"/>
      <c r="F21" s="72"/>
      <c r="G21" s="72"/>
      <c r="H21" s="68"/>
      <c r="I21" s="68"/>
      <c r="J21" s="68"/>
      <c r="K21" s="68"/>
      <c r="L21" s="68"/>
      <c r="M21" s="68"/>
      <c r="N21" s="68"/>
      <c r="O21" s="68"/>
      <c r="P21" s="68"/>
      <c r="Q21" s="68"/>
    </row>
    <row r="22" spans="2:17" x14ac:dyDescent="0.15">
      <c r="B22" s="403" t="s">
        <v>356</v>
      </c>
      <c r="C22" s="72"/>
      <c r="D22" s="72"/>
      <c r="E22" s="72"/>
      <c r="F22" s="72"/>
      <c r="G22" s="72"/>
      <c r="H22" s="68"/>
      <c r="I22" s="68"/>
      <c r="J22" s="68"/>
      <c r="K22" s="68"/>
      <c r="L22" s="68"/>
      <c r="M22" s="68"/>
      <c r="N22" s="68"/>
      <c r="O22" s="68"/>
      <c r="P22" s="68"/>
      <c r="Q22" s="68"/>
    </row>
    <row r="23" spans="2:17" x14ac:dyDescent="0.15">
      <c r="B23" s="48" t="s">
        <v>79</v>
      </c>
      <c r="C23" s="66">
        <v>86.83</v>
      </c>
      <c r="D23" s="66">
        <f t="shared" ref="D23:G23" si="23">C27</f>
        <v>90.08</v>
      </c>
      <c r="E23" s="66">
        <f t="shared" si="23"/>
        <v>85.25</v>
      </c>
      <c r="F23" s="66">
        <f t="shared" si="23"/>
        <v>85.61999999999999</v>
      </c>
      <c r="G23" s="66">
        <f t="shared" si="23"/>
        <v>82.589999999999989</v>
      </c>
      <c r="H23" s="68">
        <f t="shared" ref="H23" si="24">G27</f>
        <v>-1.4210854715202004E-14</v>
      </c>
      <c r="I23" s="68">
        <f t="shared" ref="I23" si="25">H27</f>
        <v>-1.4210854715202004E-14</v>
      </c>
      <c r="J23" s="68">
        <f t="shared" ref="J23" si="26">I27</f>
        <v>-1.4210854715202004E-14</v>
      </c>
      <c r="K23" s="68">
        <f t="shared" ref="K23" si="27">J27</f>
        <v>-1.4210854715202004E-14</v>
      </c>
      <c r="L23" s="68">
        <f t="shared" ref="L23" si="28">K27</f>
        <v>-1.4210854715202004E-14</v>
      </c>
      <c r="M23" s="68">
        <f t="shared" ref="M23" si="29">L27</f>
        <v>-1.4210854715202004E-14</v>
      </c>
      <c r="N23" s="68">
        <f t="shared" ref="N23" si="30">M27</f>
        <v>-1.4210854715202004E-14</v>
      </c>
      <c r="O23" s="68">
        <f t="shared" ref="O23" si="31">N27</f>
        <v>-1.4210854715202004E-14</v>
      </c>
      <c r="P23" s="68">
        <f t="shared" ref="P23" si="32">O27</f>
        <v>-1.4210854715202004E-14</v>
      </c>
      <c r="Q23" s="68">
        <f t="shared" ref="Q23" si="33">P27</f>
        <v>-1.4210854715202004E-14</v>
      </c>
    </row>
    <row r="24" spans="2:17" x14ac:dyDescent="0.15">
      <c r="B24" s="38" t="s">
        <v>80</v>
      </c>
      <c r="C24" s="66">
        <v>0</v>
      </c>
      <c r="D24" s="66">
        <v>0</v>
      </c>
      <c r="E24" s="66">
        <v>0.02</v>
      </c>
      <c r="F24" s="66">
        <v>0</v>
      </c>
      <c r="G24" s="66">
        <v>0</v>
      </c>
      <c r="H24" s="68">
        <f>G24*1.04</f>
        <v>0</v>
      </c>
      <c r="I24" s="68">
        <f t="shared" ref="I24" si="34">H24</f>
        <v>0</v>
      </c>
      <c r="J24" s="68">
        <f t="shared" ref="J24" si="35">I24</f>
        <v>0</v>
      </c>
      <c r="K24" s="68">
        <f>J24*1.04</f>
        <v>0</v>
      </c>
      <c r="L24" s="68">
        <f t="shared" ref="L24" si="36">K24</f>
        <v>0</v>
      </c>
      <c r="M24" s="68">
        <f t="shared" ref="M24" si="37">L24</f>
        <v>0</v>
      </c>
      <c r="N24" s="68">
        <f>M24*1.04</f>
        <v>0</v>
      </c>
      <c r="O24" s="68">
        <f t="shared" ref="O24" si="38">N24</f>
        <v>0</v>
      </c>
      <c r="P24" s="68">
        <f t="shared" ref="P24" si="39">O24</f>
        <v>0</v>
      </c>
      <c r="Q24" s="68">
        <f>(P24*1.04)-0.11</f>
        <v>-0.11</v>
      </c>
    </row>
    <row r="25" spans="2:17" x14ac:dyDescent="0.15">
      <c r="B25" s="38" t="s">
        <v>379</v>
      </c>
      <c r="C25" s="66">
        <v>0</v>
      </c>
      <c r="D25" s="66">
        <v>0</v>
      </c>
      <c r="E25" s="66">
        <v>0</v>
      </c>
      <c r="F25" s="66">
        <v>0</v>
      </c>
      <c r="G25" s="66">
        <v>-82.59</v>
      </c>
      <c r="H25" s="68">
        <v>0</v>
      </c>
      <c r="I25" s="68">
        <v>0</v>
      </c>
      <c r="J25" s="68">
        <v>0</v>
      </c>
      <c r="K25" s="68">
        <v>0</v>
      </c>
      <c r="L25" s="68">
        <v>0</v>
      </c>
      <c r="M25" s="68">
        <v>0</v>
      </c>
      <c r="N25" s="68">
        <v>0</v>
      </c>
      <c r="O25" s="68">
        <v>0</v>
      </c>
      <c r="P25" s="68">
        <v>0</v>
      </c>
      <c r="Q25" s="68">
        <v>0</v>
      </c>
    </row>
    <row r="26" spans="2:17" x14ac:dyDescent="0.15">
      <c r="B26" s="38" t="s">
        <v>378</v>
      </c>
      <c r="C26" s="66">
        <v>3.25</v>
      </c>
      <c r="D26" s="66">
        <v>-4.83</v>
      </c>
      <c r="E26" s="66">
        <v>0.35</v>
      </c>
      <c r="F26" s="66">
        <v>-3.03</v>
      </c>
      <c r="G26" s="66">
        <v>0</v>
      </c>
      <c r="H26" s="68">
        <f>G26*1.04</f>
        <v>0</v>
      </c>
      <c r="I26" s="68">
        <f t="shared" ref="I26" si="40">H26</f>
        <v>0</v>
      </c>
      <c r="J26" s="68">
        <f t="shared" ref="J26" si="41">I26</f>
        <v>0</v>
      </c>
      <c r="K26" s="68">
        <f>J26*1.04</f>
        <v>0</v>
      </c>
      <c r="L26" s="68">
        <f t="shared" ref="L26" si="42">K26</f>
        <v>0</v>
      </c>
      <c r="M26" s="68">
        <f t="shared" ref="M26" si="43">L26</f>
        <v>0</v>
      </c>
      <c r="N26" s="68">
        <f>M26*1.04</f>
        <v>0</v>
      </c>
      <c r="O26" s="68">
        <f t="shared" ref="O26" si="44">N26</f>
        <v>0</v>
      </c>
      <c r="P26" s="68">
        <f t="shared" ref="P26" si="45">O26</f>
        <v>0</v>
      </c>
      <c r="Q26" s="68">
        <f>(P26*1.04)-0.11</f>
        <v>-0.11</v>
      </c>
    </row>
    <row r="27" spans="2:17" x14ac:dyDescent="0.15">
      <c r="B27" s="48" t="s">
        <v>81</v>
      </c>
      <c r="C27" s="71">
        <f t="shared" ref="C27:Q27" si="46">SUM(C23:C26)</f>
        <v>90.08</v>
      </c>
      <c r="D27" s="71">
        <f t="shared" si="46"/>
        <v>85.25</v>
      </c>
      <c r="E27" s="71">
        <f t="shared" si="46"/>
        <v>85.61999999999999</v>
      </c>
      <c r="F27" s="71">
        <f t="shared" si="46"/>
        <v>82.589999999999989</v>
      </c>
      <c r="G27" s="71">
        <f t="shared" si="46"/>
        <v>-1.4210854715202004E-14</v>
      </c>
      <c r="H27" s="67">
        <f>SUM(H23:H26)</f>
        <v>-1.4210854715202004E-14</v>
      </c>
      <c r="I27" s="67">
        <f t="shared" si="46"/>
        <v>-1.4210854715202004E-14</v>
      </c>
      <c r="J27" s="67">
        <f t="shared" si="46"/>
        <v>-1.4210854715202004E-14</v>
      </c>
      <c r="K27" s="67">
        <f t="shared" si="46"/>
        <v>-1.4210854715202004E-14</v>
      </c>
      <c r="L27" s="67">
        <f t="shared" si="46"/>
        <v>-1.4210854715202004E-14</v>
      </c>
      <c r="M27" s="67">
        <f t="shared" si="46"/>
        <v>-1.4210854715202004E-14</v>
      </c>
      <c r="N27" s="67">
        <f t="shared" si="46"/>
        <v>-1.4210854715202004E-14</v>
      </c>
      <c r="O27" s="67">
        <f t="shared" si="46"/>
        <v>-1.4210854715202004E-14</v>
      </c>
      <c r="P27" s="67">
        <f t="shared" si="46"/>
        <v>-1.4210854715202004E-14</v>
      </c>
      <c r="Q27" s="67">
        <f t="shared" si="46"/>
        <v>-0.22000000000001421</v>
      </c>
    </row>
    <row r="28" spans="2:17" x14ac:dyDescent="0.15">
      <c r="B28" s="38" t="s">
        <v>82</v>
      </c>
      <c r="C28" s="21">
        <v>6.06</v>
      </c>
      <c r="D28" s="21">
        <v>7.12</v>
      </c>
      <c r="E28" s="21">
        <v>7.66</v>
      </c>
      <c r="F28" s="21">
        <v>8.83</v>
      </c>
      <c r="G28" s="21">
        <v>9.74</v>
      </c>
      <c r="H28" s="68">
        <f t="shared" ref="H28:Q28" si="47">SUM(G28:G31)</f>
        <v>0</v>
      </c>
      <c r="I28" s="68">
        <f t="shared" si="47"/>
        <v>0</v>
      </c>
      <c r="J28" s="68">
        <f t="shared" si="47"/>
        <v>0</v>
      </c>
      <c r="K28" s="68">
        <f t="shared" si="47"/>
        <v>0</v>
      </c>
      <c r="L28" s="68">
        <f t="shared" si="47"/>
        <v>0</v>
      </c>
      <c r="M28" s="68">
        <f t="shared" si="47"/>
        <v>0</v>
      </c>
      <c r="N28" s="68">
        <f t="shared" si="47"/>
        <v>0</v>
      </c>
      <c r="O28" s="68">
        <f t="shared" si="47"/>
        <v>0</v>
      </c>
      <c r="P28" s="68">
        <f t="shared" si="47"/>
        <v>0</v>
      </c>
      <c r="Q28" s="68">
        <f t="shared" si="47"/>
        <v>0</v>
      </c>
    </row>
    <row r="29" spans="2:17" x14ac:dyDescent="0.15">
      <c r="B29" s="38" t="s">
        <v>367</v>
      </c>
      <c r="C29" s="21">
        <v>0</v>
      </c>
      <c r="D29" s="21">
        <v>0</v>
      </c>
      <c r="E29" s="21">
        <v>0</v>
      </c>
      <c r="F29" s="21">
        <v>0</v>
      </c>
      <c r="G29" s="21">
        <v>-9.74</v>
      </c>
      <c r="H29" s="68">
        <v>0</v>
      </c>
      <c r="I29" s="68">
        <v>0</v>
      </c>
      <c r="J29" s="68">
        <v>0</v>
      </c>
      <c r="K29" s="68">
        <v>0</v>
      </c>
      <c r="L29" s="68">
        <v>0</v>
      </c>
      <c r="M29" s="68">
        <v>0</v>
      </c>
      <c r="N29" s="68">
        <v>0</v>
      </c>
      <c r="O29" s="68">
        <v>0</v>
      </c>
      <c r="P29" s="68">
        <v>0</v>
      </c>
      <c r="Q29" s="68">
        <v>0</v>
      </c>
    </row>
    <row r="30" spans="2:17" x14ac:dyDescent="0.15">
      <c r="B30" s="38" t="s">
        <v>83</v>
      </c>
      <c r="C30" s="21">
        <v>0.89</v>
      </c>
      <c r="D30" s="21">
        <v>0.88</v>
      </c>
      <c r="E30" s="21">
        <v>1.1100000000000001</v>
      </c>
      <c r="F30" s="21">
        <v>1.1200000000000001</v>
      </c>
      <c r="G30" s="21">
        <v>0</v>
      </c>
      <c r="H30" s="68">
        <f>G30*1.04</f>
        <v>0</v>
      </c>
      <c r="I30" s="68">
        <f t="shared" ref="I30:I31" si="48">H30</f>
        <v>0</v>
      </c>
      <c r="J30" s="68">
        <f t="shared" ref="J30:J31" si="49">I30</f>
        <v>0</v>
      </c>
      <c r="K30" s="68">
        <f>J30*1.04</f>
        <v>0</v>
      </c>
      <c r="L30" s="68">
        <f t="shared" ref="L30:L31" si="50">K30</f>
        <v>0</v>
      </c>
      <c r="M30" s="68">
        <f t="shared" ref="M30:M31" si="51">L30</f>
        <v>0</v>
      </c>
      <c r="N30" s="68">
        <f>M30*1.04</f>
        <v>0</v>
      </c>
      <c r="O30" s="68">
        <f t="shared" ref="O30:O31" si="52">N30</f>
        <v>0</v>
      </c>
      <c r="P30" s="68">
        <f t="shared" ref="P30:P31" si="53">O30</f>
        <v>0</v>
      </c>
      <c r="Q30" s="68">
        <f>(P30*1.04)-0.11</f>
        <v>-0.11</v>
      </c>
    </row>
    <row r="31" spans="2:17" x14ac:dyDescent="0.15">
      <c r="B31" s="38" t="s">
        <v>378</v>
      </c>
      <c r="C31" s="21">
        <v>0.17</v>
      </c>
      <c r="D31" s="21">
        <v>-0.34</v>
      </c>
      <c r="E31" s="21">
        <v>0.06</v>
      </c>
      <c r="F31" s="21">
        <v>-0.21</v>
      </c>
      <c r="G31" s="21">
        <v>0</v>
      </c>
      <c r="H31" s="68">
        <f>G31*1.04</f>
        <v>0</v>
      </c>
      <c r="I31" s="68">
        <f t="shared" si="48"/>
        <v>0</v>
      </c>
      <c r="J31" s="68">
        <f t="shared" si="49"/>
        <v>0</v>
      </c>
      <c r="K31" s="68">
        <f>J31*1.04</f>
        <v>0</v>
      </c>
      <c r="L31" s="68">
        <f t="shared" si="50"/>
        <v>0</v>
      </c>
      <c r="M31" s="68">
        <f t="shared" si="51"/>
        <v>0</v>
      </c>
      <c r="N31" s="68">
        <f>M31*1.04</f>
        <v>0</v>
      </c>
      <c r="O31" s="68">
        <f t="shared" si="52"/>
        <v>0</v>
      </c>
      <c r="P31" s="68">
        <f t="shared" si="53"/>
        <v>0</v>
      </c>
      <c r="Q31" s="68">
        <f>(P31*1.04)-0.11</f>
        <v>-0.11</v>
      </c>
    </row>
    <row r="32" spans="2:17" ht="15" thickBot="1" x14ac:dyDescent="0.2">
      <c r="B32" s="48" t="s">
        <v>84</v>
      </c>
      <c r="C32" s="297">
        <f t="shared" ref="C32:Q32" si="54">C27-SUM(C28:C31)</f>
        <v>82.96</v>
      </c>
      <c r="D32" s="69">
        <f t="shared" si="54"/>
        <v>77.59</v>
      </c>
      <c r="E32" s="69">
        <f t="shared" si="54"/>
        <v>76.789999999999992</v>
      </c>
      <c r="F32" s="69">
        <f t="shared" si="54"/>
        <v>72.849999999999994</v>
      </c>
      <c r="G32" s="69">
        <f t="shared" si="54"/>
        <v>-1.4210854715202004E-14</v>
      </c>
      <c r="H32" s="70">
        <f>H27-SUM(H28:H31)</f>
        <v>-1.4210854715202004E-14</v>
      </c>
      <c r="I32" s="70">
        <f t="shared" si="54"/>
        <v>-1.4210854715202004E-14</v>
      </c>
      <c r="J32" s="70">
        <f t="shared" si="54"/>
        <v>-1.4210854715202004E-14</v>
      </c>
      <c r="K32" s="70">
        <f t="shared" si="54"/>
        <v>-1.4210854715202004E-14</v>
      </c>
      <c r="L32" s="70">
        <f t="shared" si="54"/>
        <v>-1.4210854715202004E-14</v>
      </c>
      <c r="M32" s="70">
        <f t="shared" si="54"/>
        <v>-1.4210854715202004E-14</v>
      </c>
      <c r="N32" s="70">
        <f t="shared" si="54"/>
        <v>-1.4210854715202004E-14</v>
      </c>
      <c r="O32" s="70">
        <f t="shared" si="54"/>
        <v>-1.4210854715202004E-14</v>
      </c>
      <c r="P32" s="70">
        <f t="shared" si="54"/>
        <v>-1.4210854715202004E-14</v>
      </c>
      <c r="Q32" s="70">
        <f t="shared" si="54"/>
        <v>-1.4210854715202004E-14</v>
      </c>
    </row>
    <row r="33" spans="2:34" ht="15" thickTop="1" x14ac:dyDescent="0.15">
      <c r="B33" s="48"/>
      <c r="C33" s="72"/>
      <c r="D33" s="72"/>
      <c r="E33" s="72"/>
      <c r="F33" s="72"/>
      <c r="G33" s="72"/>
      <c r="H33" s="68"/>
      <c r="I33" s="68"/>
      <c r="J33" s="68"/>
      <c r="K33" s="68"/>
      <c r="L33" s="68"/>
      <c r="M33" s="68"/>
      <c r="N33" s="68"/>
      <c r="O33" s="68"/>
      <c r="P33" s="68"/>
      <c r="Q33" s="68"/>
    </row>
    <row r="34" spans="2:34" s="4" customFormat="1" x14ac:dyDescent="0.15">
      <c r="B34" s="403" t="s">
        <v>85</v>
      </c>
      <c r="C34" s="71"/>
      <c r="D34" s="71"/>
      <c r="E34" s="71"/>
      <c r="F34" s="71"/>
      <c r="G34" s="71"/>
      <c r="H34" s="68"/>
      <c r="I34" s="67"/>
      <c r="J34" s="67"/>
      <c r="K34" s="67"/>
      <c r="L34" s="67"/>
      <c r="M34" s="67"/>
      <c r="N34" s="67"/>
      <c r="O34" s="67"/>
      <c r="P34" s="67"/>
      <c r="Q34" s="67"/>
    </row>
    <row r="35" spans="2:34" s="4" customFormat="1" x14ac:dyDescent="0.15">
      <c r="B35" s="48" t="s">
        <v>79</v>
      </c>
      <c r="C35" s="66">
        <v>491.29</v>
      </c>
      <c r="D35" s="66">
        <f t="shared" ref="D35:G35" si="55">C42</f>
        <v>512.18000000000006</v>
      </c>
      <c r="E35" s="66">
        <f t="shared" si="55"/>
        <v>526.53000000000009</v>
      </c>
      <c r="F35" s="66">
        <f t="shared" si="55"/>
        <v>571.09000000000015</v>
      </c>
      <c r="G35" s="66">
        <f t="shared" si="55"/>
        <v>614.63000000000011</v>
      </c>
      <c r="H35" s="67">
        <f t="shared" ref="H35:Q35" si="56">G42</f>
        <v>593.78000000000031</v>
      </c>
      <c r="I35" s="67">
        <f t="shared" si="56"/>
        <v>617.4680000000003</v>
      </c>
      <c r="J35" s="67">
        <f t="shared" si="56"/>
        <v>641.27444000000037</v>
      </c>
      <c r="K35" s="67">
        <f t="shared" si="56"/>
        <v>665.19991220000031</v>
      </c>
      <c r="L35" s="67">
        <f t="shared" si="56"/>
        <v>689.24501176100034</v>
      </c>
      <c r="M35" s="67">
        <f t="shared" si="56"/>
        <v>713.41033681980525</v>
      </c>
      <c r="N35" s="67">
        <f t="shared" si="56"/>
        <v>737.69648850390433</v>
      </c>
      <c r="O35" s="67">
        <f t="shared" si="56"/>
        <v>762.10407094642369</v>
      </c>
      <c r="P35" s="67">
        <f t="shared" si="56"/>
        <v>786.63369130115586</v>
      </c>
      <c r="Q35" s="67">
        <f t="shared" si="56"/>
        <v>811.28595975766166</v>
      </c>
    </row>
    <row r="36" spans="2:34" x14ac:dyDescent="0.15">
      <c r="B36" s="38" t="s">
        <v>80</v>
      </c>
      <c r="C36" s="21">
        <v>28.77</v>
      </c>
      <c r="D36" s="21">
        <v>9.84</v>
      </c>
      <c r="E36" s="21">
        <v>20.079999999999998</v>
      </c>
      <c r="F36" s="21">
        <v>26.16</v>
      </c>
      <c r="G36" s="21">
        <v>23.22</v>
      </c>
      <c r="H36" s="68">
        <f>AVERAGE(C36:G36)</f>
        <v>21.613999999999997</v>
      </c>
      <c r="I36" s="68">
        <f t="shared" ref="I36:Q41" si="57">H36*1.005</f>
        <v>21.722069999999995</v>
      </c>
      <c r="J36" s="68">
        <f t="shared" si="57"/>
        <v>21.830680349999994</v>
      </c>
      <c r="K36" s="68">
        <f t="shared" si="57"/>
        <v>21.93983375174999</v>
      </c>
      <c r="L36" s="68">
        <f t="shared" si="57"/>
        <v>22.049532920508739</v>
      </c>
      <c r="M36" s="68">
        <f t="shared" si="57"/>
        <v>22.159780585111282</v>
      </c>
      <c r="N36" s="68">
        <f t="shared" si="57"/>
        <v>22.270579488036837</v>
      </c>
      <c r="O36" s="68">
        <f t="shared" si="57"/>
        <v>22.381932385477018</v>
      </c>
      <c r="P36" s="68">
        <f t="shared" si="57"/>
        <v>22.493842047404399</v>
      </c>
      <c r="Q36" s="68">
        <f t="shared" si="57"/>
        <v>22.606311257641419</v>
      </c>
      <c r="W36" s="102"/>
      <c r="X36" s="102"/>
      <c r="Y36" s="102"/>
      <c r="Z36" s="102"/>
      <c r="AA36" s="102"/>
      <c r="AB36" s="76"/>
      <c r="AD36" s="76"/>
      <c r="AE36" s="76"/>
      <c r="AF36" s="76"/>
      <c r="AG36" s="45"/>
      <c r="AH36" s="45"/>
    </row>
    <row r="37" spans="2:34" x14ac:dyDescent="0.15">
      <c r="B37" s="38" t="s">
        <v>375</v>
      </c>
      <c r="C37" s="21">
        <v>0</v>
      </c>
      <c r="D37" s="21">
        <v>0</v>
      </c>
      <c r="E37" s="21">
        <v>0</v>
      </c>
      <c r="F37" s="21">
        <v>0</v>
      </c>
      <c r="G37" s="21">
        <v>-15.89</v>
      </c>
      <c r="H37" s="68">
        <v>0</v>
      </c>
      <c r="I37" s="68">
        <v>0</v>
      </c>
      <c r="J37" s="68">
        <v>0</v>
      </c>
      <c r="K37" s="68">
        <v>0</v>
      </c>
      <c r="L37" s="68">
        <v>0</v>
      </c>
      <c r="M37" s="68">
        <v>0</v>
      </c>
      <c r="N37" s="68">
        <v>0</v>
      </c>
      <c r="O37" s="68">
        <v>0</v>
      </c>
      <c r="P37" s="68">
        <v>0</v>
      </c>
      <c r="Q37" s="68">
        <v>0</v>
      </c>
      <c r="W37" s="102"/>
      <c r="X37" s="102"/>
      <c r="Y37" s="102"/>
      <c r="Z37" s="102"/>
      <c r="AA37" s="102"/>
      <c r="AB37" s="76"/>
      <c r="AD37" s="76"/>
      <c r="AE37" s="76"/>
      <c r="AF37" s="76"/>
      <c r="AG37" s="45"/>
      <c r="AH37" s="45"/>
    </row>
    <row r="38" spans="2:34" x14ac:dyDescent="0.15">
      <c r="B38" s="38" t="s">
        <v>376</v>
      </c>
      <c r="C38" s="21">
        <v>-0.01</v>
      </c>
      <c r="D38" s="21">
        <v>-1.67</v>
      </c>
      <c r="E38" s="21">
        <v>-1.49</v>
      </c>
      <c r="F38" s="21">
        <v>-0.55000000000000004</v>
      </c>
      <c r="G38" s="21">
        <v>8.84</v>
      </c>
      <c r="H38" s="68">
        <f>AVERAGE(C38:G38)</f>
        <v>1.024</v>
      </c>
      <c r="I38" s="68">
        <f t="shared" si="57"/>
        <v>1.0291199999999998</v>
      </c>
      <c r="J38" s="68">
        <f t="shared" si="57"/>
        <v>1.0342655999999997</v>
      </c>
      <c r="K38" s="68">
        <f t="shared" si="57"/>
        <v>1.0394369279999995</v>
      </c>
      <c r="L38" s="68">
        <f t="shared" si="57"/>
        <v>1.0446341126399994</v>
      </c>
      <c r="M38" s="68">
        <f t="shared" si="57"/>
        <v>1.0498572832031994</v>
      </c>
      <c r="N38" s="68">
        <f t="shared" si="57"/>
        <v>1.0551065696192152</v>
      </c>
      <c r="O38" s="68">
        <f t="shared" si="57"/>
        <v>1.0603821024673112</v>
      </c>
      <c r="P38" s="68">
        <f t="shared" si="57"/>
        <v>1.0656840129796477</v>
      </c>
      <c r="Q38" s="68">
        <f t="shared" si="57"/>
        <v>1.0710124330445459</v>
      </c>
      <c r="W38" s="102"/>
      <c r="X38" s="102"/>
      <c r="Y38" s="102"/>
      <c r="Z38" s="102"/>
      <c r="AA38" s="102"/>
      <c r="AB38" s="76"/>
      <c r="AD38" s="76"/>
      <c r="AE38" s="76"/>
      <c r="AF38" s="76"/>
      <c r="AG38" s="45"/>
      <c r="AH38" s="45"/>
    </row>
    <row r="39" spans="2:34" x14ac:dyDescent="0.15">
      <c r="B39" s="38" t="s">
        <v>377</v>
      </c>
      <c r="C39" s="21">
        <v>0.76</v>
      </c>
      <c r="D39" s="21">
        <v>1.1499999999999999</v>
      </c>
      <c r="E39" s="21">
        <v>6.96</v>
      </c>
      <c r="F39" s="21">
        <v>5.8</v>
      </c>
      <c r="G39" s="21">
        <v>0.22</v>
      </c>
      <c r="H39" s="68">
        <f>AVERAGE(C39:G39)</f>
        <v>2.9779999999999998</v>
      </c>
      <c r="I39" s="68">
        <f t="shared" si="57"/>
        <v>2.9928899999999996</v>
      </c>
      <c r="J39" s="68">
        <f t="shared" si="57"/>
        <v>3.0078544499999991</v>
      </c>
      <c r="K39" s="68">
        <f t="shared" si="57"/>
        <v>3.0228937222499987</v>
      </c>
      <c r="L39" s="68">
        <f t="shared" si="57"/>
        <v>3.0380081908612486</v>
      </c>
      <c r="M39" s="68">
        <f t="shared" si="57"/>
        <v>3.0531982318155544</v>
      </c>
      <c r="N39" s="68">
        <f t="shared" si="57"/>
        <v>3.0684642229746317</v>
      </c>
      <c r="O39" s="68">
        <f t="shared" si="57"/>
        <v>3.0838065440895046</v>
      </c>
      <c r="P39" s="68">
        <f t="shared" si="57"/>
        <v>3.0992255768099519</v>
      </c>
      <c r="Q39" s="68">
        <f t="shared" si="57"/>
        <v>3.1147217046940012</v>
      </c>
      <c r="W39" s="102"/>
      <c r="X39" s="102"/>
      <c r="Y39" s="102"/>
      <c r="Z39" s="102"/>
      <c r="AA39" s="102"/>
      <c r="AB39" s="76"/>
      <c r="AD39" s="76"/>
      <c r="AE39" s="76"/>
      <c r="AF39" s="76"/>
      <c r="AG39" s="45"/>
      <c r="AH39" s="45"/>
    </row>
    <row r="40" spans="2:34" x14ac:dyDescent="0.15">
      <c r="B40" s="38" t="s">
        <v>380</v>
      </c>
      <c r="C40" s="21">
        <v>0</v>
      </c>
      <c r="D40" s="21">
        <v>0</v>
      </c>
      <c r="E40" s="21">
        <v>0</v>
      </c>
      <c r="F40" s="21">
        <v>0</v>
      </c>
      <c r="G40" s="21">
        <v>-0.06</v>
      </c>
      <c r="H40" s="68"/>
      <c r="I40" s="68"/>
      <c r="J40" s="68"/>
      <c r="K40" s="68"/>
      <c r="L40" s="68"/>
      <c r="M40" s="68"/>
      <c r="N40" s="68"/>
      <c r="O40" s="68"/>
      <c r="P40" s="68"/>
      <c r="Q40" s="68"/>
      <c r="W40" s="102"/>
      <c r="X40" s="102"/>
      <c r="Y40" s="102"/>
      <c r="Z40" s="102"/>
      <c r="AA40" s="102"/>
      <c r="AB40" s="76"/>
      <c r="AD40" s="76"/>
      <c r="AE40" s="76"/>
      <c r="AF40" s="76"/>
      <c r="AG40" s="45"/>
      <c r="AH40" s="45"/>
    </row>
    <row r="41" spans="2:34" x14ac:dyDescent="0.15">
      <c r="B41" s="38" t="s">
        <v>378</v>
      </c>
      <c r="C41" s="21">
        <v>-8.6300000000000008</v>
      </c>
      <c r="D41" s="21">
        <v>5.03</v>
      </c>
      <c r="E41" s="21">
        <v>19.010000000000002</v>
      </c>
      <c r="F41" s="21">
        <v>12.13</v>
      </c>
      <c r="G41" s="21">
        <v>-37.18</v>
      </c>
      <c r="H41" s="68">
        <f>AVERAGE(C41:G41)</f>
        <v>-1.9280000000000002</v>
      </c>
      <c r="I41" s="68">
        <f t="shared" si="57"/>
        <v>-1.93764</v>
      </c>
      <c r="J41" s="68">
        <f t="shared" si="57"/>
        <v>-1.9473281999999998</v>
      </c>
      <c r="K41" s="68">
        <f t="shared" si="57"/>
        <v>-1.9570648409999996</v>
      </c>
      <c r="L41" s="68">
        <f t="shared" si="57"/>
        <v>-1.9668501652049994</v>
      </c>
      <c r="M41" s="68">
        <f t="shared" si="57"/>
        <v>-1.9766844160310242</v>
      </c>
      <c r="N41" s="68">
        <f t="shared" si="57"/>
        <v>-1.9865678381111791</v>
      </c>
      <c r="O41" s="68">
        <f t="shared" si="57"/>
        <v>-1.9965006773017349</v>
      </c>
      <c r="P41" s="68">
        <f t="shared" si="57"/>
        <v>-2.0064831806882433</v>
      </c>
      <c r="Q41" s="68">
        <f t="shared" si="57"/>
        <v>-2.0165155965916841</v>
      </c>
      <c r="W41" s="102"/>
      <c r="X41" s="102"/>
      <c r="Y41" s="102"/>
      <c r="Z41" s="102"/>
      <c r="AA41" s="102"/>
      <c r="AB41" s="76"/>
      <c r="AD41" s="76"/>
      <c r="AE41" s="76"/>
      <c r="AF41" s="76"/>
      <c r="AG41" s="45"/>
      <c r="AH41" s="45"/>
    </row>
    <row r="42" spans="2:34" s="4" customFormat="1" x14ac:dyDescent="0.15">
      <c r="B42" s="48" t="s">
        <v>81</v>
      </c>
      <c r="C42" s="71">
        <f>SUM(C35:C41)</f>
        <v>512.18000000000006</v>
      </c>
      <c r="D42" s="71">
        <f t="shared" ref="D42:Q42" si="58">SUM(D35:D41)</f>
        <v>526.53000000000009</v>
      </c>
      <c r="E42" s="71">
        <f t="shared" si="58"/>
        <v>571.09000000000015</v>
      </c>
      <c r="F42" s="71">
        <f t="shared" si="58"/>
        <v>614.63000000000011</v>
      </c>
      <c r="G42" s="71">
        <f t="shared" si="58"/>
        <v>593.78000000000031</v>
      </c>
      <c r="H42" s="67">
        <f>SUM(H35:H41)</f>
        <v>617.4680000000003</v>
      </c>
      <c r="I42" s="67">
        <f t="shared" si="58"/>
        <v>641.27444000000037</v>
      </c>
      <c r="J42" s="67">
        <f t="shared" si="58"/>
        <v>665.19991220000031</v>
      </c>
      <c r="K42" s="67">
        <f t="shared" si="58"/>
        <v>689.24501176100034</v>
      </c>
      <c r="L42" s="67">
        <f t="shared" si="58"/>
        <v>713.41033681980525</v>
      </c>
      <c r="M42" s="67">
        <f t="shared" si="58"/>
        <v>737.69648850390433</v>
      </c>
      <c r="N42" s="67">
        <f t="shared" si="58"/>
        <v>762.10407094642369</v>
      </c>
      <c r="O42" s="67">
        <f t="shared" si="58"/>
        <v>786.63369130115586</v>
      </c>
      <c r="P42" s="67">
        <f t="shared" si="58"/>
        <v>811.28595975766166</v>
      </c>
      <c r="Q42" s="67">
        <f t="shared" si="58"/>
        <v>836.06148955644994</v>
      </c>
    </row>
    <row r="43" spans="2:34" x14ac:dyDescent="0.15">
      <c r="B43" s="38" t="s">
        <v>82</v>
      </c>
      <c r="C43" s="21">
        <v>46.82</v>
      </c>
      <c r="D43" s="21">
        <v>61.45</v>
      </c>
      <c r="E43" s="21">
        <v>83.63</v>
      </c>
      <c r="F43" s="21">
        <v>108.7</v>
      </c>
      <c r="G43" s="21">
        <v>135.07</v>
      </c>
      <c r="H43" s="68">
        <f t="shared" ref="H43:Q43" si="59">SUM(G43:G50)</f>
        <v>143.46000000000004</v>
      </c>
      <c r="I43" s="68">
        <f t="shared" si="59"/>
        <v>163.74600000000004</v>
      </c>
      <c r="J43" s="68">
        <f t="shared" si="59"/>
        <v>184.13343000000003</v>
      </c>
      <c r="K43" s="68">
        <f t="shared" si="59"/>
        <v>204.62279715000003</v>
      </c>
      <c r="L43" s="68">
        <f t="shared" si="59"/>
        <v>225.21461113575</v>
      </c>
      <c r="M43" s="68">
        <f t="shared" si="59"/>
        <v>245.90938419142876</v>
      </c>
      <c r="N43" s="68">
        <f t="shared" si="59"/>
        <v>266.7076311123858</v>
      </c>
      <c r="O43" s="68">
        <f t="shared" si="59"/>
        <v>287.60986926794772</v>
      </c>
      <c r="P43" s="68">
        <f t="shared" si="59"/>
        <v>308.6166186142874</v>
      </c>
      <c r="Q43" s="68">
        <f t="shared" si="59"/>
        <v>329.72840170735884</v>
      </c>
      <c r="R43" s="76"/>
    </row>
    <row r="44" spans="2:34" x14ac:dyDescent="0.15">
      <c r="B44" s="38" t="s">
        <v>83</v>
      </c>
      <c r="C44" s="21">
        <v>18.23</v>
      </c>
      <c r="D44" s="21">
        <v>19.7</v>
      </c>
      <c r="E44" s="21">
        <v>20.77</v>
      </c>
      <c r="F44" s="21">
        <v>20.41</v>
      </c>
      <c r="G44" s="21">
        <v>19.739999999999998</v>
      </c>
      <c r="H44" s="68">
        <f>AVERAGE(C44:G44)</f>
        <v>19.77</v>
      </c>
      <c r="I44" s="68">
        <f t="shared" ref="I44:Q45" si="60">H44*1.005</f>
        <v>19.868849999999998</v>
      </c>
      <c r="J44" s="68">
        <f t="shared" si="60"/>
        <v>19.968194249999996</v>
      </c>
      <c r="K44" s="68">
        <f t="shared" si="60"/>
        <v>20.068035221249993</v>
      </c>
      <c r="L44" s="68">
        <f t="shared" si="60"/>
        <v>20.16837539735624</v>
      </c>
      <c r="M44" s="68">
        <f t="shared" si="60"/>
        <v>20.269217274343017</v>
      </c>
      <c r="N44" s="68">
        <f t="shared" si="60"/>
        <v>20.37056336071473</v>
      </c>
      <c r="O44" s="68">
        <f t="shared" si="60"/>
        <v>20.472416177518301</v>
      </c>
      <c r="P44" s="68">
        <f t="shared" si="60"/>
        <v>20.574778258405889</v>
      </c>
      <c r="Q44" s="68">
        <f t="shared" si="60"/>
        <v>20.677652149697916</v>
      </c>
    </row>
    <row r="45" spans="2:34" x14ac:dyDescent="0.15">
      <c r="B45" s="38" t="s">
        <v>381</v>
      </c>
      <c r="C45" s="21">
        <v>0.63</v>
      </c>
      <c r="D45" s="21">
        <v>0.74</v>
      </c>
      <c r="E45" s="21">
        <v>0.77</v>
      </c>
      <c r="F45" s="21">
        <v>0.97</v>
      </c>
      <c r="G45" s="21">
        <v>0.99</v>
      </c>
      <c r="H45" s="68">
        <f>AVERAGE(C45:G45)</f>
        <v>0.82000000000000006</v>
      </c>
      <c r="I45" s="68">
        <f t="shared" si="60"/>
        <v>0.82409999999999994</v>
      </c>
      <c r="J45" s="68">
        <f t="shared" si="60"/>
        <v>0.8282204999999998</v>
      </c>
      <c r="K45" s="68">
        <f t="shared" si="60"/>
        <v>0.83236160249999969</v>
      </c>
      <c r="L45" s="68">
        <f t="shared" si="60"/>
        <v>0.83652341051249957</v>
      </c>
      <c r="M45" s="68">
        <f t="shared" si="60"/>
        <v>0.84070602756506196</v>
      </c>
      <c r="N45" s="68">
        <f t="shared" si="60"/>
        <v>0.84490955770288723</v>
      </c>
      <c r="O45" s="68">
        <f t="shared" si="60"/>
        <v>0.84913410549140156</v>
      </c>
      <c r="P45" s="68">
        <f t="shared" si="60"/>
        <v>0.8533797760188585</v>
      </c>
      <c r="Q45" s="68">
        <f t="shared" si="60"/>
        <v>0.85764667489895274</v>
      </c>
      <c r="W45" s="102"/>
      <c r="X45" s="102"/>
      <c r="Y45" s="102"/>
      <c r="Z45" s="102"/>
      <c r="AA45" s="102"/>
      <c r="AB45" s="76"/>
      <c r="AD45" s="76"/>
      <c r="AE45" s="76"/>
      <c r="AF45" s="76"/>
      <c r="AG45" s="45"/>
      <c r="AH45" s="45"/>
    </row>
    <row r="46" spans="2:34" x14ac:dyDescent="0.15">
      <c r="B46" s="38" t="s">
        <v>375</v>
      </c>
      <c r="C46" s="21">
        <v>0</v>
      </c>
      <c r="D46" s="21">
        <v>0</v>
      </c>
      <c r="E46" s="21">
        <v>0</v>
      </c>
      <c r="F46" s="21">
        <v>0</v>
      </c>
      <c r="G46" s="21">
        <v>-4.57</v>
      </c>
      <c r="H46" s="68">
        <v>0</v>
      </c>
      <c r="I46" s="68">
        <v>0</v>
      </c>
      <c r="J46" s="68">
        <v>0</v>
      </c>
      <c r="K46" s="68">
        <v>0</v>
      </c>
      <c r="L46" s="68">
        <v>0</v>
      </c>
      <c r="M46" s="68">
        <v>0</v>
      </c>
      <c r="N46" s="68">
        <v>0</v>
      </c>
      <c r="O46" s="68">
        <v>0</v>
      </c>
      <c r="P46" s="68">
        <v>0</v>
      </c>
      <c r="Q46" s="68">
        <v>0</v>
      </c>
      <c r="W46" s="102"/>
      <c r="X46" s="102"/>
      <c r="Y46" s="102"/>
      <c r="Z46" s="102"/>
      <c r="AA46" s="102"/>
      <c r="AB46" s="76"/>
      <c r="AD46" s="76"/>
      <c r="AE46" s="76"/>
      <c r="AF46" s="76"/>
      <c r="AG46" s="45"/>
      <c r="AH46" s="45"/>
    </row>
    <row r="47" spans="2:34" x14ac:dyDescent="0.15">
      <c r="B47" s="38" t="s">
        <v>376</v>
      </c>
      <c r="C47" s="21" t="s">
        <v>355</v>
      </c>
      <c r="D47" s="21">
        <v>-0.46</v>
      </c>
      <c r="E47" s="21">
        <v>-0.42</v>
      </c>
      <c r="F47" s="21">
        <v>-0.21</v>
      </c>
      <c r="G47" s="21">
        <v>1.93</v>
      </c>
      <c r="H47" s="68">
        <f>AVERAGE(C47:G47)</f>
        <v>0.20999999999999996</v>
      </c>
      <c r="I47" s="68">
        <f t="shared" ref="I47:Q47" si="61">H47*1.005</f>
        <v>0.21104999999999993</v>
      </c>
      <c r="J47" s="68">
        <f t="shared" si="61"/>
        <v>0.21210524999999991</v>
      </c>
      <c r="K47" s="68">
        <f t="shared" si="61"/>
        <v>0.21316577624999988</v>
      </c>
      <c r="L47" s="68">
        <f t="shared" si="61"/>
        <v>0.21423160513124986</v>
      </c>
      <c r="M47" s="68">
        <f t="shared" si="61"/>
        <v>0.21530276315690608</v>
      </c>
      <c r="N47" s="68">
        <f t="shared" si="61"/>
        <v>0.21637927697269058</v>
      </c>
      <c r="O47" s="68">
        <f t="shared" si="61"/>
        <v>0.21746117335755399</v>
      </c>
      <c r="P47" s="68">
        <f t="shared" si="61"/>
        <v>0.21854847922434173</v>
      </c>
      <c r="Q47" s="68">
        <f t="shared" si="61"/>
        <v>0.21964122162046343</v>
      </c>
      <c r="W47" s="102"/>
      <c r="X47" s="102"/>
      <c r="Y47" s="102"/>
      <c r="Z47" s="102"/>
      <c r="AA47" s="102"/>
      <c r="AB47" s="76"/>
      <c r="AD47" s="76"/>
      <c r="AE47" s="76"/>
      <c r="AF47" s="76"/>
      <c r="AG47" s="45"/>
      <c r="AH47" s="45"/>
    </row>
    <row r="48" spans="2:34" x14ac:dyDescent="0.15">
      <c r="B48" s="38" t="s">
        <v>380</v>
      </c>
      <c r="C48" s="21">
        <v>0</v>
      </c>
      <c r="D48" s="21">
        <v>0</v>
      </c>
      <c r="E48" s="21">
        <v>0</v>
      </c>
      <c r="F48" s="21">
        <v>0</v>
      </c>
      <c r="G48" s="21">
        <v>-0.01</v>
      </c>
      <c r="H48" s="68"/>
      <c r="I48" s="68"/>
      <c r="J48" s="68"/>
      <c r="K48" s="68"/>
      <c r="L48" s="68"/>
      <c r="M48" s="68"/>
      <c r="N48" s="68"/>
      <c r="O48" s="68"/>
      <c r="P48" s="68"/>
      <c r="Q48" s="68"/>
      <c r="W48" s="102"/>
      <c r="X48" s="102"/>
      <c r="Y48" s="102"/>
      <c r="Z48" s="102"/>
      <c r="AA48" s="102"/>
      <c r="AB48" s="76"/>
      <c r="AD48" s="76"/>
      <c r="AE48" s="76"/>
      <c r="AF48" s="76"/>
      <c r="AG48" s="45"/>
      <c r="AH48" s="45"/>
    </row>
    <row r="49" spans="2:34" x14ac:dyDescent="0.15">
      <c r="B49" s="38" t="s">
        <v>377</v>
      </c>
      <c r="C49" s="21">
        <v>-0.62</v>
      </c>
      <c r="D49" s="21">
        <v>-0.11</v>
      </c>
      <c r="E49" s="21">
        <v>1.41</v>
      </c>
      <c r="F49" s="21">
        <v>1.36</v>
      </c>
      <c r="G49" s="21">
        <v>0.01</v>
      </c>
      <c r="H49" s="68">
        <f>AVERAGE(C49:G49)</f>
        <v>0.41</v>
      </c>
      <c r="I49" s="68">
        <f t="shared" ref="I49:Q50" si="62">H49*1.005</f>
        <v>0.41204999999999992</v>
      </c>
      <c r="J49" s="68">
        <f t="shared" si="62"/>
        <v>0.41411024999999985</v>
      </c>
      <c r="K49" s="68">
        <f t="shared" si="62"/>
        <v>0.41618080124999979</v>
      </c>
      <c r="L49" s="68">
        <f t="shared" si="62"/>
        <v>0.41826170525624973</v>
      </c>
      <c r="M49" s="68">
        <f t="shared" si="62"/>
        <v>0.42035301378253093</v>
      </c>
      <c r="N49" s="68">
        <f t="shared" si="62"/>
        <v>0.42245477885144356</v>
      </c>
      <c r="O49" s="68">
        <f t="shared" si="62"/>
        <v>0.42456705274570072</v>
      </c>
      <c r="P49" s="68">
        <f t="shared" si="62"/>
        <v>0.4266898880094292</v>
      </c>
      <c r="Q49" s="68">
        <f t="shared" si="62"/>
        <v>0.42882333744947632</v>
      </c>
      <c r="W49" s="102"/>
      <c r="X49" s="102"/>
      <c r="Y49" s="102"/>
      <c r="Z49" s="102"/>
      <c r="AA49" s="102"/>
      <c r="AB49" s="76"/>
      <c r="AD49" s="76"/>
      <c r="AE49" s="76"/>
      <c r="AF49" s="76"/>
      <c r="AG49" s="45"/>
      <c r="AH49" s="45"/>
    </row>
    <row r="50" spans="2:34" x14ac:dyDescent="0.15">
      <c r="B50" s="38" t="s">
        <v>378</v>
      </c>
      <c r="C50" s="21">
        <v>-3.61</v>
      </c>
      <c r="D50" s="21">
        <v>2.31</v>
      </c>
      <c r="E50" s="21">
        <v>2.54</v>
      </c>
      <c r="F50" s="21">
        <v>3.84</v>
      </c>
      <c r="G50" s="21">
        <v>-9.6999999999999993</v>
      </c>
      <c r="H50" s="68">
        <f>AVERAGE(C50:G50)</f>
        <v>-0.92399999999999982</v>
      </c>
      <c r="I50" s="68">
        <f t="shared" si="62"/>
        <v>-0.92861999999999967</v>
      </c>
      <c r="J50" s="68">
        <f t="shared" si="62"/>
        <v>-0.93326309999999957</v>
      </c>
      <c r="K50" s="68">
        <f t="shared" si="62"/>
        <v>-0.93792941549999942</v>
      </c>
      <c r="L50" s="68">
        <f t="shared" si="62"/>
        <v>-0.94261906257749928</v>
      </c>
      <c r="M50" s="68">
        <f t="shared" si="62"/>
        <v>-0.94733215789038672</v>
      </c>
      <c r="N50" s="68">
        <f t="shared" si="62"/>
        <v>-0.9520688186798385</v>
      </c>
      <c r="O50" s="68">
        <f t="shared" si="62"/>
        <v>-0.9568291627732376</v>
      </c>
      <c r="P50" s="68">
        <f t="shared" si="62"/>
        <v>-0.9616133085871037</v>
      </c>
      <c r="Q50" s="68">
        <f t="shared" si="62"/>
        <v>-0.96642137513003912</v>
      </c>
      <c r="W50" s="102"/>
      <c r="X50" s="102"/>
      <c r="Y50" s="102"/>
      <c r="Z50" s="102"/>
      <c r="AA50" s="102"/>
      <c r="AB50" s="76"/>
      <c r="AD50" s="76"/>
      <c r="AE50" s="76"/>
      <c r="AF50" s="76"/>
      <c r="AG50" s="45"/>
      <c r="AH50" s="45"/>
    </row>
    <row r="51" spans="2:34" s="4" customFormat="1" ht="15" thickBot="1" x14ac:dyDescent="0.2">
      <c r="B51" s="48" t="s">
        <v>84</v>
      </c>
      <c r="C51" s="69">
        <f t="shared" ref="C51:Q51" si="63">C42-SUM(C43:C50)</f>
        <v>450.73000000000008</v>
      </c>
      <c r="D51" s="69">
        <f t="shared" si="63"/>
        <v>442.90000000000009</v>
      </c>
      <c r="E51" s="69">
        <f t="shared" si="63"/>
        <v>462.39000000000016</v>
      </c>
      <c r="F51" s="69">
        <f t="shared" si="63"/>
        <v>479.56000000000006</v>
      </c>
      <c r="G51" s="69">
        <f t="shared" si="63"/>
        <v>450.32000000000028</v>
      </c>
      <c r="H51" s="70">
        <f>H42-SUM(H43:H50)</f>
        <v>453.72200000000026</v>
      </c>
      <c r="I51" s="70">
        <f t="shared" si="63"/>
        <v>457.14101000000034</v>
      </c>
      <c r="J51" s="70">
        <f t="shared" si="63"/>
        <v>460.57711505000032</v>
      </c>
      <c r="K51" s="70">
        <f t="shared" si="63"/>
        <v>464.03040062525031</v>
      </c>
      <c r="L51" s="70">
        <f t="shared" si="63"/>
        <v>467.50095262837647</v>
      </c>
      <c r="M51" s="70">
        <f t="shared" si="63"/>
        <v>470.98885739151854</v>
      </c>
      <c r="N51" s="70">
        <f t="shared" si="63"/>
        <v>474.49420167847597</v>
      </c>
      <c r="O51" s="70">
        <f t="shared" si="63"/>
        <v>478.01707268686846</v>
      </c>
      <c r="P51" s="70">
        <f t="shared" si="63"/>
        <v>481.55755805030282</v>
      </c>
      <c r="Q51" s="70">
        <f t="shared" si="63"/>
        <v>485.11574584055433</v>
      </c>
    </row>
    <row r="52" spans="2:34" ht="15" thickTop="1" x14ac:dyDescent="0.15">
      <c r="B52" s="38"/>
      <c r="C52" s="72"/>
      <c r="D52" s="72"/>
      <c r="E52" s="73"/>
      <c r="F52" s="73"/>
      <c r="G52" s="72"/>
      <c r="H52" s="68"/>
      <c r="I52" s="68"/>
      <c r="J52" s="68"/>
      <c r="K52" s="68"/>
      <c r="L52" s="68"/>
      <c r="M52" s="68"/>
      <c r="N52" s="68"/>
      <c r="O52" s="68"/>
      <c r="P52" s="68"/>
      <c r="Q52" s="68"/>
    </row>
    <row r="53" spans="2:34" x14ac:dyDescent="0.15">
      <c r="B53" s="403" t="s">
        <v>358</v>
      </c>
      <c r="C53" s="72"/>
      <c r="D53" s="72"/>
      <c r="E53" s="72"/>
      <c r="F53" s="72"/>
      <c r="G53" s="72"/>
      <c r="H53" s="68"/>
      <c r="I53" s="68"/>
      <c r="J53" s="68"/>
      <c r="K53" s="68"/>
      <c r="L53" s="68"/>
      <c r="M53" s="68"/>
      <c r="N53" s="68"/>
      <c r="O53" s="68"/>
      <c r="P53" s="68"/>
      <c r="Q53" s="68"/>
    </row>
    <row r="54" spans="2:34" s="4" customFormat="1" x14ac:dyDescent="0.15">
      <c r="B54" s="48" t="s">
        <v>79</v>
      </c>
      <c r="C54" s="66">
        <v>45.08</v>
      </c>
      <c r="D54" s="66">
        <f t="shared" ref="D54:G54" si="64">C58</f>
        <v>47.48</v>
      </c>
      <c r="E54" s="66">
        <f t="shared" si="64"/>
        <v>52.3</v>
      </c>
      <c r="F54" s="66">
        <f t="shared" si="64"/>
        <v>56.73</v>
      </c>
      <c r="G54" s="66">
        <f t="shared" si="64"/>
        <v>68.91</v>
      </c>
      <c r="H54" s="67">
        <f>G58</f>
        <v>61.709999999999994</v>
      </c>
      <c r="I54" s="67">
        <f t="shared" ref="I54:Q54" si="65">H58</f>
        <v>65.036000000000001</v>
      </c>
      <c r="J54" s="67">
        <f t="shared" si="65"/>
        <v>68.378630000000001</v>
      </c>
      <c r="K54" s="67">
        <f t="shared" si="65"/>
        <v>71.737973150000002</v>
      </c>
      <c r="L54" s="67">
        <f t="shared" si="65"/>
        <v>70.594113015749997</v>
      </c>
      <c r="M54" s="67">
        <f t="shared" si="65"/>
        <v>73.98713358082874</v>
      </c>
      <c r="N54" s="67">
        <f t="shared" si="65"/>
        <v>77.397119248732878</v>
      </c>
      <c r="O54" s="67">
        <f t="shared" si="65"/>
        <v>80.824154844976547</v>
      </c>
      <c r="P54" s="67">
        <f t="shared" si="65"/>
        <v>84.268325619201434</v>
      </c>
      <c r="Q54" s="67">
        <f t="shared" si="65"/>
        <v>87.72971724729743</v>
      </c>
    </row>
    <row r="55" spans="2:34" x14ac:dyDescent="0.15">
      <c r="B55" s="38" t="s">
        <v>80</v>
      </c>
      <c r="C55" s="21">
        <v>2.17</v>
      </c>
      <c r="D55" s="21">
        <v>5.1100000000000003</v>
      </c>
      <c r="E55" s="21">
        <v>6.92</v>
      </c>
      <c r="F55" s="21">
        <v>12.73</v>
      </c>
      <c r="G55" s="21">
        <v>7.48</v>
      </c>
      <c r="H55" s="68">
        <f>AVERAGE(C55:G55)</f>
        <v>6.8819999999999997</v>
      </c>
      <c r="I55" s="68">
        <f t="shared" ref="I55:Q57" si="66">H55*1.005</f>
        <v>6.9164099999999991</v>
      </c>
      <c r="J55" s="68">
        <f t="shared" si="66"/>
        <v>6.9509920499999982</v>
      </c>
      <c r="K55" s="68">
        <f t="shared" si="66"/>
        <v>6.9857470102499972</v>
      </c>
      <c r="L55" s="68">
        <f t="shared" si="66"/>
        <v>7.0206757453012463</v>
      </c>
      <c r="M55" s="68">
        <f t="shared" si="66"/>
        <v>7.0557791240277519</v>
      </c>
      <c r="N55" s="68">
        <f t="shared" si="66"/>
        <v>7.0910580196478898</v>
      </c>
      <c r="O55" s="68">
        <f t="shared" si="66"/>
        <v>7.1265133097461284</v>
      </c>
      <c r="P55" s="68">
        <f t="shared" si="66"/>
        <v>7.1621458762948587</v>
      </c>
      <c r="Q55" s="68">
        <f t="shared" si="66"/>
        <v>7.1979566056763318</v>
      </c>
      <c r="W55" s="102"/>
      <c r="X55" s="102"/>
      <c r="Y55" s="102"/>
      <c r="Z55" s="102"/>
      <c r="AA55" s="102"/>
      <c r="AB55" s="76"/>
      <c r="AD55" s="76"/>
      <c r="AE55" s="76"/>
      <c r="AF55" s="76"/>
      <c r="AG55" s="45"/>
      <c r="AH55" s="45"/>
    </row>
    <row r="56" spans="2:34" x14ac:dyDescent="0.15">
      <c r="B56" s="38" t="s">
        <v>376</v>
      </c>
      <c r="C56" s="21">
        <v>-0.1</v>
      </c>
      <c r="D56" s="21">
        <v>0</v>
      </c>
      <c r="E56" s="21">
        <v>-0.49</v>
      </c>
      <c r="F56" s="21">
        <v>-0.56999999999999995</v>
      </c>
      <c r="G56" s="21">
        <v>-8.51</v>
      </c>
      <c r="H56" s="68">
        <f>AVERAGE(C56:G56)</f>
        <v>-1.9339999999999999</v>
      </c>
      <c r="I56" s="68">
        <f t="shared" si="66"/>
        <v>-1.9436699999999998</v>
      </c>
      <c r="J56" s="68">
        <f t="shared" si="66"/>
        <v>-1.9533883499999996</v>
      </c>
      <c r="K56" s="68">
        <f t="shared" si="66"/>
        <v>-1.9631552917499993</v>
      </c>
      <c r="L56" s="68">
        <f t="shared" si="66"/>
        <v>-1.9729710682087491</v>
      </c>
      <c r="M56" s="68">
        <f t="shared" si="66"/>
        <v>-1.9828359235497928</v>
      </c>
      <c r="N56" s="68">
        <f t="shared" si="66"/>
        <v>-1.9927501031675414</v>
      </c>
      <c r="O56" s="68">
        <f t="shared" si="66"/>
        <v>-2.0027138536833791</v>
      </c>
      <c r="P56" s="68">
        <f t="shared" si="66"/>
        <v>-2.0127274229517957</v>
      </c>
      <c r="Q56" s="68">
        <f t="shared" si="66"/>
        <v>-2.0227910600665546</v>
      </c>
      <c r="W56" s="102"/>
      <c r="X56" s="102"/>
      <c r="Y56" s="102"/>
      <c r="Z56" s="102"/>
      <c r="AA56" s="102"/>
      <c r="AB56" s="76"/>
      <c r="AD56" s="76"/>
      <c r="AE56" s="76"/>
      <c r="AF56" s="76"/>
      <c r="AG56" s="45"/>
      <c r="AH56" s="45"/>
    </row>
    <row r="57" spans="2:34" x14ac:dyDescent="0.15">
      <c r="B57" s="38" t="s">
        <v>378</v>
      </c>
      <c r="C57" s="21">
        <v>0.33</v>
      </c>
      <c r="D57" s="21">
        <v>-0.28999999999999998</v>
      </c>
      <c r="E57" s="21">
        <v>-2</v>
      </c>
      <c r="F57" s="21">
        <v>0.02</v>
      </c>
      <c r="G57" s="21">
        <v>-6.17</v>
      </c>
      <c r="H57" s="68">
        <f>AVERAGE(C57:G57)</f>
        <v>-1.6219999999999999</v>
      </c>
      <c r="I57" s="68">
        <f t="shared" si="66"/>
        <v>-1.6301099999999997</v>
      </c>
      <c r="J57" s="68">
        <f t="shared" si="66"/>
        <v>-1.6382605499999996</v>
      </c>
      <c r="K57" s="68">
        <f t="shared" si="66"/>
        <v>-1.6464518527499994</v>
      </c>
      <c r="L57" s="68">
        <f t="shared" si="66"/>
        <v>-1.6546841120137492</v>
      </c>
      <c r="M57" s="68">
        <f t="shared" si="66"/>
        <v>-1.6629575325738177</v>
      </c>
      <c r="N57" s="68">
        <f t="shared" si="66"/>
        <v>-1.6712723202366866</v>
      </c>
      <c r="O57" s="68">
        <f t="shared" si="66"/>
        <v>-1.6796286818378698</v>
      </c>
      <c r="P57" s="68">
        <f t="shared" si="66"/>
        <v>-1.6880268252470589</v>
      </c>
      <c r="Q57" s="68">
        <f t="shared" si="66"/>
        <v>-1.6964669593732939</v>
      </c>
      <c r="W57" s="102"/>
      <c r="X57" s="102"/>
      <c r="Y57" s="102"/>
      <c r="Z57" s="102"/>
      <c r="AA57" s="102"/>
      <c r="AB57" s="76"/>
      <c r="AD57" s="76"/>
      <c r="AE57" s="76"/>
      <c r="AF57" s="76"/>
      <c r="AG57" s="45"/>
      <c r="AH57" s="45"/>
    </row>
    <row r="58" spans="2:34" s="4" customFormat="1" x14ac:dyDescent="0.15">
      <c r="B58" s="48" t="s">
        <v>81</v>
      </c>
      <c r="C58" s="8">
        <f t="shared" ref="C58:J58" si="67">SUM(C54:C57)</f>
        <v>47.48</v>
      </c>
      <c r="D58" s="71">
        <f t="shared" si="67"/>
        <v>52.3</v>
      </c>
      <c r="E58" s="71">
        <f t="shared" si="67"/>
        <v>56.73</v>
      </c>
      <c r="F58" s="71">
        <f t="shared" si="67"/>
        <v>68.91</v>
      </c>
      <c r="G58" s="71">
        <f t="shared" si="67"/>
        <v>61.709999999999994</v>
      </c>
      <c r="H58" s="67">
        <f>SUM(H54:H57)</f>
        <v>65.036000000000001</v>
      </c>
      <c r="I58" s="67">
        <f t="shared" si="67"/>
        <v>68.378630000000001</v>
      </c>
      <c r="J58" s="67">
        <f t="shared" si="67"/>
        <v>71.737973150000002</v>
      </c>
      <c r="K58" s="67">
        <f>SUM(K54:K57)-4.52</f>
        <v>70.594113015749997</v>
      </c>
      <c r="L58" s="67">
        <f t="shared" ref="L58:Q58" si="68">SUM(L54:L57)</f>
        <v>73.98713358082874</v>
      </c>
      <c r="M58" s="67">
        <f t="shared" si="68"/>
        <v>77.397119248732878</v>
      </c>
      <c r="N58" s="67">
        <f t="shared" si="68"/>
        <v>80.824154844976547</v>
      </c>
      <c r="O58" s="67">
        <f t="shared" si="68"/>
        <v>84.268325619201434</v>
      </c>
      <c r="P58" s="67">
        <f t="shared" si="68"/>
        <v>87.72971724729743</v>
      </c>
      <c r="Q58" s="67">
        <f t="shared" si="68"/>
        <v>91.208415833533905</v>
      </c>
    </row>
    <row r="59" spans="2:34" x14ac:dyDescent="0.15">
      <c r="B59" s="38" t="s">
        <v>82</v>
      </c>
      <c r="C59" s="21">
        <v>21.49</v>
      </c>
      <c r="D59" s="21">
        <v>28.99</v>
      </c>
      <c r="E59" s="21">
        <v>35.979999999999997</v>
      </c>
      <c r="F59" s="21">
        <v>43.77</v>
      </c>
      <c r="G59" s="21">
        <v>51.56</v>
      </c>
      <c r="H59" s="68">
        <f t="shared" ref="H59:Q59" si="69">SUM(G59:G63)</f>
        <v>46.68</v>
      </c>
      <c r="I59" s="68">
        <f t="shared" si="69"/>
        <v>51.809999999999995</v>
      </c>
      <c r="J59" s="68">
        <f t="shared" si="69"/>
        <v>56.965649999999989</v>
      </c>
      <c r="K59" s="68">
        <f t="shared" si="69"/>
        <v>62.147078249999979</v>
      </c>
      <c r="L59" s="68">
        <f t="shared" si="69"/>
        <v>67.354413641249977</v>
      </c>
      <c r="M59" s="68">
        <f t="shared" si="69"/>
        <v>72.587785709456213</v>
      </c>
      <c r="N59" s="68">
        <f t="shared" si="69"/>
        <v>77.847324638003485</v>
      </c>
      <c r="O59" s="68">
        <f t="shared" si="69"/>
        <v>83.133161261193493</v>
      </c>
      <c r="P59" s="68">
        <f t="shared" si="69"/>
        <v>88.445427067499438</v>
      </c>
      <c r="Q59" s="68">
        <f t="shared" si="69"/>
        <v>93.784254202836934</v>
      </c>
      <c r="R59" s="76"/>
    </row>
    <row r="60" spans="2:34" x14ac:dyDescent="0.15">
      <c r="B60" s="38" t="s">
        <v>83</v>
      </c>
      <c r="C60" s="21">
        <v>7.17</v>
      </c>
      <c r="D60" s="21">
        <v>7.14</v>
      </c>
      <c r="E60" s="21">
        <v>6.42</v>
      </c>
      <c r="F60" s="21">
        <v>7.76</v>
      </c>
      <c r="G60" s="21">
        <v>6.57</v>
      </c>
      <c r="H60" s="68">
        <f>AVERAGE(C60:G60)</f>
        <v>7.0119999999999987</v>
      </c>
      <c r="I60" s="68">
        <f t="shared" ref="I60:Q60" si="70">H60*1.005</f>
        <v>7.0470599999999983</v>
      </c>
      <c r="J60" s="68">
        <f t="shared" si="70"/>
        <v>7.0822952999999975</v>
      </c>
      <c r="K60" s="68">
        <f t="shared" si="70"/>
        <v>7.1177067764999968</v>
      </c>
      <c r="L60" s="68">
        <f t="shared" si="70"/>
        <v>7.1532953103824957</v>
      </c>
      <c r="M60" s="68">
        <f t="shared" si="70"/>
        <v>7.1890617869344071</v>
      </c>
      <c r="N60" s="68">
        <f t="shared" si="70"/>
        <v>7.2250070958690786</v>
      </c>
      <c r="O60" s="68">
        <f t="shared" si="70"/>
        <v>7.2611321313484236</v>
      </c>
      <c r="P60" s="68">
        <f t="shared" si="70"/>
        <v>7.297437792005165</v>
      </c>
      <c r="Q60" s="68">
        <f t="shared" si="70"/>
        <v>7.3339249809651896</v>
      </c>
      <c r="W60" s="102"/>
      <c r="X60" s="102"/>
      <c r="Y60" s="102"/>
      <c r="Z60" s="102"/>
      <c r="AA60" s="102"/>
      <c r="AB60" s="76"/>
      <c r="AD60" s="76"/>
      <c r="AE60" s="76"/>
      <c r="AF60" s="76"/>
      <c r="AG60" s="45"/>
      <c r="AH60" s="45"/>
    </row>
    <row r="61" spans="2:34" x14ac:dyDescent="0.15">
      <c r="B61" s="38" t="s">
        <v>382</v>
      </c>
      <c r="C61" s="21">
        <v>0</v>
      </c>
      <c r="D61" s="21">
        <v>0</v>
      </c>
      <c r="E61" s="21">
        <v>0</v>
      </c>
      <c r="F61" s="21">
        <v>0</v>
      </c>
      <c r="G61" s="21">
        <v>-0.46</v>
      </c>
      <c r="H61" s="68">
        <v>0</v>
      </c>
      <c r="I61" s="68">
        <v>0</v>
      </c>
      <c r="J61" s="68">
        <v>0</v>
      </c>
      <c r="K61" s="68">
        <v>0</v>
      </c>
      <c r="L61" s="68">
        <v>0</v>
      </c>
      <c r="M61" s="68">
        <v>0</v>
      </c>
      <c r="N61" s="68">
        <v>0</v>
      </c>
      <c r="O61" s="68">
        <v>0</v>
      </c>
      <c r="P61" s="68">
        <v>0</v>
      </c>
      <c r="Q61" s="68">
        <v>0</v>
      </c>
      <c r="W61" s="102"/>
      <c r="X61" s="102"/>
      <c r="Y61" s="102"/>
      <c r="Z61" s="102"/>
      <c r="AA61" s="102"/>
      <c r="AB61" s="76"/>
      <c r="AD61" s="76"/>
      <c r="AE61" s="76"/>
      <c r="AF61" s="76"/>
      <c r="AG61" s="45"/>
      <c r="AH61" s="45"/>
    </row>
    <row r="62" spans="2:34" x14ac:dyDescent="0.15">
      <c r="B62" s="38" t="s">
        <v>376</v>
      </c>
      <c r="C62" s="21">
        <v>-0.09</v>
      </c>
      <c r="D62" s="21">
        <v>0</v>
      </c>
      <c r="E62" s="21">
        <v>-0.49</v>
      </c>
      <c r="F62" s="21">
        <v>-0.5</v>
      </c>
      <c r="G62" s="21">
        <v>-7.68</v>
      </c>
      <c r="H62" s="68">
        <f>AVERAGE(C62:G62)</f>
        <v>-1.752</v>
      </c>
      <c r="I62" s="68">
        <f t="shared" ref="I62:Q63" si="71">H62*1.005</f>
        <v>-1.7607599999999999</v>
      </c>
      <c r="J62" s="68">
        <f t="shared" si="71"/>
        <v>-1.7695637999999998</v>
      </c>
      <c r="K62" s="68">
        <f t="shared" si="71"/>
        <v>-1.7784116189999997</v>
      </c>
      <c r="L62" s="68">
        <f t="shared" si="71"/>
        <v>-1.7873036770949995</v>
      </c>
      <c r="M62" s="68">
        <f t="shared" si="71"/>
        <v>-1.7962401954804743</v>
      </c>
      <c r="N62" s="68">
        <f t="shared" si="71"/>
        <v>-1.8052213964578765</v>
      </c>
      <c r="O62" s="68">
        <f t="shared" si="71"/>
        <v>-1.8142475034401657</v>
      </c>
      <c r="P62" s="68">
        <f t="shared" si="71"/>
        <v>-1.8233187409573663</v>
      </c>
      <c r="Q62" s="68">
        <f t="shared" si="71"/>
        <v>-1.8324353346621529</v>
      </c>
      <c r="W62" s="102"/>
      <c r="X62" s="102"/>
      <c r="Y62" s="102"/>
      <c r="Z62" s="102"/>
      <c r="AA62" s="102"/>
      <c r="AB62" s="76"/>
      <c r="AD62" s="76"/>
      <c r="AE62" s="76"/>
      <c r="AF62" s="76"/>
      <c r="AG62" s="45"/>
      <c r="AH62" s="45"/>
    </row>
    <row r="63" spans="2:34" x14ac:dyDescent="0.15">
      <c r="B63" s="38" t="s">
        <v>378</v>
      </c>
      <c r="C63" s="21">
        <v>0.42</v>
      </c>
      <c r="D63" s="21">
        <v>-0.15</v>
      </c>
      <c r="E63" s="21">
        <v>1.86</v>
      </c>
      <c r="F63" s="21">
        <v>0.53</v>
      </c>
      <c r="G63" s="21">
        <v>-3.31</v>
      </c>
      <c r="H63" s="68">
        <f>AVERAGE(C63:G63)</f>
        <v>-0.12999999999999998</v>
      </c>
      <c r="I63" s="68">
        <f t="shared" si="71"/>
        <v>-0.13064999999999996</v>
      </c>
      <c r="J63" s="68">
        <f t="shared" si="71"/>
        <v>-0.13130324999999995</v>
      </c>
      <c r="K63" s="68">
        <f t="shared" si="71"/>
        <v>-0.13195976624999994</v>
      </c>
      <c r="L63" s="68">
        <f t="shared" si="71"/>
        <v>-0.13261956508124992</v>
      </c>
      <c r="M63" s="68">
        <f t="shared" si="71"/>
        <v>-0.13328266290665616</v>
      </c>
      <c r="N63" s="68">
        <f t="shared" si="71"/>
        <v>-0.13394907622118943</v>
      </c>
      <c r="O63" s="68">
        <f t="shared" si="71"/>
        <v>-0.13461882160229535</v>
      </c>
      <c r="P63" s="68">
        <f t="shared" si="71"/>
        <v>-0.13529191571030683</v>
      </c>
      <c r="Q63" s="68">
        <f t="shared" si="71"/>
        <v>-0.13596837528885836</v>
      </c>
      <c r="W63" s="102"/>
      <c r="X63" s="102"/>
      <c r="Y63" s="102"/>
      <c r="Z63" s="102"/>
      <c r="AA63" s="102"/>
      <c r="AB63" s="76"/>
      <c r="AD63" s="76"/>
      <c r="AE63" s="76"/>
      <c r="AF63" s="76"/>
      <c r="AG63" s="45"/>
      <c r="AH63" s="45"/>
    </row>
    <row r="64" spans="2:34" s="4" customFormat="1" ht="15" thickBot="1" x14ac:dyDescent="0.2">
      <c r="B64" s="48" t="s">
        <v>84</v>
      </c>
      <c r="C64" s="69">
        <f t="shared" ref="C64:Q64" si="72">C58-SUM(C59:C63)</f>
        <v>18.489999999999998</v>
      </c>
      <c r="D64" s="69">
        <f t="shared" si="72"/>
        <v>16.32</v>
      </c>
      <c r="E64" s="69">
        <f t="shared" si="72"/>
        <v>12.96</v>
      </c>
      <c r="F64" s="69">
        <f t="shared" si="72"/>
        <v>17.349999999999994</v>
      </c>
      <c r="G64" s="69">
        <f t="shared" si="72"/>
        <v>15.029999999999994</v>
      </c>
      <c r="H64" s="70">
        <f>H58-SUM(H59:H63)</f>
        <v>13.226000000000006</v>
      </c>
      <c r="I64" s="70">
        <f t="shared" si="72"/>
        <v>11.412980000000012</v>
      </c>
      <c r="J64" s="70">
        <f>J58-SUM(J59:J63)</f>
        <v>9.5908949000000234</v>
      </c>
      <c r="K64" s="70">
        <f t="shared" si="72"/>
        <v>3.2396993745000202</v>
      </c>
      <c r="L64" s="70">
        <f t="shared" si="72"/>
        <v>1.3993478713725267</v>
      </c>
      <c r="M64" s="70">
        <f t="shared" si="72"/>
        <v>-0.45020538927060727</v>
      </c>
      <c r="N64" s="70">
        <f t="shared" si="72"/>
        <v>-2.3090064162169455</v>
      </c>
      <c r="O64" s="70">
        <f t="shared" si="72"/>
        <v>-4.1771014482980036</v>
      </c>
      <c r="P64" s="70">
        <f t="shared" si="72"/>
        <v>-6.0545369555395041</v>
      </c>
      <c r="Q64" s="70">
        <f t="shared" si="72"/>
        <v>-7.9413596403172164</v>
      </c>
    </row>
    <row r="65" spans="2:20" ht="15" thickTop="1" x14ac:dyDescent="0.15">
      <c r="B65" s="38"/>
      <c r="C65" s="72"/>
      <c r="D65" s="72"/>
      <c r="E65" s="72"/>
      <c r="F65" s="72"/>
      <c r="G65" s="72"/>
      <c r="H65" s="68"/>
      <c r="I65" s="68"/>
      <c r="J65" s="68"/>
      <c r="K65" s="68"/>
      <c r="L65" s="68"/>
      <c r="M65" s="68"/>
      <c r="N65" s="68"/>
      <c r="O65" s="68"/>
      <c r="P65" s="68"/>
      <c r="Q65" s="68"/>
    </row>
    <row r="66" spans="2:20" x14ac:dyDescent="0.15">
      <c r="B66" s="403" t="s">
        <v>368</v>
      </c>
      <c r="C66" s="72"/>
      <c r="D66" s="72"/>
      <c r="E66" s="72"/>
      <c r="F66" s="72"/>
      <c r="G66" s="72"/>
      <c r="H66" s="68"/>
      <c r="I66" s="68"/>
      <c r="J66" s="68"/>
      <c r="K66" s="68"/>
      <c r="L66" s="68"/>
      <c r="M66" s="68"/>
      <c r="N66" s="68"/>
      <c r="O66" s="68"/>
      <c r="P66" s="68"/>
      <c r="Q66" s="68"/>
    </row>
    <row r="67" spans="2:20" x14ac:dyDescent="0.15">
      <c r="B67" s="48" t="s">
        <v>79</v>
      </c>
      <c r="C67" s="66">
        <v>634.14</v>
      </c>
      <c r="D67" s="66">
        <f t="shared" ref="D67:G67" si="73">C75</f>
        <v>710.4</v>
      </c>
      <c r="E67" s="66">
        <f t="shared" si="73"/>
        <v>806.74</v>
      </c>
      <c r="F67" s="66">
        <f t="shared" si="73"/>
        <v>939.12</v>
      </c>
      <c r="G67" s="66">
        <f t="shared" si="73"/>
        <v>1173.5800000000002</v>
      </c>
      <c r="H67" s="67">
        <f t="shared" ref="H67:Q67" si="74">G75</f>
        <v>1182.6200000000006</v>
      </c>
      <c r="I67" s="67">
        <f t="shared" si="74"/>
        <v>1294.5460000000007</v>
      </c>
      <c r="J67" s="67">
        <f t="shared" si="74"/>
        <v>1407.0316300000006</v>
      </c>
      <c r="K67" s="67">
        <f t="shared" si="74"/>
        <v>1520.0796881500005</v>
      </c>
      <c r="L67" s="67">
        <f t="shared" si="74"/>
        <v>1633.6929865907505</v>
      </c>
      <c r="M67" s="67">
        <f t="shared" si="74"/>
        <v>1747.8743515237043</v>
      </c>
      <c r="N67" s="67">
        <f t="shared" si="74"/>
        <v>1862.6266232813227</v>
      </c>
      <c r="O67" s="67">
        <f t="shared" si="74"/>
        <v>1977.9526563977292</v>
      </c>
      <c r="P67" s="67">
        <f t="shared" si="74"/>
        <v>2093.8553196797179</v>
      </c>
      <c r="Q67" s="67">
        <f t="shared" si="74"/>
        <v>2210.3374962781163</v>
      </c>
    </row>
    <row r="68" spans="2:20" x14ac:dyDescent="0.15">
      <c r="B68" s="38" t="s">
        <v>80</v>
      </c>
      <c r="C68" s="21">
        <v>105.4</v>
      </c>
      <c r="D68" s="21">
        <v>104.2</v>
      </c>
      <c r="E68" s="21">
        <v>122.62</v>
      </c>
      <c r="F68" s="21">
        <v>248.76</v>
      </c>
      <c r="G68" s="21">
        <v>138.38999999999999</v>
      </c>
      <c r="H68" s="68">
        <f>AVERAGE(C68:G68)</f>
        <v>143.874</v>
      </c>
      <c r="I68" s="68">
        <f t="shared" ref="I68:Q68" si="75">H68*1.005</f>
        <v>144.59336999999999</v>
      </c>
      <c r="J68" s="68">
        <f t="shared" si="75"/>
        <v>145.31633684999997</v>
      </c>
      <c r="K68" s="68">
        <f t="shared" si="75"/>
        <v>146.04291853424996</v>
      </c>
      <c r="L68" s="68">
        <f t="shared" si="75"/>
        <v>146.77313312692121</v>
      </c>
      <c r="M68" s="68">
        <f t="shared" si="75"/>
        <v>147.50699879255581</v>
      </c>
      <c r="N68" s="68">
        <f t="shared" si="75"/>
        <v>148.24453378651856</v>
      </c>
      <c r="O68" s="68">
        <f t="shared" si="75"/>
        <v>148.98575645545114</v>
      </c>
      <c r="P68" s="68">
        <f t="shared" si="75"/>
        <v>149.73068523772838</v>
      </c>
      <c r="Q68" s="68">
        <f t="shared" si="75"/>
        <v>150.47933866391702</v>
      </c>
    </row>
    <row r="69" spans="2:20" x14ac:dyDescent="0.15">
      <c r="B69" s="38" t="s">
        <v>375</v>
      </c>
      <c r="C69" s="21">
        <v>0</v>
      </c>
      <c r="D69" s="21">
        <v>0</v>
      </c>
      <c r="E69" s="21">
        <v>0</v>
      </c>
      <c r="F69" s="21">
        <v>0</v>
      </c>
      <c r="G69" s="21">
        <v>-7.59</v>
      </c>
      <c r="H69" s="68">
        <v>0</v>
      </c>
      <c r="I69" s="68">
        <v>0</v>
      </c>
      <c r="J69" s="68">
        <v>0</v>
      </c>
      <c r="K69" s="68">
        <v>0</v>
      </c>
      <c r="L69" s="68">
        <v>0</v>
      </c>
      <c r="M69" s="68">
        <v>0</v>
      </c>
      <c r="N69" s="68">
        <v>0</v>
      </c>
      <c r="O69" s="68">
        <v>0</v>
      </c>
      <c r="P69" s="68">
        <v>0</v>
      </c>
      <c r="Q69" s="68">
        <v>0</v>
      </c>
    </row>
    <row r="70" spans="2:20" x14ac:dyDescent="0.15">
      <c r="B70" s="38" t="s">
        <v>376</v>
      </c>
      <c r="C70" s="21">
        <v>-3.27</v>
      </c>
      <c r="D70" s="21">
        <v>-11.81</v>
      </c>
      <c r="E70" s="21">
        <v>-15.38</v>
      </c>
      <c r="F70" s="21">
        <v>-19.579999999999998</v>
      </c>
      <c r="G70" s="21">
        <v>-63.08</v>
      </c>
      <c r="H70" s="68">
        <f>AVERAGE(C70:G70)</f>
        <v>-22.624000000000002</v>
      </c>
      <c r="I70" s="68">
        <f t="shared" ref="I70:Q71" si="76">H70*1.005</f>
        <v>-22.737120000000001</v>
      </c>
      <c r="J70" s="68">
        <f t="shared" si="76"/>
        <v>-22.850805599999997</v>
      </c>
      <c r="K70" s="68">
        <f t="shared" si="76"/>
        <v>-22.965059627999995</v>
      </c>
      <c r="L70" s="68">
        <f t="shared" si="76"/>
        <v>-23.079884926139993</v>
      </c>
      <c r="M70" s="68">
        <f t="shared" si="76"/>
        <v>-23.195284350770692</v>
      </c>
      <c r="N70" s="68">
        <f t="shared" si="76"/>
        <v>-23.311260772524541</v>
      </c>
      <c r="O70" s="68">
        <f t="shared" si="76"/>
        <v>-23.427817076387161</v>
      </c>
      <c r="P70" s="68">
        <f t="shared" si="76"/>
        <v>-23.544956161769093</v>
      </c>
      <c r="Q70" s="68">
        <f t="shared" si="76"/>
        <v>-23.662680942577936</v>
      </c>
    </row>
    <row r="71" spans="2:20" x14ac:dyDescent="0.15">
      <c r="B71" s="38" t="s">
        <v>377</v>
      </c>
      <c r="C71" s="21">
        <v>2.91</v>
      </c>
      <c r="D71" s="21">
        <v>0.43</v>
      </c>
      <c r="E71" s="21">
        <v>7.47</v>
      </c>
      <c r="F71" s="21">
        <v>2</v>
      </c>
      <c r="G71" s="21">
        <v>1.4</v>
      </c>
      <c r="H71" s="68">
        <f>AVERAGE(C71:G71)</f>
        <v>2.8420000000000001</v>
      </c>
      <c r="I71" s="68">
        <f t="shared" si="76"/>
        <v>2.8562099999999999</v>
      </c>
      <c r="J71" s="68">
        <f t="shared" si="76"/>
        <v>2.8704910499999996</v>
      </c>
      <c r="K71" s="68">
        <f t="shared" si="76"/>
        <v>2.8848435052499992</v>
      </c>
      <c r="L71" s="68">
        <f t="shared" si="76"/>
        <v>2.8992677227762491</v>
      </c>
      <c r="M71" s="68">
        <f t="shared" si="76"/>
        <v>2.9137640613901299</v>
      </c>
      <c r="N71" s="68">
        <f t="shared" si="76"/>
        <v>2.9283328816970804</v>
      </c>
      <c r="O71" s="68">
        <f t="shared" si="76"/>
        <v>2.9429745461055656</v>
      </c>
      <c r="P71" s="68">
        <f t="shared" si="76"/>
        <v>2.9576894188360932</v>
      </c>
      <c r="Q71" s="68">
        <f t="shared" si="76"/>
        <v>2.9724778659302733</v>
      </c>
    </row>
    <row r="72" spans="2:20" x14ac:dyDescent="0.15">
      <c r="B72" s="38" t="s">
        <v>383</v>
      </c>
      <c r="C72" s="21">
        <v>0</v>
      </c>
      <c r="D72" s="21">
        <v>0</v>
      </c>
      <c r="E72" s="21">
        <v>0</v>
      </c>
      <c r="F72" s="21">
        <v>0</v>
      </c>
      <c r="G72" s="21">
        <v>1.96</v>
      </c>
      <c r="H72" s="68">
        <v>0</v>
      </c>
      <c r="I72" s="68">
        <v>0</v>
      </c>
      <c r="J72" s="68">
        <v>0</v>
      </c>
      <c r="K72" s="68">
        <v>0</v>
      </c>
      <c r="L72" s="68">
        <v>0</v>
      </c>
      <c r="M72" s="68">
        <v>0</v>
      </c>
      <c r="N72" s="68">
        <v>0</v>
      </c>
      <c r="O72" s="68">
        <v>0</v>
      </c>
      <c r="P72" s="68">
        <v>0</v>
      </c>
      <c r="Q72" s="68">
        <v>0</v>
      </c>
    </row>
    <row r="73" spans="2:20" x14ac:dyDescent="0.15">
      <c r="B73" s="38" t="s">
        <v>380</v>
      </c>
      <c r="C73" s="21">
        <v>0</v>
      </c>
      <c r="D73" s="21">
        <v>0</v>
      </c>
      <c r="E73" s="21">
        <v>0</v>
      </c>
      <c r="F73" s="21">
        <v>0</v>
      </c>
      <c r="G73" s="21">
        <v>-5.52</v>
      </c>
      <c r="H73" s="68">
        <v>0</v>
      </c>
      <c r="I73" s="68">
        <v>0</v>
      </c>
      <c r="J73" s="68">
        <v>0</v>
      </c>
      <c r="K73" s="68">
        <v>0</v>
      </c>
      <c r="L73" s="68">
        <v>0</v>
      </c>
      <c r="M73" s="68">
        <v>0</v>
      </c>
      <c r="N73" s="68">
        <v>0</v>
      </c>
      <c r="O73" s="68">
        <v>0</v>
      </c>
      <c r="P73" s="68">
        <v>0</v>
      </c>
      <c r="Q73" s="68">
        <v>0</v>
      </c>
    </row>
    <row r="74" spans="2:20" x14ac:dyDescent="0.15">
      <c r="B74" s="38" t="s">
        <v>378</v>
      </c>
      <c r="C74" s="21">
        <v>-28.78</v>
      </c>
      <c r="D74" s="21">
        <v>3.52</v>
      </c>
      <c r="E74" s="21">
        <v>17.670000000000002</v>
      </c>
      <c r="F74" s="21">
        <v>3.28</v>
      </c>
      <c r="G74" s="21">
        <v>-56.52</v>
      </c>
      <c r="H74" s="68">
        <f>AVERAGE(C74:G74)</f>
        <v>-12.166</v>
      </c>
      <c r="I74" s="68">
        <f t="shared" ref="I74:Q74" si="77">H74*1.005</f>
        <v>-12.22683</v>
      </c>
      <c r="J74" s="68">
        <f t="shared" si="77"/>
        <v>-12.287964149999999</v>
      </c>
      <c r="K74" s="68">
        <f t="shared" si="77"/>
        <v>-12.349403970749998</v>
      </c>
      <c r="L74" s="68">
        <f t="shared" si="77"/>
        <v>-12.411150990603748</v>
      </c>
      <c r="M74" s="68">
        <f t="shared" si="77"/>
        <v>-12.473206745556766</v>
      </c>
      <c r="N74" s="68">
        <f t="shared" si="77"/>
        <v>-12.535572779284548</v>
      </c>
      <c r="O74" s="68">
        <f t="shared" si="77"/>
        <v>-12.59825064318097</v>
      </c>
      <c r="P74" s="68">
        <f t="shared" si="77"/>
        <v>-12.661241896396874</v>
      </c>
      <c r="Q74" s="68">
        <f t="shared" si="77"/>
        <v>-12.724548105878856</v>
      </c>
    </row>
    <row r="75" spans="2:20" x14ac:dyDescent="0.15">
      <c r="B75" s="48" t="s">
        <v>81</v>
      </c>
      <c r="C75" s="71">
        <f t="shared" ref="C75:G75" si="78">SUM(C67:C74)</f>
        <v>710.4</v>
      </c>
      <c r="D75" s="71">
        <f t="shared" si="78"/>
        <v>806.74</v>
      </c>
      <c r="E75" s="71">
        <f t="shared" si="78"/>
        <v>939.12</v>
      </c>
      <c r="F75" s="71">
        <f t="shared" si="78"/>
        <v>1173.5800000000002</v>
      </c>
      <c r="G75" s="71">
        <f t="shared" si="78"/>
        <v>1182.6200000000006</v>
      </c>
      <c r="H75" s="67">
        <f>SUM(H67:H74)</f>
        <v>1294.5460000000007</v>
      </c>
      <c r="I75" s="67">
        <f t="shared" ref="I75:Q75" si="79">SUM(I67:I74)</f>
        <v>1407.0316300000006</v>
      </c>
      <c r="J75" s="67">
        <f t="shared" si="79"/>
        <v>1520.0796881500005</v>
      </c>
      <c r="K75" s="67">
        <f t="shared" si="79"/>
        <v>1633.6929865907505</v>
      </c>
      <c r="L75" s="67">
        <f t="shared" si="79"/>
        <v>1747.8743515237043</v>
      </c>
      <c r="M75" s="67">
        <f t="shared" si="79"/>
        <v>1862.6266232813227</v>
      </c>
      <c r="N75" s="67">
        <f t="shared" si="79"/>
        <v>1977.9526563977292</v>
      </c>
      <c r="O75" s="67">
        <f t="shared" si="79"/>
        <v>2093.8553196797179</v>
      </c>
      <c r="P75" s="67">
        <f t="shared" si="79"/>
        <v>2210.3374962781163</v>
      </c>
      <c r="Q75" s="67">
        <f t="shared" si="79"/>
        <v>2327.4020837595067</v>
      </c>
    </row>
    <row r="76" spans="2:20" x14ac:dyDescent="0.15">
      <c r="B76" s="38" t="s">
        <v>82</v>
      </c>
      <c r="C76" s="21">
        <v>226.52</v>
      </c>
      <c r="D76" s="21">
        <v>279.58</v>
      </c>
      <c r="E76" s="21">
        <v>360.77</v>
      </c>
      <c r="F76" s="21">
        <v>449.04</v>
      </c>
      <c r="G76" s="21">
        <v>541.53</v>
      </c>
      <c r="H76" s="68">
        <f>SUM(G76:G84)</f>
        <v>580.86999999999989</v>
      </c>
      <c r="I76" s="68">
        <f t="shared" ref="I76:Q76" si="80">SUM(H76:H84)</f>
        <v>653.6099999999999</v>
      </c>
      <c r="J76" s="68">
        <f t="shared" si="80"/>
        <v>726.7136999999999</v>
      </c>
      <c r="K76" s="68">
        <f t="shared" si="80"/>
        <v>800.18291850000003</v>
      </c>
      <c r="L76" s="68">
        <f t="shared" si="80"/>
        <v>874.01948309249997</v>
      </c>
      <c r="M76" s="68">
        <f t="shared" si="80"/>
        <v>948.22523050796258</v>
      </c>
      <c r="N76" s="68">
        <f t="shared" si="80"/>
        <v>1022.8020066605023</v>
      </c>
      <c r="O76" s="68">
        <f t="shared" si="80"/>
        <v>1097.751666693805</v>
      </c>
      <c r="P76" s="68">
        <f t="shared" si="80"/>
        <v>1173.0760750272736</v>
      </c>
      <c r="Q76" s="68">
        <f t="shared" si="80"/>
        <v>1248.7771054024099</v>
      </c>
      <c r="R76" s="76"/>
      <c r="S76" s="76"/>
      <c r="T76" s="76"/>
    </row>
    <row r="77" spans="2:20" x14ac:dyDescent="0.15">
      <c r="B77" s="38" t="s">
        <v>83</v>
      </c>
      <c r="C77" s="21">
        <v>73.37</v>
      </c>
      <c r="D77" s="21">
        <v>78.89</v>
      </c>
      <c r="E77" s="21">
        <v>83.41</v>
      </c>
      <c r="F77" s="21">
        <v>103.1</v>
      </c>
      <c r="G77" s="21">
        <v>120.97</v>
      </c>
      <c r="H77" s="68">
        <f>AVERAGE(C77:G77)</f>
        <v>91.948000000000008</v>
      </c>
      <c r="I77" s="68">
        <f t="shared" ref="I77:Q78" si="81">H77*1.005</f>
        <v>92.407740000000004</v>
      </c>
      <c r="J77" s="68">
        <f t="shared" si="81"/>
        <v>92.869778699999998</v>
      </c>
      <c r="K77" s="68">
        <f t="shared" si="81"/>
        <v>93.334127593499986</v>
      </c>
      <c r="L77" s="68">
        <f t="shared" si="81"/>
        <v>93.800798231467482</v>
      </c>
      <c r="M77" s="68">
        <f t="shared" si="81"/>
        <v>94.269802222624804</v>
      </c>
      <c r="N77" s="68">
        <f t="shared" si="81"/>
        <v>94.741151233737924</v>
      </c>
      <c r="O77" s="68">
        <f t="shared" si="81"/>
        <v>95.214856989906608</v>
      </c>
      <c r="P77" s="68">
        <f t="shared" si="81"/>
        <v>95.690931274856126</v>
      </c>
      <c r="Q77" s="68">
        <f t="shared" si="81"/>
        <v>96.169385931230394</v>
      </c>
    </row>
    <row r="78" spans="2:20" x14ac:dyDescent="0.15">
      <c r="B78" s="38" t="s">
        <v>381</v>
      </c>
      <c r="C78" s="21">
        <v>1.26</v>
      </c>
      <c r="D78" s="21">
        <v>1.41</v>
      </c>
      <c r="E78" s="21">
        <v>1.32</v>
      </c>
      <c r="F78" s="21">
        <v>0.62</v>
      </c>
      <c r="G78" s="21">
        <v>0.8</v>
      </c>
      <c r="H78" s="68">
        <f>AVERAGE(C78:G78)</f>
        <v>1.0820000000000001</v>
      </c>
      <c r="I78" s="68">
        <f t="shared" si="81"/>
        <v>1.08741</v>
      </c>
      <c r="J78" s="68">
        <f t="shared" si="81"/>
        <v>1.0928470499999998</v>
      </c>
      <c r="K78" s="68">
        <f t="shared" si="81"/>
        <v>1.0983112852499997</v>
      </c>
      <c r="L78" s="68">
        <f t="shared" si="81"/>
        <v>1.1038028416762495</v>
      </c>
      <c r="M78" s="68">
        <f t="shared" si="81"/>
        <v>1.1093218558846307</v>
      </c>
      <c r="N78" s="68">
        <f t="shared" si="81"/>
        <v>1.1148684651640537</v>
      </c>
      <c r="O78" s="68">
        <f t="shared" si="81"/>
        <v>1.1204428074898738</v>
      </c>
      <c r="P78" s="68">
        <f t="shared" si="81"/>
        <v>1.126045021527323</v>
      </c>
      <c r="Q78" s="68">
        <f t="shared" si="81"/>
        <v>1.1316752466349596</v>
      </c>
    </row>
    <row r="79" spans="2:20" x14ac:dyDescent="0.15">
      <c r="B79" s="38" t="s">
        <v>375</v>
      </c>
      <c r="C79" s="21">
        <v>0</v>
      </c>
      <c r="D79" s="21">
        <v>0</v>
      </c>
      <c r="E79" s="21">
        <v>0</v>
      </c>
      <c r="F79" s="21">
        <v>0</v>
      </c>
      <c r="G79" s="21">
        <v>-7.53</v>
      </c>
      <c r="H79" s="68">
        <v>0</v>
      </c>
      <c r="I79" s="68">
        <v>0</v>
      </c>
      <c r="J79" s="68">
        <v>0</v>
      </c>
      <c r="K79" s="68">
        <v>0</v>
      </c>
      <c r="L79" s="68">
        <v>0</v>
      </c>
      <c r="M79" s="68">
        <v>0</v>
      </c>
      <c r="N79" s="68">
        <v>0</v>
      </c>
      <c r="O79" s="68">
        <v>0</v>
      </c>
      <c r="P79" s="68">
        <v>0</v>
      </c>
      <c r="Q79" s="68">
        <v>0</v>
      </c>
    </row>
    <row r="80" spans="2:20" x14ac:dyDescent="0.15">
      <c r="B80" s="38" t="s">
        <v>384</v>
      </c>
      <c r="C80" s="21">
        <v>1.75</v>
      </c>
      <c r="D80" s="21">
        <v>0</v>
      </c>
      <c r="E80" s="21">
        <v>0</v>
      </c>
      <c r="F80" s="21">
        <v>0</v>
      </c>
      <c r="G80" s="21">
        <v>0</v>
      </c>
      <c r="H80" s="68">
        <f>G80*1.04</f>
        <v>0</v>
      </c>
      <c r="I80" s="68">
        <f t="shared" ref="I80" si="82">H80</f>
        <v>0</v>
      </c>
      <c r="J80" s="68">
        <f t="shared" ref="J80" si="83">I80</f>
        <v>0</v>
      </c>
      <c r="K80" s="68">
        <f>J80*1.04</f>
        <v>0</v>
      </c>
      <c r="L80" s="68">
        <f t="shared" ref="L80" si="84">K80</f>
        <v>0</v>
      </c>
      <c r="M80" s="68">
        <f t="shared" ref="M80" si="85">L80</f>
        <v>0</v>
      </c>
      <c r="N80" s="68">
        <f>M80*1.04</f>
        <v>0</v>
      </c>
      <c r="O80" s="68">
        <f t="shared" ref="O80" si="86">N80</f>
        <v>0</v>
      </c>
      <c r="P80" s="68">
        <f t="shared" ref="P80" si="87">O80</f>
        <v>0</v>
      </c>
      <c r="Q80" s="68">
        <f>(P80*1.04)-0.11</f>
        <v>-0.11</v>
      </c>
    </row>
    <row r="81" spans="2:34" x14ac:dyDescent="0.15">
      <c r="B81" s="38" t="s">
        <v>376</v>
      </c>
      <c r="C81" s="21">
        <v>-1.98</v>
      </c>
      <c r="D81" s="21">
        <v>-11.56</v>
      </c>
      <c r="E81" s="21">
        <v>-10.18</v>
      </c>
      <c r="F81" s="21">
        <v>-15.47</v>
      </c>
      <c r="G81" s="21">
        <v>-49.01</v>
      </c>
      <c r="H81" s="68">
        <f>AVERAGE(C81:G81)</f>
        <v>-17.639999999999997</v>
      </c>
      <c r="I81" s="68">
        <f t="shared" ref="I81:Q81" si="88">H81*1.005</f>
        <v>-17.728199999999994</v>
      </c>
      <c r="J81" s="68">
        <f t="shared" si="88"/>
        <v>-17.816840999999993</v>
      </c>
      <c r="K81" s="68">
        <f t="shared" si="88"/>
        <v>-17.905925204999992</v>
      </c>
      <c r="L81" s="68">
        <f t="shared" si="88"/>
        <v>-17.99545483102499</v>
      </c>
      <c r="M81" s="68">
        <f t="shared" si="88"/>
        <v>-18.085432105180114</v>
      </c>
      <c r="N81" s="68">
        <f t="shared" si="88"/>
        <v>-18.175859265706013</v>
      </c>
      <c r="O81" s="68">
        <f t="shared" si="88"/>
        <v>-18.26673856203454</v>
      </c>
      <c r="P81" s="68">
        <f t="shared" si="88"/>
        <v>-18.358072254844711</v>
      </c>
      <c r="Q81" s="68">
        <f t="shared" si="88"/>
        <v>-18.449862616118931</v>
      </c>
    </row>
    <row r="82" spans="2:34" x14ac:dyDescent="0.15">
      <c r="B82" s="38" t="s">
        <v>380</v>
      </c>
      <c r="C82" s="21">
        <v>0</v>
      </c>
      <c r="D82" s="21">
        <v>0</v>
      </c>
      <c r="E82" s="21">
        <v>0</v>
      </c>
      <c r="F82" s="21">
        <v>0</v>
      </c>
      <c r="G82" s="21">
        <v>-3.57</v>
      </c>
      <c r="H82" s="68">
        <v>0</v>
      </c>
      <c r="I82" s="68">
        <v>0</v>
      </c>
      <c r="J82" s="68">
        <v>0</v>
      </c>
      <c r="K82" s="68">
        <v>0</v>
      </c>
      <c r="L82" s="68">
        <v>0</v>
      </c>
      <c r="M82" s="68">
        <v>0</v>
      </c>
      <c r="N82" s="68">
        <v>0</v>
      </c>
      <c r="O82" s="68">
        <v>0</v>
      </c>
      <c r="P82" s="68">
        <v>0</v>
      </c>
      <c r="Q82" s="68">
        <v>0</v>
      </c>
    </row>
    <row r="83" spans="2:34" x14ac:dyDescent="0.15">
      <c r="B83" s="38" t="s">
        <v>377</v>
      </c>
      <c r="C83" s="21">
        <v>1.83</v>
      </c>
      <c r="D83" s="21">
        <v>0.11</v>
      </c>
      <c r="E83" s="21">
        <v>5.71</v>
      </c>
      <c r="F83" s="21">
        <v>-0.11</v>
      </c>
      <c r="G83" s="21">
        <v>-0.19</v>
      </c>
      <c r="H83" s="68">
        <f>AVERAGE(C83:G83)</f>
        <v>1.47</v>
      </c>
      <c r="I83" s="68">
        <f t="shared" ref="I83:Q84" si="89">H83*1.005</f>
        <v>1.4773499999999997</v>
      </c>
      <c r="J83" s="68">
        <f t="shared" si="89"/>
        <v>1.4847367499999995</v>
      </c>
      <c r="K83" s="68">
        <f t="shared" si="89"/>
        <v>1.4921604337499994</v>
      </c>
      <c r="L83" s="68">
        <f t="shared" si="89"/>
        <v>1.4996212359187493</v>
      </c>
      <c r="M83" s="68">
        <f t="shared" si="89"/>
        <v>1.5071193420983429</v>
      </c>
      <c r="N83" s="68">
        <f t="shared" si="89"/>
        <v>1.5146549388088344</v>
      </c>
      <c r="O83" s="68">
        <f t="shared" si="89"/>
        <v>1.5222282135028784</v>
      </c>
      <c r="P83" s="68">
        <f t="shared" si="89"/>
        <v>1.5298393545703926</v>
      </c>
      <c r="Q83" s="68">
        <f t="shared" si="89"/>
        <v>1.5374885513432444</v>
      </c>
    </row>
    <row r="84" spans="2:34" x14ac:dyDescent="0.15">
      <c r="B84" s="38" t="s">
        <v>378</v>
      </c>
      <c r="C84" s="21">
        <v>-23.17</v>
      </c>
      <c r="D84" s="21">
        <v>12.34</v>
      </c>
      <c r="E84" s="21">
        <v>8.01</v>
      </c>
      <c r="F84" s="21">
        <v>4.3499999999999996</v>
      </c>
      <c r="G84" s="21">
        <v>-22.13</v>
      </c>
      <c r="H84" s="68">
        <f>AVERAGE(C84:G84)</f>
        <v>-4.12</v>
      </c>
      <c r="I84" s="68">
        <f t="shared" si="89"/>
        <v>-4.1406000000000001</v>
      </c>
      <c r="J84" s="68">
        <f t="shared" si="89"/>
        <v>-4.1613029999999993</v>
      </c>
      <c r="K84" s="68">
        <f t="shared" si="89"/>
        <v>-4.1821095149999987</v>
      </c>
      <c r="L84" s="68">
        <f t="shared" si="89"/>
        <v>-4.2030200625749981</v>
      </c>
      <c r="M84" s="68">
        <f t="shared" si="89"/>
        <v>-4.2240351628878727</v>
      </c>
      <c r="N84" s="68">
        <f t="shared" si="89"/>
        <v>-4.245155338702312</v>
      </c>
      <c r="O84" s="68">
        <f t="shared" si="89"/>
        <v>-4.2663811153958227</v>
      </c>
      <c r="P84" s="68">
        <f t="shared" si="89"/>
        <v>-4.2877130209728014</v>
      </c>
      <c r="Q84" s="68">
        <f t="shared" si="89"/>
        <v>-4.3091515860776646</v>
      </c>
    </row>
    <row r="85" spans="2:34" ht="15" thickBot="1" x14ac:dyDescent="0.2">
      <c r="B85" s="48" t="s">
        <v>84</v>
      </c>
      <c r="C85" s="297">
        <f t="shared" ref="C85:Q85" si="90">C75-SUM(C76:C84)</f>
        <v>430.82000000000005</v>
      </c>
      <c r="D85" s="69">
        <f t="shared" si="90"/>
        <v>445.97</v>
      </c>
      <c r="E85" s="69">
        <f t="shared" si="90"/>
        <v>490.0800000000001</v>
      </c>
      <c r="F85" s="69">
        <f t="shared" si="90"/>
        <v>632.05000000000018</v>
      </c>
      <c r="G85" s="69">
        <f t="shared" si="90"/>
        <v>601.75000000000068</v>
      </c>
      <c r="H85" s="70">
        <f t="shared" si="90"/>
        <v>640.93600000000083</v>
      </c>
      <c r="I85" s="70">
        <f t="shared" si="90"/>
        <v>680.31793000000073</v>
      </c>
      <c r="J85" s="70">
        <f t="shared" si="90"/>
        <v>719.89676965000046</v>
      </c>
      <c r="K85" s="70">
        <f t="shared" si="90"/>
        <v>759.67350349825051</v>
      </c>
      <c r="L85" s="70">
        <f t="shared" si="90"/>
        <v>799.64912101574168</v>
      </c>
      <c r="M85" s="70">
        <f>M75-SUM(M76:M84)</f>
        <v>839.82461662082039</v>
      </c>
      <c r="N85" s="70">
        <f t="shared" si="90"/>
        <v>880.20098970392428</v>
      </c>
      <c r="O85" s="70">
        <f t="shared" si="90"/>
        <v>920.77924465244428</v>
      </c>
      <c r="P85" s="70">
        <f t="shared" si="90"/>
        <v>961.56039087570639</v>
      </c>
      <c r="Q85" s="70">
        <f t="shared" si="90"/>
        <v>1002.6554428300847</v>
      </c>
    </row>
    <row r="86" spans="2:34" ht="15" thickTop="1" x14ac:dyDescent="0.15">
      <c r="B86" s="48"/>
      <c r="C86" s="72"/>
      <c r="D86" s="72"/>
      <c r="E86" s="72"/>
      <c r="F86" s="72"/>
      <c r="G86" s="72"/>
      <c r="H86" s="68"/>
      <c r="I86" s="68"/>
      <c r="J86" s="68"/>
      <c r="K86" s="68"/>
      <c r="L86" s="68"/>
      <c r="M86" s="68"/>
      <c r="N86" s="68"/>
      <c r="O86" s="68"/>
      <c r="P86" s="68"/>
      <c r="Q86" s="68"/>
    </row>
    <row r="87" spans="2:34" x14ac:dyDescent="0.15">
      <c r="B87" s="403" t="s">
        <v>87</v>
      </c>
      <c r="C87" s="72"/>
      <c r="D87" s="72"/>
      <c r="E87" s="72"/>
      <c r="F87" s="72"/>
      <c r="G87" s="72"/>
      <c r="H87" s="68"/>
      <c r="I87" s="68"/>
      <c r="J87" s="68"/>
      <c r="K87" s="68"/>
      <c r="L87" s="68"/>
      <c r="M87" s="68"/>
      <c r="N87" s="68"/>
      <c r="O87" s="68"/>
      <c r="P87" s="68"/>
      <c r="Q87" s="68"/>
    </row>
    <row r="88" spans="2:34" s="4" customFormat="1" x14ac:dyDescent="0.15">
      <c r="B88" s="48" t="s">
        <v>79</v>
      </c>
      <c r="C88" s="66">
        <v>35.49</v>
      </c>
      <c r="D88" s="66">
        <f t="shared" ref="D88:G88" si="91">C97</f>
        <v>34.700000000000003</v>
      </c>
      <c r="E88" s="66">
        <f t="shared" si="91"/>
        <v>36.97</v>
      </c>
      <c r="F88" s="66">
        <f t="shared" si="91"/>
        <v>35.79</v>
      </c>
      <c r="G88" s="66">
        <f t="shared" si="91"/>
        <v>34.630000000000003</v>
      </c>
      <c r="H88" s="67">
        <f t="shared" ref="H88" si="92">G97</f>
        <v>30.500000000000004</v>
      </c>
      <c r="I88" s="67">
        <f t="shared" ref="I88" si="93">H97</f>
        <v>29.684000000000001</v>
      </c>
      <c r="J88" s="67">
        <f t="shared" ref="J88" si="94">I97</f>
        <v>28.863920000000004</v>
      </c>
      <c r="K88" s="67">
        <f t="shared" ref="K88" si="95">J97</f>
        <v>28.039739600000001</v>
      </c>
      <c r="L88" s="67">
        <f t="shared" ref="L88" si="96">K97</f>
        <v>27.211438297999997</v>
      </c>
      <c r="M88" s="67">
        <f t="shared" ref="M88" si="97">L97</f>
        <v>26.378995489489995</v>
      </c>
      <c r="N88" s="67">
        <f t="shared" ref="N88" si="98">M97</f>
        <v>25.542390466937444</v>
      </c>
      <c r="O88" s="67">
        <f t="shared" ref="O88" si="99">N97</f>
        <v>24.701602419272135</v>
      </c>
      <c r="P88" s="67">
        <f t="shared" ref="P88" si="100">O97</f>
        <v>23.856610431368495</v>
      </c>
      <c r="Q88" s="67">
        <f t="shared" ref="Q88" si="101">P97</f>
        <v>23.007393483525338</v>
      </c>
    </row>
    <row r="89" spans="2:34" s="4" customFormat="1" x14ac:dyDescent="0.15">
      <c r="B89" s="38" t="s">
        <v>80</v>
      </c>
      <c r="C89" s="21">
        <v>2.3199999999999998</v>
      </c>
      <c r="D89" s="21">
        <v>2.23</v>
      </c>
      <c r="E89" s="21">
        <v>3.41</v>
      </c>
      <c r="F89" s="21">
        <v>1.93</v>
      </c>
      <c r="G89" s="21">
        <v>4.8499999999999996</v>
      </c>
      <c r="H89" s="68">
        <f>AVERAGE(C89:G89)</f>
        <v>2.948</v>
      </c>
      <c r="I89" s="68">
        <f t="shared" ref="I89:Q89" si="102">H89*1.005</f>
        <v>2.9627399999999997</v>
      </c>
      <c r="J89" s="68">
        <f t="shared" si="102"/>
        <v>2.9775536999999992</v>
      </c>
      <c r="K89" s="68">
        <f t="shared" si="102"/>
        <v>2.9924414684999987</v>
      </c>
      <c r="L89" s="68">
        <f t="shared" si="102"/>
        <v>3.0074036758424985</v>
      </c>
      <c r="M89" s="68">
        <f t="shared" si="102"/>
        <v>3.0224406942217108</v>
      </c>
      <c r="N89" s="68">
        <f t="shared" si="102"/>
        <v>3.037552897692819</v>
      </c>
      <c r="O89" s="68">
        <f t="shared" si="102"/>
        <v>3.0527406621812827</v>
      </c>
      <c r="P89" s="68">
        <f t="shared" si="102"/>
        <v>3.0680043654921887</v>
      </c>
      <c r="Q89" s="68">
        <f t="shared" si="102"/>
        <v>3.0833443873196491</v>
      </c>
    </row>
    <row r="90" spans="2:34" s="4" customFormat="1" x14ac:dyDescent="0.15">
      <c r="B90" s="38" t="s">
        <v>382</v>
      </c>
      <c r="C90" s="21">
        <v>0</v>
      </c>
      <c r="D90" s="21">
        <v>0</v>
      </c>
      <c r="E90" s="21">
        <v>0</v>
      </c>
      <c r="F90" s="21">
        <v>0</v>
      </c>
      <c r="G90" s="21">
        <v>-0.9</v>
      </c>
      <c r="H90" s="67">
        <v>0</v>
      </c>
      <c r="I90" s="67">
        <v>0</v>
      </c>
      <c r="J90" s="67">
        <v>0</v>
      </c>
      <c r="K90" s="67">
        <v>0</v>
      </c>
      <c r="L90" s="67">
        <v>0</v>
      </c>
      <c r="M90" s="67">
        <v>0</v>
      </c>
      <c r="N90" s="67">
        <v>0</v>
      </c>
      <c r="O90" s="67">
        <v>0</v>
      </c>
      <c r="P90" s="67">
        <v>0</v>
      </c>
      <c r="Q90" s="67">
        <v>0</v>
      </c>
    </row>
    <row r="91" spans="2:34" s="4" customFormat="1" x14ac:dyDescent="0.15">
      <c r="B91" s="38" t="s">
        <v>375</v>
      </c>
      <c r="C91" s="21">
        <v>0</v>
      </c>
      <c r="D91" s="21">
        <v>0</v>
      </c>
      <c r="E91" s="21">
        <v>0</v>
      </c>
      <c r="F91" s="21">
        <v>0</v>
      </c>
      <c r="G91" s="21">
        <v>-0.12</v>
      </c>
      <c r="H91" s="67">
        <v>0</v>
      </c>
      <c r="I91" s="67">
        <v>0</v>
      </c>
      <c r="J91" s="67">
        <v>0</v>
      </c>
      <c r="K91" s="67">
        <v>0</v>
      </c>
      <c r="L91" s="67">
        <v>0</v>
      </c>
      <c r="M91" s="67">
        <v>0</v>
      </c>
      <c r="N91" s="67">
        <v>0</v>
      </c>
      <c r="O91" s="67">
        <v>0</v>
      </c>
      <c r="P91" s="67">
        <v>0</v>
      </c>
      <c r="Q91" s="67">
        <v>0</v>
      </c>
    </row>
    <row r="92" spans="2:34" s="4" customFormat="1" x14ac:dyDescent="0.15">
      <c r="B92" s="38" t="s">
        <v>376</v>
      </c>
      <c r="C92" s="21">
        <v>-0.28999999999999998</v>
      </c>
      <c r="D92" s="21">
        <v>-0.7</v>
      </c>
      <c r="E92" s="21">
        <v>-6.62</v>
      </c>
      <c r="F92" s="21">
        <v>-0.33</v>
      </c>
      <c r="G92" s="21">
        <v>-4.25</v>
      </c>
      <c r="H92" s="68">
        <f>AVERAGE(C92:G92)</f>
        <v>-2.4380000000000002</v>
      </c>
      <c r="I92" s="68">
        <f t="shared" ref="I92:Q93" si="103">H92*1.005</f>
        <v>-2.4501900000000001</v>
      </c>
      <c r="J92" s="68">
        <f t="shared" si="103"/>
        <v>-2.46244095</v>
      </c>
      <c r="K92" s="68">
        <f t="shared" si="103"/>
        <v>-2.4747531547499997</v>
      </c>
      <c r="L92" s="68">
        <f t="shared" si="103"/>
        <v>-2.4871269205237496</v>
      </c>
      <c r="M92" s="68">
        <f t="shared" si="103"/>
        <v>-2.499562555126368</v>
      </c>
      <c r="N92" s="68">
        <f t="shared" si="103"/>
        <v>-2.5120603679019995</v>
      </c>
      <c r="O92" s="68">
        <f t="shared" si="103"/>
        <v>-2.524620669741509</v>
      </c>
      <c r="P92" s="68">
        <f t="shared" si="103"/>
        <v>-2.5372437730902164</v>
      </c>
      <c r="Q92" s="68">
        <f t="shared" si="103"/>
        <v>-2.5499299919556671</v>
      </c>
    </row>
    <row r="93" spans="2:34" x14ac:dyDescent="0.15">
      <c r="B93" s="38" t="s">
        <v>377</v>
      </c>
      <c r="C93" s="21">
        <v>0.8</v>
      </c>
      <c r="D93" s="21">
        <v>0.2</v>
      </c>
      <c r="E93" s="21">
        <v>1.61</v>
      </c>
      <c r="F93" s="21">
        <v>-1.41</v>
      </c>
      <c r="G93" s="21">
        <v>0.16</v>
      </c>
      <c r="H93" s="68">
        <f>AVERAGE(C93:G93)</f>
        <v>0.27200000000000008</v>
      </c>
      <c r="I93" s="68">
        <f t="shared" si="103"/>
        <v>0.27336000000000005</v>
      </c>
      <c r="J93" s="68">
        <f t="shared" si="103"/>
        <v>0.27472679999999999</v>
      </c>
      <c r="K93" s="68">
        <f t="shared" si="103"/>
        <v>0.27610043399999995</v>
      </c>
      <c r="L93" s="68">
        <f t="shared" si="103"/>
        <v>0.27748093616999991</v>
      </c>
      <c r="M93" s="68">
        <f t="shared" si="103"/>
        <v>0.27886834085084988</v>
      </c>
      <c r="N93" s="68">
        <f t="shared" si="103"/>
        <v>0.28026268255510411</v>
      </c>
      <c r="O93" s="68">
        <f t="shared" si="103"/>
        <v>0.28166399596787961</v>
      </c>
      <c r="P93" s="68">
        <f t="shared" si="103"/>
        <v>0.28307231594771898</v>
      </c>
      <c r="Q93" s="68">
        <f t="shared" si="103"/>
        <v>0.28448767752745752</v>
      </c>
      <c r="W93" s="102"/>
      <c r="X93" s="102"/>
      <c r="Y93" s="102"/>
      <c r="Z93" s="102"/>
      <c r="AA93" s="102"/>
      <c r="AB93" s="76"/>
      <c r="AD93" s="76"/>
      <c r="AE93" s="76"/>
      <c r="AF93" s="76"/>
      <c r="AG93" s="45"/>
      <c r="AH93" s="45"/>
    </row>
    <row r="94" spans="2:34" x14ac:dyDescent="0.15">
      <c r="B94" s="38" t="s">
        <v>383</v>
      </c>
      <c r="C94" s="21">
        <v>0</v>
      </c>
      <c r="D94" s="21">
        <v>0</v>
      </c>
      <c r="E94" s="21">
        <v>0</v>
      </c>
      <c r="F94" s="21">
        <v>0</v>
      </c>
      <c r="G94" s="21">
        <v>0.25</v>
      </c>
      <c r="H94" s="68">
        <v>0</v>
      </c>
      <c r="I94" s="68">
        <v>0</v>
      </c>
      <c r="J94" s="68">
        <v>0</v>
      </c>
      <c r="K94" s="68">
        <v>0</v>
      </c>
      <c r="L94" s="68">
        <v>0</v>
      </c>
      <c r="M94" s="68">
        <v>0</v>
      </c>
      <c r="N94" s="68">
        <v>0</v>
      </c>
      <c r="O94" s="68">
        <v>0</v>
      </c>
      <c r="P94" s="68">
        <v>0</v>
      </c>
      <c r="Q94" s="68">
        <v>0</v>
      </c>
      <c r="W94" s="102"/>
      <c r="X94" s="102"/>
      <c r="Y94" s="102"/>
      <c r="Z94" s="102"/>
      <c r="AA94" s="102"/>
      <c r="AB94" s="76"/>
      <c r="AD94" s="76"/>
      <c r="AE94" s="76"/>
      <c r="AF94" s="76"/>
      <c r="AG94" s="45"/>
      <c r="AH94" s="45"/>
    </row>
    <row r="95" spans="2:34" x14ac:dyDescent="0.15">
      <c r="B95" s="38" t="s">
        <v>380</v>
      </c>
      <c r="C95" s="21">
        <v>0</v>
      </c>
      <c r="D95" s="21">
        <v>0</v>
      </c>
      <c r="E95" s="21">
        <v>0</v>
      </c>
      <c r="F95" s="21">
        <v>0</v>
      </c>
      <c r="G95" s="21">
        <v>-0.14000000000000001</v>
      </c>
      <c r="H95" s="68">
        <v>0</v>
      </c>
      <c r="I95" s="68">
        <v>0</v>
      </c>
      <c r="J95" s="68">
        <v>0</v>
      </c>
      <c r="K95" s="68">
        <v>0</v>
      </c>
      <c r="L95" s="68">
        <v>0</v>
      </c>
      <c r="M95" s="68">
        <v>0</v>
      </c>
      <c r="N95" s="68">
        <v>0</v>
      </c>
      <c r="O95" s="68">
        <v>0</v>
      </c>
      <c r="P95" s="68">
        <v>0</v>
      </c>
      <c r="Q95" s="68">
        <v>0</v>
      </c>
      <c r="W95" s="102"/>
      <c r="X95" s="102"/>
      <c r="Y95" s="102"/>
      <c r="Z95" s="102"/>
      <c r="AA95" s="102"/>
      <c r="AB95" s="76"/>
      <c r="AD95" s="76"/>
      <c r="AE95" s="76"/>
      <c r="AF95" s="76"/>
      <c r="AG95" s="45"/>
      <c r="AH95" s="45"/>
    </row>
    <row r="96" spans="2:34" x14ac:dyDescent="0.15">
      <c r="B96" s="38" t="s">
        <v>378</v>
      </c>
      <c r="C96" s="21">
        <v>-3.62</v>
      </c>
      <c r="D96" s="21">
        <v>0.54</v>
      </c>
      <c r="E96" s="21">
        <v>0.42</v>
      </c>
      <c r="F96" s="21">
        <v>-1.35</v>
      </c>
      <c r="G96" s="21">
        <v>-3.98</v>
      </c>
      <c r="H96" s="68">
        <f>AVERAGE(C96:G96)</f>
        <v>-1.5980000000000001</v>
      </c>
      <c r="I96" s="68">
        <f t="shared" ref="I96:Q96" si="104">H96*1.005</f>
        <v>-1.6059899999999998</v>
      </c>
      <c r="J96" s="68">
        <f t="shared" si="104"/>
        <v>-1.6140199499999996</v>
      </c>
      <c r="K96" s="68">
        <f t="shared" si="104"/>
        <v>-1.6220900497499995</v>
      </c>
      <c r="L96" s="68">
        <f t="shared" si="104"/>
        <v>-1.6302004999987494</v>
      </c>
      <c r="M96" s="68">
        <f t="shared" si="104"/>
        <v>-1.638351502498743</v>
      </c>
      <c r="N96" s="68">
        <f t="shared" si="104"/>
        <v>-1.6465432600112364</v>
      </c>
      <c r="O96" s="68">
        <f t="shared" si="104"/>
        <v>-1.6547759763112924</v>
      </c>
      <c r="P96" s="68">
        <f t="shared" si="104"/>
        <v>-1.6630498561928486</v>
      </c>
      <c r="Q96" s="68">
        <f t="shared" si="104"/>
        <v>-1.6713651054738128</v>
      </c>
      <c r="W96" s="102"/>
      <c r="X96" s="102"/>
      <c r="Y96" s="102"/>
      <c r="Z96" s="102"/>
      <c r="AA96" s="102"/>
      <c r="AB96" s="76"/>
      <c r="AD96" s="76"/>
      <c r="AE96" s="76"/>
      <c r="AF96" s="76"/>
      <c r="AG96" s="45"/>
      <c r="AH96" s="45"/>
    </row>
    <row r="97" spans="1:34" s="4" customFormat="1" x14ac:dyDescent="0.15">
      <c r="B97" s="48" t="s">
        <v>81</v>
      </c>
      <c r="C97" s="71">
        <f>SUM(C88:C96)</f>
        <v>34.700000000000003</v>
      </c>
      <c r="D97" s="71">
        <f t="shared" ref="D97" si="105">SUM(D88:D96)</f>
        <v>36.97</v>
      </c>
      <c r="E97" s="71">
        <f t="shared" ref="E97" si="106">SUM(E88:E96)</f>
        <v>35.79</v>
      </c>
      <c r="F97" s="71">
        <f t="shared" ref="F97" si="107">SUM(F88:F96)</f>
        <v>34.630000000000003</v>
      </c>
      <c r="G97" s="71">
        <f t="shared" ref="G97" si="108">SUM(G88:G96)</f>
        <v>30.500000000000004</v>
      </c>
      <c r="H97" s="67">
        <f t="shared" ref="H97" si="109">SUM(H88:H96)</f>
        <v>29.684000000000001</v>
      </c>
      <c r="I97" s="67">
        <f t="shared" ref="I97" si="110">SUM(I88:I96)</f>
        <v>28.863920000000004</v>
      </c>
      <c r="J97" s="67">
        <f t="shared" ref="J97" si="111">SUM(J88:J96)</f>
        <v>28.039739600000001</v>
      </c>
      <c r="K97" s="67">
        <f t="shared" ref="K97" si="112">SUM(K88:K96)</f>
        <v>27.211438297999997</v>
      </c>
      <c r="L97" s="67">
        <f t="shared" ref="L97" si="113">SUM(L88:L96)</f>
        <v>26.378995489489995</v>
      </c>
      <c r="M97" s="67">
        <f t="shared" ref="M97" si="114">SUM(M88:M96)</f>
        <v>25.542390466937444</v>
      </c>
      <c r="N97" s="67">
        <f t="shared" ref="N97" si="115">SUM(N88:N96)</f>
        <v>24.701602419272135</v>
      </c>
      <c r="O97" s="67">
        <f t="shared" ref="O97" si="116">SUM(O88:O96)</f>
        <v>23.856610431368495</v>
      </c>
      <c r="P97" s="67">
        <f t="shared" ref="P97" si="117">SUM(P88:P96)</f>
        <v>23.007393483525338</v>
      </c>
      <c r="Q97" s="67">
        <f t="shared" ref="Q97" si="118">SUM(Q88:Q96)</f>
        <v>22.153930450942962</v>
      </c>
    </row>
    <row r="98" spans="1:34" s="4" customFormat="1" x14ac:dyDescent="0.15">
      <c r="B98" s="38" t="s">
        <v>82</v>
      </c>
      <c r="C98" s="21">
        <v>11.39</v>
      </c>
      <c r="D98" s="21">
        <v>13.22</v>
      </c>
      <c r="E98" s="21">
        <v>16.79</v>
      </c>
      <c r="F98" s="21">
        <v>15.53</v>
      </c>
      <c r="G98" s="21">
        <v>16.93</v>
      </c>
      <c r="H98" s="68">
        <f>SUM(G98:G105)</f>
        <v>15.160000000000002</v>
      </c>
      <c r="I98" s="68">
        <f t="shared" ref="I98:Q98" si="119">SUM(H98:H105)</f>
        <v>16.082000000000001</v>
      </c>
      <c r="J98" s="68">
        <f t="shared" si="119"/>
        <v>17.00835</v>
      </c>
      <c r="K98" s="68">
        <f t="shared" si="119"/>
        <v>17.93907175</v>
      </c>
      <c r="L98" s="68">
        <f t="shared" si="119"/>
        <v>18.87626710875</v>
      </c>
      <c r="M98" s="68">
        <f t="shared" si="119"/>
        <v>19.817878044293749</v>
      </c>
      <c r="N98" s="68">
        <f t="shared" si="119"/>
        <v>20.763926634515215</v>
      </c>
      <c r="O98" s="68">
        <f t="shared" si="119"/>
        <v>21.71659826768779</v>
      </c>
      <c r="P98" s="68">
        <f t="shared" si="119"/>
        <v>22.67375204302623</v>
      </c>
      <c r="Q98" s="68">
        <f t="shared" si="119"/>
        <v>23.63541037124136</v>
      </c>
      <c r="R98" s="404"/>
      <c r="S98" s="404"/>
      <c r="T98" s="404"/>
      <c r="U98" s="404"/>
      <c r="V98" s="404"/>
      <c r="W98" s="404"/>
    </row>
    <row r="99" spans="1:34" s="4" customFormat="1" x14ac:dyDescent="0.15">
      <c r="B99" s="38" t="s">
        <v>83</v>
      </c>
      <c r="C99" s="21">
        <v>4.12</v>
      </c>
      <c r="D99" s="21">
        <v>3.34</v>
      </c>
      <c r="E99" s="21">
        <v>3.48</v>
      </c>
      <c r="F99" s="21">
        <v>3.67</v>
      </c>
      <c r="G99" s="21">
        <v>3.46</v>
      </c>
      <c r="H99" s="320">
        <f>AVERAGE(C99:G99)</f>
        <v>3.6139999999999999</v>
      </c>
      <c r="I99" s="320">
        <f t="shared" ref="I99:Q100" si="120">H99*1.005</f>
        <v>3.6320699999999997</v>
      </c>
      <c r="J99" s="320">
        <f t="shared" si="120"/>
        <v>3.6502303499999993</v>
      </c>
      <c r="K99" s="320">
        <f t="shared" si="120"/>
        <v>3.6684815017499988</v>
      </c>
      <c r="L99" s="320">
        <f t="shared" si="120"/>
        <v>3.6868239092587483</v>
      </c>
      <c r="M99" s="320">
        <f t="shared" si="120"/>
        <v>3.7052580288050416</v>
      </c>
      <c r="N99" s="320">
        <f t="shared" si="120"/>
        <v>3.7237843189490665</v>
      </c>
      <c r="O99" s="320">
        <f t="shared" si="120"/>
        <v>3.7424032405438115</v>
      </c>
      <c r="P99" s="320">
        <f t="shared" si="120"/>
        <v>3.76111525674653</v>
      </c>
      <c r="Q99" s="320">
        <f t="shared" si="120"/>
        <v>3.7799208330302623</v>
      </c>
    </row>
    <row r="100" spans="1:34" s="4" customFormat="1" x14ac:dyDescent="0.15">
      <c r="B100" s="38" t="s">
        <v>381</v>
      </c>
      <c r="C100" s="21">
        <v>0.19</v>
      </c>
      <c r="D100" s="21">
        <v>0.22</v>
      </c>
      <c r="E100" s="21">
        <v>0.33</v>
      </c>
      <c r="F100" s="21">
        <v>0.35</v>
      </c>
      <c r="G100" s="21">
        <v>0.36</v>
      </c>
      <c r="H100" s="68">
        <f>AVERAGE(C100:G100)</f>
        <v>0.28999999999999992</v>
      </c>
      <c r="I100" s="68">
        <f t="shared" si="120"/>
        <v>0.29144999999999988</v>
      </c>
      <c r="J100" s="68">
        <f t="shared" si="120"/>
        <v>0.29290724999999984</v>
      </c>
      <c r="K100" s="68">
        <f t="shared" si="120"/>
        <v>0.29437178624999982</v>
      </c>
      <c r="L100" s="68">
        <f t="shared" si="120"/>
        <v>0.29584364518124978</v>
      </c>
      <c r="M100" s="68">
        <f t="shared" si="120"/>
        <v>0.29732286340715602</v>
      </c>
      <c r="N100" s="68">
        <f t="shared" si="120"/>
        <v>0.29880947772419175</v>
      </c>
      <c r="O100" s="68">
        <f t="shared" si="120"/>
        <v>0.30030352511281266</v>
      </c>
      <c r="P100" s="68">
        <f t="shared" si="120"/>
        <v>0.30180504273837672</v>
      </c>
      <c r="Q100" s="68">
        <f t="shared" si="120"/>
        <v>0.30331406795206856</v>
      </c>
    </row>
    <row r="101" spans="1:34" s="4" customFormat="1" x14ac:dyDescent="0.15">
      <c r="B101" s="38" t="s">
        <v>375</v>
      </c>
      <c r="C101" s="21">
        <v>0</v>
      </c>
      <c r="D101" s="21">
        <v>0</v>
      </c>
      <c r="E101" s="21">
        <v>0</v>
      </c>
      <c r="F101" s="21">
        <v>0</v>
      </c>
      <c r="G101" s="21">
        <v>-0.12</v>
      </c>
      <c r="H101" s="67">
        <v>0</v>
      </c>
      <c r="I101" s="67">
        <v>0</v>
      </c>
      <c r="J101" s="67">
        <v>0</v>
      </c>
      <c r="K101" s="67">
        <v>0</v>
      </c>
      <c r="L101" s="67">
        <v>0</v>
      </c>
      <c r="M101" s="67">
        <v>0</v>
      </c>
      <c r="N101" s="67">
        <v>0</v>
      </c>
      <c r="O101" s="67">
        <v>0</v>
      </c>
      <c r="P101" s="67">
        <v>0</v>
      </c>
      <c r="Q101" s="67">
        <v>0</v>
      </c>
    </row>
    <row r="102" spans="1:34" x14ac:dyDescent="0.15">
      <c r="B102" s="38" t="s">
        <v>376</v>
      </c>
      <c r="C102" s="21">
        <v>-0.11</v>
      </c>
      <c r="D102" s="21">
        <v>-0.42</v>
      </c>
      <c r="E102" s="21">
        <v>-6.57</v>
      </c>
      <c r="F102" s="21">
        <v>-0.3</v>
      </c>
      <c r="G102" s="21">
        <v>-3.38</v>
      </c>
      <c r="H102" s="68">
        <f>AVERAGE(C102:G102)</f>
        <v>-2.1560000000000001</v>
      </c>
      <c r="I102" s="68">
        <f t="shared" ref="I102:Q102" si="121">H102*1.005</f>
        <v>-2.1667799999999997</v>
      </c>
      <c r="J102" s="68">
        <f t="shared" si="121"/>
        <v>-2.1776138999999994</v>
      </c>
      <c r="K102" s="68">
        <f t="shared" si="121"/>
        <v>-2.1885019694999994</v>
      </c>
      <c r="L102" s="68">
        <f t="shared" si="121"/>
        <v>-2.1994444793474992</v>
      </c>
      <c r="M102" s="68">
        <f t="shared" si="121"/>
        <v>-2.2104417017442364</v>
      </c>
      <c r="N102" s="68">
        <f t="shared" si="121"/>
        <v>-2.2214939102529572</v>
      </c>
      <c r="O102" s="68">
        <f t="shared" si="121"/>
        <v>-2.2326013798042217</v>
      </c>
      <c r="P102" s="68">
        <f t="shared" si="121"/>
        <v>-2.2437643867032424</v>
      </c>
      <c r="Q102" s="68">
        <f t="shared" si="121"/>
        <v>-2.2549832086367583</v>
      </c>
    </row>
    <row r="103" spans="1:34" x14ac:dyDescent="0.15">
      <c r="B103" s="38" t="s">
        <v>380</v>
      </c>
      <c r="C103" s="21">
        <v>0</v>
      </c>
      <c r="D103" s="21">
        <v>0</v>
      </c>
      <c r="E103" s="21">
        <v>0</v>
      </c>
      <c r="F103" s="21">
        <v>0</v>
      </c>
      <c r="G103" s="21">
        <v>-0.08</v>
      </c>
      <c r="H103" s="68">
        <v>0</v>
      </c>
      <c r="I103" s="68">
        <v>0</v>
      </c>
      <c r="J103" s="68">
        <v>0</v>
      </c>
      <c r="K103" s="68">
        <v>0</v>
      </c>
      <c r="L103" s="68">
        <v>0</v>
      </c>
      <c r="M103" s="68">
        <v>0</v>
      </c>
      <c r="N103" s="68">
        <v>0</v>
      </c>
      <c r="O103" s="68">
        <v>0</v>
      </c>
      <c r="P103" s="68">
        <v>0</v>
      </c>
      <c r="Q103" s="68">
        <v>0</v>
      </c>
      <c r="W103" s="102"/>
      <c r="X103" s="102"/>
      <c r="Y103" s="102"/>
      <c r="Z103" s="102"/>
      <c r="AA103" s="102"/>
      <c r="AB103" s="76"/>
      <c r="AD103" s="76"/>
      <c r="AE103" s="76"/>
      <c r="AF103" s="76"/>
      <c r="AG103" s="45"/>
      <c r="AH103" s="45"/>
    </row>
    <row r="104" spans="1:34" x14ac:dyDescent="0.15">
      <c r="B104" s="38" t="s">
        <v>377</v>
      </c>
      <c r="C104" s="21">
        <v>0.33</v>
      </c>
      <c r="D104" s="21">
        <v>0.04</v>
      </c>
      <c r="E104" s="21">
        <v>1.01</v>
      </c>
      <c r="F104" s="21">
        <v>-1.81</v>
      </c>
      <c r="G104" s="21">
        <v>0.05</v>
      </c>
      <c r="H104" s="68">
        <f>G104*1.04</f>
        <v>5.2000000000000005E-2</v>
      </c>
      <c r="I104" s="68">
        <f t="shared" ref="I104:J105" si="122">H104</f>
        <v>5.2000000000000005E-2</v>
      </c>
      <c r="J104" s="68">
        <f t="shared" si="122"/>
        <v>5.2000000000000005E-2</v>
      </c>
      <c r="K104" s="68">
        <f>J104*1.04</f>
        <v>5.408000000000001E-2</v>
      </c>
      <c r="L104" s="68">
        <f t="shared" ref="L104:M105" si="123">K104</f>
        <v>5.408000000000001E-2</v>
      </c>
      <c r="M104" s="68">
        <f t="shared" si="123"/>
        <v>5.408000000000001E-2</v>
      </c>
      <c r="N104" s="68">
        <f>M104*1.04</f>
        <v>5.6243200000000014E-2</v>
      </c>
      <c r="O104" s="68">
        <f t="shared" ref="O104:P105" si="124">N104</f>
        <v>5.6243200000000014E-2</v>
      </c>
      <c r="P104" s="68">
        <f t="shared" si="124"/>
        <v>5.6243200000000014E-2</v>
      </c>
      <c r="Q104" s="68">
        <f>P104*1.04</f>
        <v>5.8492928000000013E-2</v>
      </c>
      <c r="W104" s="102"/>
      <c r="X104" s="102"/>
      <c r="Y104" s="102"/>
      <c r="Z104" s="102"/>
      <c r="AA104" s="102"/>
      <c r="AB104" s="76"/>
      <c r="AD104" s="76"/>
      <c r="AE104" s="76"/>
      <c r="AF104" s="76"/>
      <c r="AG104" s="45"/>
      <c r="AH104" s="45"/>
    </row>
    <row r="105" spans="1:34" x14ac:dyDescent="0.15">
      <c r="A105" s="218"/>
      <c r="B105" s="38" t="s">
        <v>378</v>
      </c>
      <c r="C105" s="21">
        <v>-2.7</v>
      </c>
      <c r="D105" s="21">
        <v>0.39</v>
      </c>
      <c r="E105" s="21">
        <v>0.49</v>
      </c>
      <c r="F105" s="21">
        <v>-0.51</v>
      </c>
      <c r="G105" s="21">
        <v>-2.06</v>
      </c>
      <c r="H105" s="68">
        <f>AVERAGE(C105:G105)</f>
        <v>-0.87800000000000011</v>
      </c>
      <c r="I105" s="68">
        <f t="shared" ref="I105:Q105" si="125">H105*1.005</f>
        <v>-0.88239000000000001</v>
      </c>
      <c r="J105" s="68">
        <f t="shared" si="125"/>
        <v>-0.88680194999999995</v>
      </c>
      <c r="K105" s="68">
        <f t="shared" si="125"/>
        <v>-0.89123595974999981</v>
      </c>
      <c r="L105" s="68">
        <f t="shared" si="125"/>
        <v>-0.89569213954874971</v>
      </c>
      <c r="M105" s="68">
        <f t="shared" si="125"/>
        <v>-0.90017060024649331</v>
      </c>
      <c r="N105" s="68">
        <f t="shared" si="125"/>
        <v>-0.90467145324772569</v>
      </c>
      <c r="O105" s="68">
        <f t="shared" si="125"/>
        <v>-0.90919481051396422</v>
      </c>
      <c r="P105" s="68">
        <f t="shared" si="125"/>
        <v>-0.91374078456653396</v>
      </c>
      <c r="Q105" s="68">
        <f t="shared" si="125"/>
        <v>-0.91830948848936655</v>
      </c>
      <c r="W105" s="102"/>
      <c r="X105" s="102"/>
      <c r="Y105" s="102"/>
      <c r="Z105" s="102"/>
      <c r="AA105" s="102"/>
      <c r="AB105" s="76"/>
      <c r="AD105" s="76"/>
      <c r="AE105" s="76"/>
      <c r="AF105" s="76"/>
      <c r="AG105" s="45"/>
      <c r="AH105" s="45"/>
    </row>
    <row r="106" spans="1:34" s="4" customFormat="1" ht="15" thickBot="1" x14ac:dyDescent="0.2">
      <c r="B106" s="48" t="s">
        <v>84</v>
      </c>
      <c r="C106" s="69">
        <f t="shared" ref="C106:Q106" si="126">C97-SUM(C98:C105)</f>
        <v>21.48</v>
      </c>
      <c r="D106" s="69">
        <f t="shared" si="126"/>
        <v>20.18</v>
      </c>
      <c r="E106" s="69">
        <f t="shared" si="126"/>
        <v>20.260000000000002</v>
      </c>
      <c r="F106" s="69">
        <f t="shared" si="126"/>
        <v>17.700000000000003</v>
      </c>
      <c r="G106" s="69">
        <f t="shared" si="126"/>
        <v>15.340000000000002</v>
      </c>
      <c r="H106" s="70">
        <f t="shared" si="126"/>
        <v>13.602</v>
      </c>
      <c r="I106" s="70">
        <f t="shared" si="126"/>
        <v>11.855570000000004</v>
      </c>
      <c r="J106" s="70">
        <f>J97-SUM(J98:J105)</f>
        <v>10.100667850000001</v>
      </c>
      <c r="K106" s="70">
        <f t="shared" si="126"/>
        <v>8.3351711892499978</v>
      </c>
      <c r="L106" s="70">
        <f t="shared" si="126"/>
        <v>6.5611174451962455</v>
      </c>
      <c r="M106" s="70">
        <f t="shared" si="126"/>
        <v>4.7784638324222293</v>
      </c>
      <c r="N106" s="70">
        <f t="shared" si="126"/>
        <v>2.9850041515843451</v>
      </c>
      <c r="O106" s="70">
        <f t="shared" si="126"/>
        <v>1.1828583883422645</v>
      </c>
      <c r="P106" s="70">
        <f t="shared" si="126"/>
        <v>-0.62801688771602215</v>
      </c>
      <c r="Q106" s="70">
        <f t="shared" si="126"/>
        <v>-2.4499150521546049</v>
      </c>
    </row>
    <row r="107" spans="1:34" ht="15" thickTop="1" x14ac:dyDescent="0.15">
      <c r="B107" s="38"/>
      <c r="C107" s="72"/>
      <c r="D107" s="72"/>
      <c r="E107" s="72"/>
      <c r="F107" s="72"/>
      <c r="G107" s="72"/>
      <c r="H107" s="68"/>
      <c r="I107" s="68"/>
      <c r="J107" s="68"/>
      <c r="K107" s="68"/>
      <c r="L107" s="68"/>
      <c r="M107" s="68"/>
      <c r="N107" s="68"/>
      <c r="O107" s="68"/>
      <c r="P107" s="68"/>
      <c r="Q107" s="68"/>
    </row>
    <row r="108" spans="1:34" x14ac:dyDescent="0.15">
      <c r="B108" s="403" t="s">
        <v>324</v>
      </c>
      <c r="C108" s="72"/>
      <c r="D108" s="72"/>
      <c r="E108" s="72"/>
      <c r="F108" s="72"/>
      <c r="G108" s="72"/>
      <c r="H108" s="68"/>
      <c r="I108" s="68"/>
      <c r="J108" s="68"/>
      <c r="K108" s="68"/>
      <c r="L108" s="68"/>
      <c r="M108" s="68"/>
      <c r="N108" s="68"/>
      <c r="O108" s="68"/>
      <c r="P108" s="68"/>
      <c r="Q108" s="68"/>
    </row>
    <row r="109" spans="1:34" s="4" customFormat="1" x14ac:dyDescent="0.15">
      <c r="B109" s="48" t="s">
        <v>79</v>
      </c>
      <c r="C109" s="66">
        <v>45.79</v>
      </c>
      <c r="D109" s="66">
        <f t="shared" ref="D109:Q109" si="127">C116</f>
        <v>42.5</v>
      </c>
      <c r="E109" s="66">
        <f t="shared" si="127"/>
        <v>58.27</v>
      </c>
      <c r="F109" s="66">
        <f t="shared" si="127"/>
        <v>63.680000000000014</v>
      </c>
      <c r="G109" s="66">
        <f t="shared" si="127"/>
        <v>61.820000000000022</v>
      </c>
      <c r="H109" s="67">
        <f t="shared" si="127"/>
        <v>30.40000000000002</v>
      </c>
      <c r="I109" s="67">
        <f t="shared" si="127"/>
        <v>27.756000000000014</v>
      </c>
      <c r="J109" s="67">
        <f t="shared" si="127"/>
        <v>25.098780000000012</v>
      </c>
      <c r="K109" s="67">
        <f t="shared" si="127"/>
        <v>22.428273900000011</v>
      </c>
      <c r="L109" s="67">
        <f t="shared" si="127"/>
        <v>19.744415269500006</v>
      </c>
      <c r="M109" s="67">
        <f t="shared" si="127"/>
        <v>17.047137345847506</v>
      </c>
      <c r="N109" s="67">
        <f t="shared" si="127"/>
        <v>14.336373032576745</v>
      </c>
      <c r="O109" s="67">
        <f t="shared" si="127"/>
        <v>11.612054897739631</v>
      </c>
      <c r="P109" s="67">
        <f t="shared" si="127"/>
        <v>8.8741151722283291</v>
      </c>
      <c r="Q109" s="67">
        <f t="shared" si="127"/>
        <v>6.1224857480894723</v>
      </c>
    </row>
    <row r="110" spans="1:34" s="4" customFormat="1" x14ac:dyDescent="0.15">
      <c r="B110" s="38" t="s">
        <v>80</v>
      </c>
      <c r="C110" s="21">
        <v>8.89</v>
      </c>
      <c r="D110" s="21">
        <v>18</v>
      </c>
      <c r="E110" s="21">
        <v>10.050000000000001</v>
      </c>
      <c r="F110" s="21">
        <v>10.3</v>
      </c>
      <c r="G110" s="21">
        <v>11.18</v>
      </c>
      <c r="H110" s="68">
        <f>AVERAGE(C110:G110)</f>
        <v>11.683999999999999</v>
      </c>
      <c r="I110" s="68">
        <f t="shared" ref="I110:Q110" si="128">H110*1.005</f>
        <v>11.742419999999997</v>
      </c>
      <c r="J110" s="68">
        <f t="shared" si="128"/>
        <v>11.801132099999997</v>
      </c>
      <c r="K110" s="68">
        <f t="shared" si="128"/>
        <v>11.860137760499995</v>
      </c>
      <c r="L110" s="68">
        <f t="shared" si="128"/>
        <v>11.919438449302493</v>
      </c>
      <c r="M110" s="68">
        <f t="shared" si="128"/>
        <v>11.979035641549004</v>
      </c>
      <c r="N110" s="68">
        <f t="shared" si="128"/>
        <v>12.038930819756748</v>
      </c>
      <c r="O110" s="68">
        <f t="shared" si="128"/>
        <v>12.099125473855532</v>
      </c>
      <c r="P110" s="68">
        <f t="shared" si="128"/>
        <v>12.159621101224808</v>
      </c>
      <c r="Q110" s="68">
        <f t="shared" si="128"/>
        <v>12.220419206730931</v>
      </c>
    </row>
    <row r="111" spans="1:34" s="4" customFormat="1" x14ac:dyDescent="0.15">
      <c r="B111" s="38" t="s">
        <v>375</v>
      </c>
      <c r="C111" s="21">
        <v>0</v>
      </c>
      <c r="D111" s="21">
        <v>0</v>
      </c>
      <c r="E111" s="21">
        <v>0</v>
      </c>
      <c r="F111" s="21">
        <v>0</v>
      </c>
      <c r="G111" s="21">
        <v>-0.79</v>
      </c>
      <c r="H111" s="67">
        <v>0</v>
      </c>
      <c r="I111" s="67">
        <v>0</v>
      </c>
      <c r="J111" s="67">
        <v>0</v>
      </c>
      <c r="K111" s="67">
        <v>0</v>
      </c>
      <c r="L111" s="67">
        <v>0</v>
      </c>
      <c r="M111" s="67">
        <v>0</v>
      </c>
      <c r="N111" s="67">
        <v>0</v>
      </c>
      <c r="O111" s="67">
        <v>0</v>
      </c>
      <c r="P111" s="67">
        <v>0</v>
      </c>
      <c r="Q111" s="67">
        <v>0</v>
      </c>
    </row>
    <row r="112" spans="1:34" s="4" customFormat="1" x14ac:dyDescent="0.15">
      <c r="B112" s="38" t="s">
        <v>376</v>
      </c>
      <c r="C112" s="21">
        <v>-7.97</v>
      </c>
      <c r="D112" s="21">
        <v>-2.97</v>
      </c>
      <c r="E112" s="21">
        <v>-6.02</v>
      </c>
      <c r="F112" s="21">
        <v>-9.36</v>
      </c>
      <c r="G112" s="21">
        <v>-20.72</v>
      </c>
      <c r="H112" s="68">
        <f>AVERAGE(C112:G112)</f>
        <v>-9.4079999999999995</v>
      </c>
      <c r="I112" s="68">
        <f t="shared" ref="I112:Q113" si="129">H112*1.005</f>
        <v>-9.4550399999999986</v>
      </c>
      <c r="J112" s="68">
        <f t="shared" si="129"/>
        <v>-9.5023151999999982</v>
      </c>
      <c r="K112" s="68">
        <f t="shared" si="129"/>
        <v>-9.549826775999998</v>
      </c>
      <c r="L112" s="68">
        <f t="shared" si="129"/>
        <v>-9.5975759098799962</v>
      </c>
      <c r="M112" s="68">
        <f t="shared" si="129"/>
        <v>-9.6455637894293957</v>
      </c>
      <c r="N112" s="68">
        <f t="shared" si="129"/>
        <v>-9.6937916083765412</v>
      </c>
      <c r="O112" s="68">
        <f t="shared" si="129"/>
        <v>-9.7422605664184232</v>
      </c>
      <c r="P112" s="68">
        <f t="shared" si="129"/>
        <v>-9.7909718692505141</v>
      </c>
      <c r="Q112" s="68">
        <f t="shared" si="129"/>
        <v>-9.8399267285967653</v>
      </c>
    </row>
    <row r="113" spans="2:34" s="4" customFormat="1" x14ac:dyDescent="0.15">
      <c r="B113" s="38" t="s">
        <v>377</v>
      </c>
      <c r="C113" s="21">
        <v>0.22</v>
      </c>
      <c r="D113" s="21">
        <v>0.11</v>
      </c>
      <c r="E113" s="21">
        <v>0.14000000000000001</v>
      </c>
      <c r="F113" s="21">
        <v>0.15</v>
      </c>
      <c r="G113" s="21">
        <v>0.36</v>
      </c>
      <c r="H113" s="68">
        <f>AVERAGE(C113:G113)</f>
        <v>0.19600000000000001</v>
      </c>
      <c r="I113" s="68">
        <f t="shared" si="129"/>
        <v>0.19697999999999999</v>
      </c>
      <c r="J113" s="68">
        <f t="shared" si="129"/>
        <v>0.19796489999999997</v>
      </c>
      <c r="K113" s="68">
        <f t="shared" si="129"/>
        <v>0.19895472449999996</v>
      </c>
      <c r="L113" s="68">
        <f t="shared" si="129"/>
        <v>0.19994949812249993</v>
      </c>
      <c r="M113" s="68">
        <f t="shared" si="129"/>
        <v>0.20094924561311242</v>
      </c>
      <c r="N113" s="68">
        <f t="shared" si="129"/>
        <v>0.20195399184117796</v>
      </c>
      <c r="O113" s="68">
        <f t="shared" si="129"/>
        <v>0.20296376180038384</v>
      </c>
      <c r="P113" s="68">
        <f t="shared" si="129"/>
        <v>0.20397858060938573</v>
      </c>
      <c r="Q113" s="68">
        <f t="shared" si="129"/>
        <v>0.20499847351243264</v>
      </c>
    </row>
    <row r="114" spans="2:34" s="4" customFormat="1" x14ac:dyDescent="0.15">
      <c r="B114" s="38" t="s">
        <v>380</v>
      </c>
      <c r="C114" s="21">
        <v>0</v>
      </c>
      <c r="D114" s="21">
        <v>0</v>
      </c>
      <c r="E114" s="21">
        <v>0</v>
      </c>
      <c r="F114" s="21">
        <v>0</v>
      </c>
      <c r="G114" s="21">
        <v>-1.38</v>
      </c>
      <c r="H114" s="67">
        <v>0</v>
      </c>
      <c r="I114" s="67">
        <v>0</v>
      </c>
      <c r="J114" s="67">
        <v>0</v>
      </c>
      <c r="K114" s="67">
        <v>0</v>
      </c>
      <c r="L114" s="67">
        <v>0</v>
      </c>
      <c r="M114" s="67">
        <v>0</v>
      </c>
      <c r="N114" s="67">
        <v>0</v>
      </c>
      <c r="O114" s="67">
        <v>0</v>
      </c>
      <c r="P114" s="67">
        <v>0</v>
      </c>
      <c r="Q114" s="67">
        <v>0</v>
      </c>
    </row>
    <row r="115" spans="2:34" s="4" customFormat="1" x14ac:dyDescent="0.15">
      <c r="B115" s="38" t="s">
        <v>378</v>
      </c>
      <c r="C115" s="21">
        <v>-4.43</v>
      </c>
      <c r="D115" s="21">
        <v>0.63</v>
      </c>
      <c r="E115" s="21">
        <v>1.24</v>
      </c>
      <c r="F115" s="21">
        <v>-2.95</v>
      </c>
      <c r="G115" s="21">
        <v>-20.07</v>
      </c>
      <c r="H115" s="68">
        <f>AVERAGE(C115:G115)</f>
        <v>-5.1159999999999997</v>
      </c>
      <c r="I115" s="68">
        <f t="shared" ref="I115:Q115" si="130">H115*1.005</f>
        <v>-5.1415799999999994</v>
      </c>
      <c r="J115" s="68">
        <f t="shared" si="130"/>
        <v>-5.1672878999999989</v>
      </c>
      <c r="K115" s="68">
        <f t="shared" si="130"/>
        <v>-5.193124339499998</v>
      </c>
      <c r="L115" s="68">
        <f t="shared" si="130"/>
        <v>-5.219089961197497</v>
      </c>
      <c r="M115" s="68">
        <f t="shared" si="130"/>
        <v>-5.2451854110034839</v>
      </c>
      <c r="N115" s="68">
        <f t="shared" si="130"/>
        <v>-5.2714113380585008</v>
      </c>
      <c r="O115" s="68">
        <f t="shared" si="130"/>
        <v>-5.2977683947487924</v>
      </c>
      <c r="P115" s="68">
        <f t="shared" si="130"/>
        <v>-5.324257236722536</v>
      </c>
      <c r="Q115" s="68">
        <f t="shared" si="130"/>
        <v>-5.3508785229061484</v>
      </c>
    </row>
    <row r="116" spans="2:34" s="4" customFormat="1" x14ac:dyDescent="0.15">
      <c r="B116" s="48" t="s">
        <v>81</v>
      </c>
      <c r="C116" s="71">
        <f t="shared" ref="C116:Q116" si="131">SUM(C109:C115)</f>
        <v>42.5</v>
      </c>
      <c r="D116" s="71">
        <f t="shared" si="131"/>
        <v>58.27</v>
      </c>
      <c r="E116" s="71">
        <f t="shared" si="131"/>
        <v>63.680000000000014</v>
      </c>
      <c r="F116" s="71">
        <f t="shared" si="131"/>
        <v>61.820000000000022</v>
      </c>
      <c r="G116" s="71">
        <f t="shared" si="131"/>
        <v>30.40000000000002</v>
      </c>
      <c r="H116" s="67">
        <f t="shared" si="131"/>
        <v>27.756000000000014</v>
      </c>
      <c r="I116" s="67">
        <f t="shared" si="131"/>
        <v>25.098780000000012</v>
      </c>
      <c r="J116" s="67">
        <f t="shared" si="131"/>
        <v>22.428273900000011</v>
      </c>
      <c r="K116" s="67">
        <f t="shared" si="131"/>
        <v>19.744415269500006</v>
      </c>
      <c r="L116" s="67">
        <f t="shared" si="131"/>
        <v>17.047137345847506</v>
      </c>
      <c r="M116" s="67">
        <f t="shared" si="131"/>
        <v>14.336373032576745</v>
      </c>
      <c r="N116" s="67">
        <f t="shared" si="131"/>
        <v>11.612054897739631</v>
      </c>
      <c r="O116" s="67">
        <f t="shared" si="131"/>
        <v>8.8741151722283291</v>
      </c>
      <c r="P116" s="67">
        <f t="shared" si="131"/>
        <v>6.1224857480894723</v>
      </c>
      <c r="Q116" s="67">
        <f t="shared" si="131"/>
        <v>3.3570981768299237</v>
      </c>
    </row>
    <row r="117" spans="2:34" s="4" customFormat="1" x14ac:dyDescent="0.15">
      <c r="B117" s="38" t="s">
        <v>82</v>
      </c>
      <c r="C117" s="21">
        <v>18.989999999999998</v>
      </c>
      <c r="D117" s="21">
        <v>18.27</v>
      </c>
      <c r="E117" s="21">
        <v>25.82</v>
      </c>
      <c r="F117" s="21">
        <v>32.94</v>
      </c>
      <c r="G117" s="21">
        <v>33.74</v>
      </c>
      <c r="H117" s="68">
        <f>SUM(G117:G124)</f>
        <v>9.610000000000003</v>
      </c>
      <c r="I117" s="68">
        <f t="shared" ref="I117:Q117" si="132">SUM(H117:H124)</f>
        <v>8.0420000000000016</v>
      </c>
      <c r="J117" s="68">
        <f>SUM(I117:I124)</f>
        <v>6.4661600000000004</v>
      </c>
      <c r="K117" s="68">
        <f t="shared" si="132"/>
        <v>4.8824407999999977</v>
      </c>
      <c r="L117" s="68">
        <f t="shared" si="132"/>
        <v>3.2908030039999963</v>
      </c>
      <c r="M117" s="68">
        <f t="shared" si="132"/>
        <v>1.6912070190199939</v>
      </c>
      <c r="N117" s="68">
        <f t="shared" si="132"/>
        <v>8.3613054115092122E-2</v>
      </c>
      <c r="O117" s="68">
        <f t="shared" si="132"/>
        <v>-1.5320188806143331</v>
      </c>
      <c r="P117" s="68">
        <f t="shared" si="132"/>
        <v>-3.1557289750174027</v>
      </c>
      <c r="Q117" s="68">
        <f t="shared" si="132"/>
        <v>-4.787557619892489</v>
      </c>
    </row>
    <row r="118" spans="2:34" s="4" customFormat="1" x14ac:dyDescent="0.15">
      <c r="B118" s="38" t="s">
        <v>83</v>
      </c>
      <c r="C118" s="21">
        <v>8.73</v>
      </c>
      <c r="D118" s="21">
        <v>9.68</v>
      </c>
      <c r="E118" s="21">
        <v>11.13</v>
      </c>
      <c r="F118" s="21">
        <v>10.4</v>
      </c>
      <c r="G118" s="21">
        <v>7.15</v>
      </c>
      <c r="H118" s="68">
        <f>AVERAGE(C118:G118)</f>
        <v>9.4179999999999993</v>
      </c>
      <c r="I118" s="68">
        <f t="shared" ref="I118:Q119" si="133">H118*1.005</f>
        <v>9.4650899999999982</v>
      </c>
      <c r="J118" s="68">
        <f t="shared" si="133"/>
        <v>9.5124154499999971</v>
      </c>
      <c r="K118" s="68">
        <f t="shared" si="133"/>
        <v>9.5599775272499965</v>
      </c>
      <c r="L118" s="68">
        <f t="shared" si="133"/>
        <v>9.6077774148862449</v>
      </c>
      <c r="M118" s="68">
        <f t="shared" si="133"/>
        <v>9.6558163019606749</v>
      </c>
      <c r="N118" s="68">
        <f t="shared" si="133"/>
        <v>9.7040953834704773</v>
      </c>
      <c r="O118" s="68">
        <f t="shared" si="133"/>
        <v>9.752615860387829</v>
      </c>
      <c r="P118" s="68">
        <f t="shared" si="133"/>
        <v>9.8013789396897675</v>
      </c>
      <c r="Q118" s="68">
        <f t="shared" si="133"/>
        <v>9.8503858343882147</v>
      </c>
    </row>
    <row r="119" spans="2:34" s="4" customFormat="1" x14ac:dyDescent="0.15">
      <c r="B119" s="38" t="s">
        <v>381</v>
      </c>
      <c r="C119" s="21">
        <v>7.0000000000000007E-2</v>
      </c>
      <c r="D119" s="21">
        <v>0.1</v>
      </c>
      <c r="E119" s="21">
        <v>-0.11</v>
      </c>
      <c r="F119" s="21">
        <v>0.15</v>
      </c>
      <c r="G119" s="21">
        <v>0.21</v>
      </c>
      <c r="H119" s="68">
        <f>AVERAGE(C119:G119)</f>
        <v>8.4000000000000005E-2</v>
      </c>
      <c r="I119" s="68">
        <f t="shared" si="133"/>
        <v>8.4419999999999995E-2</v>
      </c>
      <c r="J119" s="68">
        <f t="shared" si="133"/>
        <v>8.484209999999999E-2</v>
      </c>
      <c r="K119" s="68">
        <f t="shared" si="133"/>
        <v>8.5266310499999984E-2</v>
      </c>
      <c r="L119" s="68">
        <f t="shared" si="133"/>
        <v>8.5692642052499976E-2</v>
      </c>
      <c r="M119" s="68">
        <f t="shared" si="133"/>
        <v>8.6121105262762468E-2</v>
      </c>
      <c r="N119" s="68">
        <f t="shared" si="133"/>
        <v>8.6551710789076267E-2</v>
      </c>
      <c r="O119" s="68">
        <f t="shared" si="133"/>
        <v>8.6984469343021634E-2</v>
      </c>
      <c r="P119" s="68">
        <f t="shared" si="133"/>
        <v>8.7419391689736739E-2</v>
      </c>
      <c r="Q119" s="68">
        <f t="shared" si="133"/>
        <v>8.7856488648185418E-2</v>
      </c>
    </row>
    <row r="120" spans="2:34" s="4" customFormat="1" x14ac:dyDescent="0.15">
      <c r="B120" s="38" t="s">
        <v>375</v>
      </c>
      <c r="C120" s="21">
        <v>0</v>
      </c>
      <c r="D120" s="21">
        <v>0</v>
      </c>
      <c r="E120" s="21">
        <v>0</v>
      </c>
      <c r="F120" s="21">
        <v>0</v>
      </c>
      <c r="G120" s="21">
        <v>-0.79</v>
      </c>
      <c r="H120" s="67">
        <v>0</v>
      </c>
      <c r="I120" s="67">
        <v>0</v>
      </c>
      <c r="J120" s="67">
        <v>0</v>
      </c>
      <c r="K120" s="67">
        <v>0</v>
      </c>
      <c r="L120" s="67">
        <v>0</v>
      </c>
      <c r="M120" s="67">
        <v>0</v>
      </c>
      <c r="N120" s="67">
        <v>0</v>
      </c>
      <c r="O120" s="67">
        <v>0</v>
      </c>
      <c r="P120" s="67">
        <v>0</v>
      </c>
      <c r="Q120" s="67">
        <v>0</v>
      </c>
    </row>
    <row r="121" spans="2:34" x14ac:dyDescent="0.15">
      <c r="B121" s="38" t="s">
        <v>376</v>
      </c>
      <c r="C121" s="21">
        <v>-6.43</v>
      </c>
      <c r="D121" s="21">
        <v>-2.33</v>
      </c>
      <c r="E121" s="21">
        <v>-5.1100000000000003</v>
      </c>
      <c r="F121" s="21">
        <v>-7.95</v>
      </c>
      <c r="G121" s="21">
        <v>-18.5</v>
      </c>
      <c r="H121" s="68">
        <f>AVERAGE(C121:G121)</f>
        <v>-8.0640000000000001</v>
      </c>
      <c r="I121" s="68">
        <f t="shared" ref="I121:Q121" si="134">H121*1.005</f>
        <v>-8.1043199999999995</v>
      </c>
      <c r="J121" s="68">
        <f t="shared" si="134"/>
        <v>-8.1448415999999995</v>
      </c>
      <c r="K121" s="68">
        <f t="shared" si="134"/>
        <v>-8.185565807999998</v>
      </c>
      <c r="L121" s="68">
        <f t="shared" si="134"/>
        <v>-8.2264936370399973</v>
      </c>
      <c r="M121" s="68">
        <f t="shared" si="134"/>
        <v>-8.2676261052251956</v>
      </c>
      <c r="N121" s="68">
        <f t="shared" si="134"/>
        <v>-8.3089642357513203</v>
      </c>
      <c r="O121" s="68">
        <f t="shared" si="134"/>
        <v>-8.3505090569300755</v>
      </c>
      <c r="P121" s="68">
        <f t="shared" si="134"/>
        <v>-8.3922616022147256</v>
      </c>
      <c r="Q121" s="68">
        <f t="shared" si="134"/>
        <v>-8.4342229102257988</v>
      </c>
    </row>
    <row r="122" spans="2:34" x14ac:dyDescent="0.15">
      <c r="B122" s="38" t="s">
        <v>380</v>
      </c>
      <c r="C122" s="21">
        <v>0</v>
      </c>
      <c r="D122" s="21">
        <v>0</v>
      </c>
      <c r="E122" s="21">
        <v>0</v>
      </c>
      <c r="F122" s="21">
        <v>0</v>
      </c>
      <c r="G122" s="21">
        <v>-0.75</v>
      </c>
      <c r="H122" s="68">
        <v>0</v>
      </c>
      <c r="I122" s="68">
        <v>0</v>
      </c>
      <c r="J122" s="68">
        <v>0</v>
      </c>
      <c r="K122" s="68">
        <v>0</v>
      </c>
      <c r="L122" s="68">
        <v>0</v>
      </c>
      <c r="M122" s="68">
        <v>0</v>
      </c>
      <c r="N122" s="68">
        <v>0</v>
      </c>
      <c r="O122" s="68">
        <v>0</v>
      </c>
      <c r="P122" s="68">
        <v>0</v>
      </c>
      <c r="Q122" s="68">
        <v>0</v>
      </c>
      <c r="W122" s="102"/>
      <c r="X122" s="102"/>
      <c r="Y122" s="102"/>
      <c r="Z122" s="102"/>
      <c r="AA122" s="102"/>
      <c r="AB122" s="76"/>
      <c r="AD122" s="76"/>
      <c r="AE122" s="76"/>
      <c r="AF122" s="76"/>
      <c r="AG122" s="45"/>
      <c r="AH122" s="45"/>
    </row>
    <row r="123" spans="2:34" x14ac:dyDescent="0.15">
      <c r="B123" s="38" t="s">
        <v>377</v>
      </c>
      <c r="C123" s="21">
        <v>7.0000000000000007E-2</v>
      </c>
      <c r="D123" s="21">
        <v>0.04</v>
      </c>
      <c r="E123" s="21">
        <v>0.26</v>
      </c>
      <c r="F123" s="21">
        <v>-0.16</v>
      </c>
      <c r="G123" s="21">
        <v>0.1</v>
      </c>
      <c r="H123" s="68">
        <f>AVERAGE(C123:G123)</f>
        <v>6.2E-2</v>
      </c>
      <c r="I123" s="68">
        <f t="shared" ref="I123:Q124" si="135">H123*1.005</f>
        <v>6.230999999999999E-2</v>
      </c>
      <c r="J123" s="68">
        <f t="shared" si="135"/>
        <v>6.2621549999999984E-2</v>
      </c>
      <c r="K123" s="68">
        <f t="shared" si="135"/>
        <v>6.2934657749999984E-2</v>
      </c>
      <c r="L123" s="68">
        <f t="shared" si="135"/>
        <v>6.3249331038749981E-2</v>
      </c>
      <c r="M123" s="68">
        <f t="shared" si="135"/>
        <v>6.356557769394372E-2</v>
      </c>
      <c r="N123" s="68">
        <f t="shared" si="135"/>
        <v>6.3883405582413427E-2</v>
      </c>
      <c r="O123" s="68">
        <f t="shared" si="135"/>
        <v>6.4202822610325491E-2</v>
      </c>
      <c r="P123" s="68">
        <f t="shared" si="135"/>
        <v>6.4523836723377109E-2</v>
      </c>
      <c r="Q123" s="68">
        <f t="shared" si="135"/>
        <v>6.4846455906993991E-2</v>
      </c>
      <c r="W123" s="102"/>
      <c r="X123" s="102"/>
      <c r="Y123" s="102"/>
      <c r="Z123" s="102"/>
      <c r="AA123" s="102"/>
      <c r="AB123" s="76"/>
      <c r="AD123" s="76"/>
      <c r="AE123" s="76"/>
      <c r="AF123" s="76"/>
      <c r="AG123" s="45"/>
      <c r="AH123" s="45"/>
    </row>
    <row r="124" spans="2:34" x14ac:dyDescent="0.15">
      <c r="B124" s="38" t="s">
        <v>378</v>
      </c>
      <c r="C124" s="21">
        <v>-3.16</v>
      </c>
      <c r="D124" s="21">
        <v>0.06</v>
      </c>
      <c r="E124" s="21">
        <v>0.95</v>
      </c>
      <c r="F124" s="21">
        <v>-1.64</v>
      </c>
      <c r="G124" s="21">
        <v>-11.55</v>
      </c>
      <c r="H124" s="68">
        <f>AVERAGE(C124:G124)</f>
        <v>-3.0680000000000001</v>
      </c>
      <c r="I124" s="68">
        <f t="shared" si="135"/>
        <v>-3.0833399999999997</v>
      </c>
      <c r="J124" s="68">
        <f t="shared" si="135"/>
        <v>-3.0987566999999996</v>
      </c>
      <c r="K124" s="68">
        <f t="shared" si="135"/>
        <v>-3.1142504834999993</v>
      </c>
      <c r="L124" s="68">
        <f t="shared" si="135"/>
        <v>-3.1298217359174991</v>
      </c>
      <c r="M124" s="68">
        <f t="shared" si="135"/>
        <v>-3.1454708445970865</v>
      </c>
      <c r="N124" s="68">
        <f t="shared" si="135"/>
        <v>-3.1611981988200717</v>
      </c>
      <c r="O124" s="68">
        <f t="shared" si="135"/>
        <v>-3.1770041898141717</v>
      </c>
      <c r="P124" s="68">
        <f t="shared" si="135"/>
        <v>-3.1928892107632421</v>
      </c>
      <c r="Q124" s="68">
        <f t="shared" si="135"/>
        <v>-3.208853656817058</v>
      </c>
      <c r="W124" s="102"/>
      <c r="X124" s="102"/>
      <c r="Y124" s="102"/>
      <c r="Z124" s="102"/>
      <c r="AA124" s="102"/>
      <c r="AB124" s="76"/>
      <c r="AD124" s="76"/>
      <c r="AE124" s="76"/>
      <c r="AF124" s="76"/>
      <c r="AG124" s="45"/>
      <c r="AH124" s="45"/>
    </row>
    <row r="125" spans="2:34" s="4" customFormat="1" ht="15" thickBot="1" x14ac:dyDescent="0.2">
      <c r="B125" s="48" t="s">
        <v>84</v>
      </c>
      <c r="C125" s="69">
        <f t="shared" ref="C125:Q125" si="136">C116-SUM(C117:C124)</f>
        <v>24.23</v>
      </c>
      <c r="D125" s="69">
        <f t="shared" si="136"/>
        <v>32.450000000000003</v>
      </c>
      <c r="E125" s="69">
        <f t="shared" si="136"/>
        <v>30.740000000000009</v>
      </c>
      <c r="F125" s="69">
        <f t="shared" si="136"/>
        <v>28.080000000000027</v>
      </c>
      <c r="G125" s="69">
        <f t="shared" si="136"/>
        <v>20.790000000000017</v>
      </c>
      <c r="H125" s="70">
        <f t="shared" si="136"/>
        <v>19.714000000000013</v>
      </c>
      <c r="I125" s="70">
        <f t="shared" si="136"/>
        <v>18.63262000000001</v>
      </c>
      <c r="J125" s="70">
        <f t="shared" si="136"/>
        <v>17.545833100000014</v>
      </c>
      <c r="K125" s="70">
        <f>K116-SUM(K117:K124)</f>
        <v>16.453612265500009</v>
      </c>
      <c r="L125" s="70">
        <f t="shared" si="136"/>
        <v>15.355930326827512</v>
      </c>
      <c r="M125" s="70">
        <f t="shared" si="136"/>
        <v>14.252759978461652</v>
      </c>
      <c r="N125" s="70">
        <f t="shared" si="136"/>
        <v>13.144073778353963</v>
      </c>
      <c r="O125" s="70">
        <f t="shared" si="136"/>
        <v>12.029844147245733</v>
      </c>
      <c r="P125" s="70">
        <f t="shared" si="136"/>
        <v>10.910043367981961</v>
      </c>
      <c r="Q125" s="70">
        <f t="shared" si="136"/>
        <v>9.7846435848218754</v>
      </c>
    </row>
    <row r="126" spans="2:34" ht="15" thickTop="1" x14ac:dyDescent="0.15">
      <c r="B126" s="38"/>
      <c r="C126" s="72"/>
      <c r="D126" s="72"/>
      <c r="E126" s="72"/>
      <c r="F126" s="72"/>
      <c r="G126" s="72"/>
      <c r="H126" s="68"/>
      <c r="I126" s="68"/>
      <c r="J126" s="68"/>
      <c r="K126" s="68"/>
      <c r="L126" s="68"/>
      <c r="M126" s="68"/>
      <c r="N126" s="68"/>
      <c r="O126" s="68"/>
      <c r="P126" s="68"/>
      <c r="Q126" s="68"/>
    </row>
    <row r="127" spans="2:34" x14ac:dyDescent="0.15">
      <c r="B127" s="403" t="s">
        <v>88</v>
      </c>
      <c r="C127" s="72"/>
      <c r="D127" s="72"/>
      <c r="E127" s="72"/>
      <c r="F127" s="72"/>
      <c r="G127" s="72"/>
      <c r="H127" s="68"/>
      <c r="I127" s="68"/>
      <c r="J127" s="68"/>
      <c r="K127" s="68"/>
      <c r="L127" s="68"/>
      <c r="M127" s="68"/>
      <c r="N127" s="68"/>
      <c r="O127" s="68"/>
      <c r="P127" s="68"/>
      <c r="Q127" s="68"/>
    </row>
    <row r="128" spans="2:34" s="4" customFormat="1" x14ac:dyDescent="0.15">
      <c r="B128" s="48" t="s">
        <v>79</v>
      </c>
      <c r="C128" s="66">
        <v>29.77</v>
      </c>
      <c r="D128" s="66">
        <f t="shared" ref="D128:G128" si="137">C136</f>
        <v>33.090000000000003</v>
      </c>
      <c r="E128" s="66">
        <f t="shared" si="137"/>
        <v>36.120000000000005</v>
      </c>
      <c r="F128" s="66">
        <f t="shared" si="137"/>
        <v>41.39</v>
      </c>
      <c r="G128" s="66">
        <f t="shared" si="137"/>
        <v>51.06</v>
      </c>
      <c r="H128" s="67">
        <f t="shared" ref="H128" si="138">G136</f>
        <v>46.77</v>
      </c>
      <c r="I128" s="67">
        <f t="shared" ref="I128" si="139">H136</f>
        <v>50.332000000000001</v>
      </c>
      <c r="J128" s="67">
        <f t="shared" ref="J128" si="140">I136</f>
        <v>53.911810000000003</v>
      </c>
      <c r="K128" s="67">
        <f t="shared" ref="K128" si="141">J136</f>
        <v>57.509519050000009</v>
      </c>
      <c r="L128" s="67">
        <f t="shared" ref="L128" si="142">K136</f>
        <v>61.125216645250006</v>
      </c>
      <c r="M128" s="67">
        <f t="shared" ref="M128" si="143">L136</f>
        <v>64.758992728476258</v>
      </c>
      <c r="N128" s="67">
        <f t="shared" ref="N128" si="144">M136</f>
        <v>68.410937692118637</v>
      </c>
      <c r="O128" s="67">
        <f t="shared" ref="O128" si="145">N136</f>
        <v>72.081142380579223</v>
      </c>
      <c r="P128" s="67">
        <f t="shared" ref="P128" si="146">O136</f>
        <v>75.769698092482116</v>
      </c>
      <c r="Q128" s="67">
        <f t="shared" ref="Q128" si="147">P136</f>
        <v>79.476696582944513</v>
      </c>
    </row>
    <row r="129" spans="2:34" s="4" customFormat="1" x14ac:dyDescent="0.15">
      <c r="B129" s="38" t="s">
        <v>80</v>
      </c>
      <c r="C129" s="21">
        <v>3.34</v>
      </c>
      <c r="D129" s="21">
        <v>3.68</v>
      </c>
      <c r="E129" s="21">
        <v>3.4</v>
      </c>
      <c r="F129" s="21">
        <v>9.2100000000000009</v>
      </c>
      <c r="G129" s="21">
        <v>3.68</v>
      </c>
      <c r="H129" s="68">
        <f>AVERAGE(C129:G129)</f>
        <v>4.6620000000000008</v>
      </c>
      <c r="I129" s="68">
        <f t="shared" ref="I129:Q129" si="148">H129*1.005</f>
        <v>4.6853100000000003</v>
      </c>
      <c r="J129" s="68">
        <f t="shared" si="148"/>
        <v>4.7087365500000002</v>
      </c>
      <c r="K129" s="68">
        <f t="shared" si="148"/>
        <v>4.73228023275</v>
      </c>
      <c r="L129" s="68">
        <f t="shared" si="148"/>
        <v>4.7559416339137499</v>
      </c>
      <c r="M129" s="68">
        <f t="shared" si="148"/>
        <v>4.7797213420833184</v>
      </c>
      <c r="N129" s="68">
        <f t="shared" si="148"/>
        <v>4.8036199487937346</v>
      </c>
      <c r="O129" s="68">
        <f t="shared" si="148"/>
        <v>4.8276380485377031</v>
      </c>
      <c r="P129" s="68">
        <f t="shared" si="148"/>
        <v>4.8517762387803911</v>
      </c>
      <c r="Q129" s="68">
        <f t="shared" si="148"/>
        <v>4.8760351199742926</v>
      </c>
    </row>
    <row r="130" spans="2:34" s="4" customFormat="1" x14ac:dyDescent="0.15">
      <c r="B130" s="38" t="s">
        <v>375</v>
      </c>
      <c r="C130" s="21">
        <v>0</v>
      </c>
      <c r="D130" s="21">
        <v>0</v>
      </c>
      <c r="E130" s="21">
        <v>0</v>
      </c>
      <c r="F130" s="21">
        <v>0</v>
      </c>
      <c r="G130" s="21">
        <v>-1.1599999999999999</v>
      </c>
      <c r="H130" s="67"/>
      <c r="I130" s="67"/>
      <c r="J130" s="67"/>
      <c r="K130" s="67"/>
      <c r="L130" s="67"/>
      <c r="M130" s="67"/>
      <c r="N130" s="67"/>
      <c r="O130" s="67"/>
      <c r="P130" s="67"/>
      <c r="Q130" s="67"/>
    </row>
    <row r="131" spans="2:34" s="4" customFormat="1" x14ac:dyDescent="0.15">
      <c r="B131" s="38" t="s">
        <v>376</v>
      </c>
      <c r="C131" s="21">
        <v>-0.16</v>
      </c>
      <c r="D131" s="21">
        <v>-0.15</v>
      </c>
      <c r="E131" s="21">
        <v>-0.42</v>
      </c>
      <c r="F131" s="21">
        <v>-2</v>
      </c>
      <c r="G131" s="21">
        <v>-4.95</v>
      </c>
      <c r="H131" s="68">
        <f>AVERAGE(C131:G131)</f>
        <v>-1.536</v>
      </c>
      <c r="I131" s="68">
        <f t="shared" ref="I131:Q132" si="149">H131*1.005</f>
        <v>-1.5436799999999999</v>
      </c>
      <c r="J131" s="68">
        <f t="shared" si="149"/>
        <v>-1.5513983999999998</v>
      </c>
      <c r="K131" s="68">
        <f t="shared" si="149"/>
        <v>-1.5591553919999996</v>
      </c>
      <c r="L131" s="68">
        <f t="shared" si="149"/>
        <v>-1.5669511689599995</v>
      </c>
      <c r="M131" s="68">
        <f t="shared" si="149"/>
        <v>-1.5747859248047993</v>
      </c>
      <c r="N131" s="68">
        <f t="shared" si="149"/>
        <v>-1.5826598544288231</v>
      </c>
      <c r="O131" s="68">
        <f t="shared" si="149"/>
        <v>-1.5905731537009671</v>
      </c>
      <c r="P131" s="68">
        <f t="shared" si="149"/>
        <v>-1.5985260194694717</v>
      </c>
      <c r="Q131" s="68">
        <f t="shared" si="149"/>
        <v>-1.6065186495668189</v>
      </c>
    </row>
    <row r="132" spans="2:34" x14ac:dyDescent="0.15">
      <c r="B132" s="38" t="s">
        <v>377</v>
      </c>
      <c r="C132" s="21">
        <v>1.1299999999999999</v>
      </c>
      <c r="D132" s="21">
        <v>0.33</v>
      </c>
      <c r="E132" s="21">
        <v>2.31</v>
      </c>
      <c r="F132" s="21">
        <v>4.5599999999999996</v>
      </c>
      <c r="G132" s="21">
        <v>1.75</v>
      </c>
      <c r="H132" s="68">
        <f>AVERAGE(C132:G132)</f>
        <v>2.016</v>
      </c>
      <c r="I132" s="68">
        <f t="shared" si="149"/>
        <v>2.0260799999999999</v>
      </c>
      <c r="J132" s="68">
        <f t="shared" si="149"/>
        <v>2.0362103999999999</v>
      </c>
      <c r="K132" s="68">
        <f t="shared" si="149"/>
        <v>2.0463914519999995</v>
      </c>
      <c r="L132" s="68">
        <f t="shared" si="149"/>
        <v>2.0566234092599993</v>
      </c>
      <c r="M132" s="68">
        <f t="shared" si="149"/>
        <v>2.0669065263062989</v>
      </c>
      <c r="N132" s="68">
        <f t="shared" si="149"/>
        <v>2.0772410589378301</v>
      </c>
      <c r="O132" s="68">
        <f t="shared" si="149"/>
        <v>2.0876272642325189</v>
      </c>
      <c r="P132" s="68">
        <f t="shared" si="149"/>
        <v>2.0980654005536814</v>
      </c>
      <c r="Q132" s="68">
        <f t="shared" si="149"/>
        <v>2.1085557275564497</v>
      </c>
      <c r="W132" s="102"/>
      <c r="X132" s="102"/>
      <c r="Y132" s="102"/>
      <c r="Z132" s="102"/>
      <c r="AA132" s="102"/>
      <c r="AB132" s="76"/>
      <c r="AD132" s="76"/>
      <c r="AE132" s="76"/>
      <c r="AF132" s="76"/>
      <c r="AG132" s="45"/>
      <c r="AH132" s="45"/>
    </row>
    <row r="133" spans="2:34" x14ac:dyDescent="0.15">
      <c r="B133" s="38" t="s">
        <v>383</v>
      </c>
      <c r="C133" s="21">
        <v>0</v>
      </c>
      <c r="D133" s="21">
        <v>0</v>
      </c>
      <c r="E133" s="21">
        <v>0</v>
      </c>
      <c r="F133" s="21">
        <v>0</v>
      </c>
      <c r="G133" s="21">
        <v>0.6</v>
      </c>
      <c r="H133" s="68">
        <v>0</v>
      </c>
      <c r="I133" s="68">
        <v>0</v>
      </c>
      <c r="J133" s="68">
        <v>0</v>
      </c>
      <c r="K133" s="68">
        <v>0</v>
      </c>
      <c r="L133" s="68">
        <v>0</v>
      </c>
      <c r="M133" s="68">
        <v>0</v>
      </c>
      <c r="N133" s="68">
        <v>0</v>
      </c>
      <c r="O133" s="68">
        <v>0</v>
      </c>
      <c r="P133" s="68">
        <v>0</v>
      </c>
      <c r="Q133" s="68">
        <v>0</v>
      </c>
      <c r="W133" s="102"/>
      <c r="X133" s="102"/>
      <c r="Y133" s="102"/>
      <c r="Z133" s="102"/>
      <c r="AA133" s="102"/>
      <c r="AB133" s="76"/>
      <c r="AD133" s="76"/>
      <c r="AE133" s="76"/>
      <c r="AF133" s="76"/>
      <c r="AG133" s="45"/>
      <c r="AH133" s="45"/>
    </row>
    <row r="134" spans="2:34" x14ac:dyDescent="0.15">
      <c r="B134" s="38" t="s">
        <v>380</v>
      </c>
      <c r="C134" s="21">
        <v>0</v>
      </c>
      <c r="D134" s="21">
        <v>0</v>
      </c>
      <c r="E134" s="21">
        <v>0</v>
      </c>
      <c r="F134" s="21">
        <v>0</v>
      </c>
      <c r="G134" s="21">
        <v>-0.25</v>
      </c>
      <c r="H134" s="68"/>
      <c r="I134" s="68"/>
      <c r="J134" s="68"/>
      <c r="K134" s="68"/>
      <c r="L134" s="68"/>
      <c r="M134" s="68"/>
      <c r="N134" s="68"/>
      <c r="O134" s="68"/>
      <c r="P134" s="68"/>
      <c r="Q134" s="68"/>
      <c r="W134" s="102"/>
      <c r="X134" s="102"/>
      <c r="Y134" s="102"/>
      <c r="Z134" s="102"/>
      <c r="AA134" s="102"/>
      <c r="AB134" s="76"/>
      <c r="AD134" s="76"/>
      <c r="AE134" s="76"/>
      <c r="AF134" s="76"/>
      <c r="AG134" s="45"/>
      <c r="AH134" s="45"/>
    </row>
    <row r="135" spans="2:34" x14ac:dyDescent="0.15">
      <c r="B135" s="38" t="s">
        <v>378</v>
      </c>
      <c r="C135" s="21">
        <v>-0.99</v>
      </c>
      <c r="D135" s="21">
        <v>-0.83</v>
      </c>
      <c r="E135" s="21">
        <v>-0.02</v>
      </c>
      <c r="F135" s="21">
        <v>-2.1</v>
      </c>
      <c r="G135" s="21">
        <v>-3.96</v>
      </c>
      <c r="H135" s="68">
        <f>AVERAGE(C135:G135)</f>
        <v>-1.58</v>
      </c>
      <c r="I135" s="68">
        <f t="shared" ref="I135:Q135" si="150">H135*1.005</f>
        <v>-1.5878999999999999</v>
      </c>
      <c r="J135" s="68">
        <f t="shared" si="150"/>
        <v>-1.5958394999999996</v>
      </c>
      <c r="K135" s="68">
        <f t="shared" si="150"/>
        <v>-1.6038186974999995</v>
      </c>
      <c r="L135" s="68">
        <f t="shared" si="150"/>
        <v>-1.6118377909874992</v>
      </c>
      <c r="M135" s="68">
        <f t="shared" si="150"/>
        <v>-1.6198969799424365</v>
      </c>
      <c r="N135" s="68">
        <f t="shared" si="150"/>
        <v>-1.6279964648421485</v>
      </c>
      <c r="O135" s="68">
        <f t="shared" si="150"/>
        <v>-1.6361364471663591</v>
      </c>
      <c r="P135" s="68">
        <f t="shared" si="150"/>
        <v>-1.6443171294021908</v>
      </c>
      <c r="Q135" s="68">
        <f t="shared" si="150"/>
        <v>-1.6525387150492015</v>
      </c>
      <c r="W135" s="102"/>
      <c r="X135" s="102"/>
      <c r="Y135" s="102"/>
      <c r="Z135" s="102"/>
      <c r="AA135" s="102"/>
      <c r="AB135" s="76"/>
      <c r="AD135" s="76"/>
      <c r="AE135" s="76"/>
      <c r="AF135" s="76"/>
      <c r="AG135" s="45"/>
      <c r="AH135" s="45"/>
    </row>
    <row r="136" spans="2:34" s="4" customFormat="1" x14ac:dyDescent="0.15">
      <c r="B136" s="48" t="s">
        <v>81</v>
      </c>
      <c r="C136" s="71">
        <f t="shared" ref="C136:Q136" si="151">SUM(C128:C135)</f>
        <v>33.090000000000003</v>
      </c>
      <c r="D136" s="71">
        <f t="shared" si="151"/>
        <v>36.120000000000005</v>
      </c>
      <c r="E136" s="71">
        <f t="shared" si="151"/>
        <v>41.39</v>
      </c>
      <c r="F136" s="71">
        <f t="shared" si="151"/>
        <v>51.06</v>
      </c>
      <c r="G136" s="71">
        <f t="shared" si="151"/>
        <v>46.77</v>
      </c>
      <c r="H136" s="67">
        <f t="shared" si="151"/>
        <v>50.332000000000001</v>
      </c>
      <c r="I136" s="67">
        <f t="shared" si="151"/>
        <v>53.911810000000003</v>
      </c>
      <c r="J136" s="67">
        <f t="shared" si="151"/>
        <v>57.509519050000009</v>
      </c>
      <c r="K136" s="67">
        <f t="shared" si="151"/>
        <v>61.125216645250006</v>
      </c>
      <c r="L136" s="67">
        <f t="shared" si="151"/>
        <v>64.758992728476258</v>
      </c>
      <c r="M136" s="67">
        <f t="shared" si="151"/>
        <v>68.410937692118637</v>
      </c>
      <c r="N136" s="67">
        <f t="shared" si="151"/>
        <v>72.081142380579223</v>
      </c>
      <c r="O136" s="67">
        <f t="shared" si="151"/>
        <v>75.769698092482116</v>
      </c>
      <c r="P136" s="67">
        <f t="shared" si="151"/>
        <v>79.476696582944513</v>
      </c>
      <c r="Q136" s="67">
        <f t="shared" si="151"/>
        <v>83.202230065859226</v>
      </c>
    </row>
    <row r="137" spans="2:34" s="4" customFormat="1" x14ac:dyDescent="0.15">
      <c r="B137" s="38" t="s">
        <v>82</v>
      </c>
      <c r="C137" s="21">
        <v>10.07</v>
      </c>
      <c r="D137" s="21">
        <v>14.01</v>
      </c>
      <c r="E137" s="21">
        <v>18.11</v>
      </c>
      <c r="F137" s="21">
        <v>23.85</v>
      </c>
      <c r="G137" s="21">
        <v>26.85</v>
      </c>
      <c r="H137" s="68">
        <f>SUM(G137:G144)</f>
        <v>25.740000000000002</v>
      </c>
      <c r="I137" s="68">
        <f t="shared" ref="H137:Q137" si="152">SUM(H137:H144)</f>
        <v>29.140000000000004</v>
      </c>
      <c r="J137" s="68">
        <f t="shared" si="152"/>
        <v>32.556999999999995</v>
      </c>
      <c r="K137" s="68">
        <f t="shared" si="152"/>
        <v>35.991084999999991</v>
      </c>
      <c r="L137" s="68">
        <f t="shared" si="152"/>
        <v>39.442340424999998</v>
      </c>
      <c r="M137" s="68">
        <f t="shared" si="152"/>
        <v>42.910852127124997</v>
      </c>
      <c r="N137" s="68">
        <f t="shared" si="152"/>
        <v>46.396706387760617</v>
      </c>
      <c r="O137" s="68">
        <f t="shared" si="152"/>
        <v>49.899989919699429</v>
      </c>
      <c r="P137" s="68">
        <f t="shared" si="152"/>
        <v>53.420789869297927</v>
      </c>
      <c r="Q137" s="68">
        <f t="shared" si="152"/>
        <v>56.959193818644415</v>
      </c>
    </row>
    <row r="138" spans="2:34" s="4" customFormat="1" x14ac:dyDescent="0.15">
      <c r="B138" s="38" t="s">
        <v>83</v>
      </c>
      <c r="C138" s="21">
        <v>3.97</v>
      </c>
      <c r="D138" s="21">
        <v>4.09</v>
      </c>
      <c r="E138" s="21">
        <v>4.29</v>
      </c>
      <c r="F138" s="21">
        <v>4.3499999999999996</v>
      </c>
      <c r="G138" s="21">
        <v>4.2699999999999996</v>
      </c>
      <c r="H138" s="68">
        <f>AVERAGE(C138:G138)</f>
        <v>4.1940000000000008</v>
      </c>
      <c r="I138" s="68">
        <f t="shared" ref="I138:Q139" si="153">H138*1.005</f>
        <v>4.2149700000000001</v>
      </c>
      <c r="J138" s="68">
        <f t="shared" si="153"/>
        <v>4.2360448499999999</v>
      </c>
      <c r="K138" s="68">
        <f t="shared" si="153"/>
        <v>4.2572250742499991</v>
      </c>
      <c r="L138" s="68">
        <f t="shared" si="153"/>
        <v>4.2785111996212484</v>
      </c>
      <c r="M138" s="68">
        <f t="shared" si="153"/>
        <v>4.2999037556193542</v>
      </c>
      <c r="N138" s="68">
        <f t="shared" si="153"/>
        <v>4.3214032743974506</v>
      </c>
      <c r="O138" s="68">
        <f t="shared" si="153"/>
        <v>4.3430102907694375</v>
      </c>
      <c r="P138" s="68">
        <f t="shared" si="153"/>
        <v>4.3647253422232843</v>
      </c>
      <c r="Q138" s="68">
        <f t="shared" si="153"/>
        <v>4.3865489689344006</v>
      </c>
    </row>
    <row r="139" spans="2:34" s="4" customFormat="1" x14ac:dyDescent="0.15">
      <c r="B139" s="38" t="s">
        <v>381</v>
      </c>
      <c r="C139" s="21">
        <v>0.36</v>
      </c>
      <c r="D139" s="21">
        <v>0.38</v>
      </c>
      <c r="E139" s="21">
        <v>0.54</v>
      </c>
      <c r="F139" s="21">
        <v>0.72</v>
      </c>
      <c r="G139" s="21">
        <v>1.1100000000000001</v>
      </c>
      <c r="H139" s="68">
        <f>AVERAGE(C139:G139)</f>
        <v>0.62200000000000011</v>
      </c>
      <c r="I139" s="68">
        <f t="shared" si="153"/>
        <v>0.62511000000000005</v>
      </c>
      <c r="J139" s="68">
        <f t="shared" si="153"/>
        <v>0.62823554999999998</v>
      </c>
      <c r="K139" s="68">
        <f t="shared" si="153"/>
        <v>0.63137672774999987</v>
      </c>
      <c r="L139" s="68">
        <f t="shared" si="153"/>
        <v>0.63453361138874975</v>
      </c>
      <c r="M139" s="68">
        <f t="shared" si="153"/>
        <v>0.63770627944569347</v>
      </c>
      <c r="N139" s="68">
        <f t="shared" si="153"/>
        <v>0.64089481084292188</v>
      </c>
      <c r="O139" s="68">
        <f t="shared" si="153"/>
        <v>0.64409928489713641</v>
      </c>
      <c r="P139" s="68">
        <f t="shared" si="153"/>
        <v>0.64731978132162205</v>
      </c>
      <c r="Q139" s="68">
        <f t="shared" si="153"/>
        <v>0.65055638022823004</v>
      </c>
    </row>
    <row r="140" spans="2:34" x14ac:dyDescent="0.15">
      <c r="B140" s="38" t="s">
        <v>375</v>
      </c>
      <c r="C140" s="21">
        <v>0</v>
      </c>
      <c r="D140" s="21">
        <v>0</v>
      </c>
      <c r="E140" s="21">
        <v>0</v>
      </c>
      <c r="F140" s="21">
        <v>0</v>
      </c>
      <c r="G140" s="21">
        <v>-1.1299999999999999</v>
      </c>
      <c r="H140" s="68">
        <v>0</v>
      </c>
      <c r="I140" s="68">
        <v>0</v>
      </c>
      <c r="J140" s="68">
        <v>0</v>
      </c>
      <c r="K140" s="68">
        <v>0</v>
      </c>
      <c r="L140" s="68">
        <v>0</v>
      </c>
      <c r="M140" s="68">
        <v>0</v>
      </c>
      <c r="N140" s="68">
        <v>0</v>
      </c>
      <c r="O140" s="68">
        <v>0</v>
      </c>
      <c r="P140" s="68">
        <v>0</v>
      </c>
      <c r="Q140" s="68">
        <v>0</v>
      </c>
    </row>
    <row r="141" spans="2:34" x14ac:dyDescent="0.15">
      <c r="B141" s="38" t="s">
        <v>376</v>
      </c>
      <c r="C141" s="21">
        <v>-0.16</v>
      </c>
      <c r="D141" s="21">
        <v>-0.15</v>
      </c>
      <c r="E141" s="21">
        <v>-0.42</v>
      </c>
      <c r="F141" s="21">
        <v>-1.69</v>
      </c>
      <c r="G141" s="21">
        <v>-3.96</v>
      </c>
      <c r="H141" s="68">
        <f>AVERAGE(C141:G141)</f>
        <v>-1.276</v>
      </c>
      <c r="I141" s="68">
        <f t="shared" ref="I141:Q141" si="154">H141*1.005</f>
        <v>-1.2823799999999999</v>
      </c>
      <c r="J141" s="68">
        <f t="shared" si="154"/>
        <v>-1.2887918999999997</v>
      </c>
      <c r="K141" s="68">
        <f t="shared" si="154"/>
        <v>-1.2952358594999995</v>
      </c>
      <c r="L141" s="68">
        <f t="shared" si="154"/>
        <v>-1.3017120387974994</v>
      </c>
      <c r="M141" s="68">
        <f t="shared" si="154"/>
        <v>-1.3082205989914868</v>
      </c>
      <c r="N141" s="68">
        <f t="shared" si="154"/>
        <v>-1.3147617019864442</v>
      </c>
      <c r="O141" s="68">
        <f t="shared" si="154"/>
        <v>-1.3213355104963762</v>
      </c>
      <c r="P141" s="68">
        <f t="shared" si="154"/>
        <v>-1.327942188048858</v>
      </c>
      <c r="Q141" s="68">
        <f t="shared" si="154"/>
        <v>-1.3345818989891021</v>
      </c>
      <c r="W141" s="102"/>
      <c r="X141" s="102"/>
      <c r="Y141" s="102"/>
      <c r="Z141" s="102"/>
      <c r="AA141" s="102"/>
      <c r="AB141" s="76"/>
      <c r="AD141" s="76"/>
      <c r="AE141" s="76"/>
      <c r="AF141" s="76"/>
      <c r="AG141" s="45"/>
      <c r="AH141" s="45"/>
    </row>
    <row r="142" spans="2:34" x14ac:dyDescent="0.15">
      <c r="B142" s="38" t="s">
        <v>380</v>
      </c>
      <c r="C142" s="21">
        <v>0</v>
      </c>
      <c r="D142" s="21">
        <v>0</v>
      </c>
      <c r="E142" s="21">
        <v>0</v>
      </c>
      <c r="F142" s="21">
        <v>0</v>
      </c>
      <c r="G142" s="21">
        <v>-0.2</v>
      </c>
      <c r="H142" s="68">
        <v>0</v>
      </c>
      <c r="I142" s="68">
        <v>0</v>
      </c>
      <c r="J142" s="68">
        <v>0</v>
      </c>
      <c r="K142" s="68">
        <v>0</v>
      </c>
      <c r="L142" s="68">
        <v>0</v>
      </c>
      <c r="M142" s="68">
        <v>0</v>
      </c>
      <c r="N142" s="68">
        <v>0</v>
      </c>
      <c r="O142" s="68">
        <v>0</v>
      </c>
      <c r="P142" s="68">
        <v>0</v>
      </c>
      <c r="Q142" s="68">
        <v>0</v>
      </c>
      <c r="W142" s="102"/>
      <c r="X142" s="102"/>
      <c r="Y142" s="102"/>
      <c r="Z142" s="102"/>
      <c r="AA142" s="102"/>
      <c r="AB142" s="76"/>
      <c r="AD142" s="76"/>
      <c r="AE142" s="76"/>
      <c r="AF142" s="76"/>
      <c r="AG142" s="45"/>
      <c r="AH142" s="45"/>
    </row>
    <row r="143" spans="2:34" x14ac:dyDescent="0.15">
      <c r="B143" s="38" t="s">
        <v>377</v>
      </c>
      <c r="C143" s="21">
        <v>0.38</v>
      </c>
      <c r="D143" s="21">
        <v>0.08</v>
      </c>
      <c r="E143" s="21">
        <v>1.3</v>
      </c>
      <c r="F143" s="21">
        <v>0.35</v>
      </c>
      <c r="G143" s="21">
        <v>0.13</v>
      </c>
      <c r="H143" s="68">
        <f>AVERAGE(C143:G143)</f>
        <v>0.44799999999999995</v>
      </c>
      <c r="I143" s="68">
        <f t="shared" ref="I143:Q144" si="155">H143*1.005</f>
        <v>0.45023999999999992</v>
      </c>
      <c r="J143" s="68">
        <f t="shared" si="155"/>
        <v>0.45249119999999987</v>
      </c>
      <c r="K143" s="68">
        <f t="shared" si="155"/>
        <v>0.45475365599999984</v>
      </c>
      <c r="L143" s="68">
        <f t="shared" si="155"/>
        <v>0.45702742427999982</v>
      </c>
      <c r="M143" s="68">
        <f t="shared" si="155"/>
        <v>0.45931256140139975</v>
      </c>
      <c r="N143" s="68">
        <f t="shared" si="155"/>
        <v>0.46160912420840672</v>
      </c>
      <c r="O143" s="68">
        <f t="shared" si="155"/>
        <v>0.46391716982944869</v>
      </c>
      <c r="P143" s="68">
        <f t="shared" si="155"/>
        <v>0.4662367556785959</v>
      </c>
      <c r="Q143" s="68">
        <f t="shared" si="155"/>
        <v>0.46856793945698882</v>
      </c>
      <c r="W143" s="102"/>
      <c r="X143" s="102"/>
      <c r="Y143" s="102"/>
      <c r="Z143" s="102"/>
      <c r="AA143" s="102"/>
      <c r="AB143" s="76"/>
      <c r="AD143" s="76"/>
      <c r="AE143" s="76"/>
      <c r="AF143" s="76"/>
      <c r="AG143" s="45"/>
      <c r="AH143" s="45"/>
    </row>
    <row r="144" spans="2:34" x14ac:dyDescent="0.15">
      <c r="B144" s="38" t="s">
        <v>378</v>
      </c>
      <c r="C144" s="21">
        <v>-0.61</v>
      </c>
      <c r="D144" s="21">
        <v>-0.3</v>
      </c>
      <c r="E144" s="21">
        <v>0.03</v>
      </c>
      <c r="F144" s="21">
        <v>-0.73</v>
      </c>
      <c r="G144" s="21">
        <v>-1.33</v>
      </c>
      <c r="H144" s="68">
        <f>AVERAGE(C144:G144)</f>
        <v>-0.58799999999999997</v>
      </c>
      <c r="I144" s="68">
        <f t="shared" si="155"/>
        <v>-0.59093999999999991</v>
      </c>
      <c r="J144" s="68">
        <f t="shared" si="155"/>
        <v>-0.59389469999999989</v>
      </c>
      <c r="K144" s="68">
        <f t="shared" si="155"/>
        <v>-0.59686417349999987</v>
      </c>
      <c r="L144" s="68">
        <f t="shared" si="155"/>
        <v>-0.59984849436749976</v>
      </c>
      <c r="M144" s="68">
        <f t="shared" si="155"/>
        <v>-0.60284773683933723</v>
      </c>
      <c r="N144" s="68">
        <f t="shared" si="155"/>
        <v>-0.60586197552353382</v>
      </c>
      <c r="O144" s="68">
        <f t="shared" si="155"/>
        <v>-0.60889128540115145</v>
      </c>
      <c r="P144" s="68">
        <f t="shared" si="155"/>
        <v>-0.61193574182815713</v>
      </c>
      <c r="Q144" s="68">
        <f t="shared" si="155"/>
        <v>-0.61499542053729783</v>
      </c>
      <c r="W144" s="102"/>
      <c r="X144" s="102"/>
      <c r="Y144" s="102"/>
      <c r="Z144" s="102"/>
      <c r="AA144" s="102"/>
      <c r="AB144" s="76"/>
      <c r="AD144" s="76"/>
      <c r="AE144" s="76"/>
      <c r="AF144" s="76"/>
      <c r="AG144" s="45"/>
      <c r="AH144" s="45"/>
    </row>
    <row r="145" spans="2:34" s="4" customFormat="1" ht="15" thickBot="1" x14ac:dyDescent="0.2">
      <c r="B145" s="48" t="s">
        <v>84</v>
      </c>
      <c r="C145" s="69">
        <f>C136-SUM(C137:C144)</f>
        <v>19.080000000000002</v>
      </c>
      <c r="D145" s="69">
        <f t="shared" ref="D145:Q145" si="156">D136-SUM(D137:D144)</f>
        <v>18.010000000000005</v>
      </c>
      <c r="E145" s="69">
        <f t="shared" si="156"/>
        <v>17.540000000000003</v>
      </c>
      <c r="F145" s="69">
        <f t="shared" si="156"/>
        <v>24.21</v>
      </c>
      <c r="G145" s="69">
        <f t="shared" si="156"/>
        <v>21.03</v>
      </c>
      <c r="H145" s="70">
        <f t="shared" si="156"/>
        <v>21.191999999999997</v>
      </c>
      <c r="I145" s="70">
        <f t="shared" si="156"/>
        <v>21.354810000000008</v>
      </c>
      <c r="J145" s="70">
        <f t="shared" si="156"/>
        <v>21.518434050000018</v>
      </c>
      <c r="K145" s="70">
        <f t="shared" si="156"/>
        <v>21.682876220250009</v>
      </c>
      <c r="L145" s="70">
        <f t="shared" si="156"/>
        <v>21.848140601351261</v>
      </c>
      <c r="M145" s="70">
        <f t="shared" si="156"/>
        <v>22.01423130435802</v>
      </c>
      <c r="N145" s="70">
        <f t="shared" si="156"/>
        <v>22.181152460879794</v>
      </c>
      <c r="O145" s="70">
        <f t="shared" si="156"/>
        <v>22.348908223184189</v>
      </c>
      <c r="P145" s="70">
        <f t="shared" si="156"/>
        <v>22.517502764300097</v>
      </c>
      <c r="Q145" s="70">
        <f t="shared" si="156"/>
        <v>22.68694027812159</v>
      </c>
    </row>
    <row r="146" spans="2:34" ht="15" thickTop="1" x14ac:dyDescent="0.15">
      <c r="B146" s="38"/>
      <c r="C146" s="72"/>
      <c r="D146" s="72"/>
      <c r="E146" s="72"/>
      <c r="F146" s="72"/>
      <c r="G146" s="72"/>
      <c r="H146" s="68"/>
      <c r="I146" s="68"/>
      <c r="J146" s="68"/>
      <c r="K146" s="68"/>
      <c r="L146" s="68"/>
      <c r="M146" s="68"/>
      <c r="N146" s="68"/>
      <c r="O146" s="68"/>
      <c r="P146" s="68"/>
      <c r="Q146" s="68"/>
    </row>
    <row r="147" spans="2:34" x14ac:dyDescent="0.15">
      <c r="B147" s="403" t="s">
        <v>325</v>
      </c>
      <c r="C147" s="72"/>
      <c r="D147" s="72"/>
      <c r="E147" s="72"/>
      <c r="F147" s="72"/>
      <c r="G147" s="72"/>
      <c r="H147" s="68"/>
      <c r="I147" s="68"/>
      <c r="J147" s="68"/>
      <c r="K147" s="68"/>
      <c r="L147" s="68"/>
      <c r="M147" s="68"/>
      <c r="N147" s="68"/>
      <c r="O147" s="68"/>
      <c r="P147" s="68"/>
      <c r="Q147" s="68"/>
    </row>
    <row r="148" spans="2:34" s="4" customFormat="1" x14ac:dyDescent="0.15">
      <c r="B148" s="48" t="s">
        <v>79</v>
      </c>
      <c r="C148" s="66">
        <v>55.03</v>
      </c>
      <c r="D148" s="66">
        <f t="shared" ref="D148:G148" si="157">C156</f>
        <v>59.410000000000004</v>
      </c>
      <c r="E148" s="66">
        <f t="shared" si="157"/>
        <v>63.650000000000006</v>
      </c>
      <c r="F148" s="66">
        <f t="shared" si="157"/>
        <v>74.62</v>
      </c>
      <c r="G148" s="66">
        <f t="shared" si="157"/>
        <v>77.830000000000013</v>
      </c>
      <c r="H148" s="67">
        <f t="shared" ref="H148" si="158">G156</f>
        <v>66.66</v>
      </c>
      <c r="I148" s="67">
        <f t="shared" ref="I148" si="159">H156</f>
        <v>69.243999999999986</v>
      </c>
      <c r="J148" s="67">
        <f t="shared" ref="J148" si="160">I156</f>
        <v>71.840919999999983</v>
      </c>
      <c r="K148" s="67">
        <f t="shared" ref="K148" si="161">J156</f>
        <v>74.45082459999999</v>
      </c>
      <c r="L148" s="67">
        <f t="shared" ref="L148" si="162">K156</f>
        <v>77.073778722999975</v>
      </c>
      <c r="M148" s="67">
        <f t="shared" ref="M148" si="163">L156</f>
        <v>79.709847616614951</v>
      </c>
      <c r="N148" s="67">
        <f t="shared" ref="N148" si="164">M156</f>
        <v>82.359096854698009</v>
      </c>
      <c r="O148" s="67">
        <f t="shared" ref="O148" si="165">N156</f>
        <v>85.021592338971502</v>
      </c>
      <c r="P148" s="67">
        <f t="shared" ref="P148" si="166">O156</f>
        <v>87.697400300666374</v>
      </c>
      <c r="Q148" s="67">
        <f t="shared" ref="Q148" si="167">P156</f>
        <v>90.386587302169701</v>
      </c>
    </row>
    <row r="149" spans="2:34" s="4" customFormat="1" x14ac:dyDescent="0.15">
      <c r="B149" s="38" t="s">
        <v>80</v>
      </c>
      <c r="C149" s="21">
        <v>9.43</v>
      </c>
      <c r="D149" s="21">
        <v>6.99</v>
      </c>
      <c r="E149" s="21">
        <v>14.52</v>
      </c>
      <c r="F149" s="21">
        <v>11.92</v>
      </c>
      <c r="G149" s="21">
        <v>13.27</v>
      </c>
      <c r="H149" s="68">
        <f>AVERAGE(C149:G149)</f>
        <v>11.225999999999999</v>
      </c>
      <c r="I149" s="68">
        <f t="shared" ref="I149:Q149" si="168">H149*1.005</f>
        <v>11.282129999999999</v>
      </c>
      <c r="J149" s="68">
        <f t="shared" si="168"/>
        <v>11.338540649999997</v>
      </c>
      <c r="K149" s="68">
        <f t="shared" si="168"/>
        <v>11.395233353249996</v>
      </c>
      <c r="L149" s="68">
        <f t="shared" si="168"/>
        <v>11.452209520016245</v>
      </c>
      <c r="M149" s="68">
        <f t="shared" si="168"/>
        <v>11.509470567616326</v>
      </c>
      <c r="N149" s="68">
        <f t="shared" si="168"/>
        <v>11.567017920454406</v>
      </c>
      <c r="O149" s="68">
        <f t="shared" si="168"/>
        <v>11.624853010056677</v>
      </c>
      <c r="P149" s="68">
        <f t="shared" si="168"/>
        <v>11.682977275106959</v>
      </c>
      <c r="Q149" s="68">
        <f t="shared" si="168"/>
        <v>11.741392161482493</v>
      </c>
    </row>
    <row r="150" spans="2:34" s="4" customFormat="1" x14ac:dyDescent="0.15">
      <c r="B150" s="38" t="s">
        <v>375</v>
      </c>
      <c r="C150" s="21">
        <v>0</v>
      </c>
      <c r="D150" s="21">
        <v>0</v>
      </c>
      <c r="E150" s="21">
        <v>0</v>
      </c>
      <c r="F150" s="21">
        <v>0</v>
      </c>
      <c r="G150" s="21">
        <v>-1.43</v>
      </c>
      <c r="H150" s="67">
        <v>0</v>
      </c>
      <c r="I150" s="67">
        <v>0</v>
      </c>
      <c r="J150" s="67">
        <v>0</v>
      </c>
      <c r="K150" s="67">
        <v>0</v>
      </c>
      <c r="L150" s="67">
        <v>0</v>
      </c>
      <c r="M150" s="67">
        <v>0</v>
      </c>
      <c r="N150" s="67">
        <v>0</v>
      </c>
      <c r="O150" s="67">
        <v>0</v>
      </c>
      <c r="P150" s="67">
        <v>0</v>
      </c>
      <c r="Q150" s="67">
        <v>0</v>
      </c>
    </row>
    <row r="151" spans="2:34" s="4" customFormat="1" x14ac:dyDescent="0.15">
      <c r="B151" s="38" t="s">
        <v>376</v>
      </c>
      <c r="C151" s="21">
        <v>-3.46</v>
      </c>
      <c r="D151" s="21">
        <v>-2.63</v>
      </c>
      <c r="E151" s="21">
        <v>-7.55</v>
      </c>
      <c r="F151" s="21">
        <v>-9.6</v>
      </c>
      <c r="G151" s="21">
        <v>-14.75</v>
      </c>
      <c r="H151" s="68">
        <f>AVERAGE(C151:G151)</f>
        <v>-7.5980000000000008</v>
      </c>
      <c r="I151" s="68">
        <f t="shared" ref="I151:Q152" si="169">H151*1.005</f>
        <v>-7.6359899999999996</v>
      </c>
      <c r="J151" s="68">
        <f t="shared" si="169"/>
        <v>-7.6741699499999987</v>
      </c>
      <c r="K151" s="68">
        <f t="shared" si="169"/>
        <v>-7.7125407997499975</v>
      </c>
      <c r="L151" s="68">
        <f t="shared" si="169"/>
        <v>-7.7511035037487463</v>
      </c>
      <c r="M151" s="68">
        <f t="shared" si="169"/>
        <v>-7.789859021267489</v>
      </c>
      <c r="N151" s="68">
        <f t="shared" si="169"/>
        <v>-7.8288083163738253</v>
      </c>
      <c r="O151" s="68">
        <f t="shared" si="169"/>
        <v>-7.8679523579556934</v>
      </c>
      <c r="P151" s="68">
        <f t="shared" si="169"/>
        <v>-7.9072921197454713</v>
      </c>
      <c r="Q151" s="68">
        <f t="shared" si="169"/>
        <v>-7.9468285803441976</v>
      </c>
    </row>
    <row r="152" spans="2:34" s="4" customFormat="1" x14ac:dyDescent="0.15">
      <c r="B152" s="38" t="s">
        <v>377</v>
      </c>
      <c r="C152" s="21">
        <v>1.47</v>
      </c>
      <c r="D152" s="21">
        <v>-0.39</v>
      </c>
      <c r="E152" s="21">
        <v>3.35</v>
      </c>
      <c r="F152" s="21">
        <v>2.64</v>
      </c>
      <c r="G152" s="21">
        <v>1.1100000000000001</v>
      </c>
      <c r="H152" s="68">
        <f>AVERAGE(C152:G152)</f>
        <v>1.6359999999999999</v>
      </c>
      <c r="I152" s="68">
        <f t="shared" si="169"/>
        <v>1.6441799999999998</v>
      </c>
      <c r="J152" s="68">
        <f t="shared" si="169"/>
        <v>1.6524008999999995</v>
      </c>
      <c r="K152" s="68">
        <f t="shared" si="169"/>
        <v>1.6606629044999994</v>
      </c>
      <c r="L152" s="68">
        <f t="shared" si="169"/>
        <v>1.6689662190224992</v>
      </c>
      <c r="M152" s="68">
        <f t="shared" si="169"/>
        <v>1.6773110501176116</v>
      </c>
      <c r="N152" s="68">
        <f t="shared" si="169"/>
        <v>1.6856976053681996</v>
      </c>
      <c r="O152" s="68">
        <f t="shared" si="169"/>
        <v>1.6941260933950404</v>
      </c>
      <c r="P152" s="68">
        <f t="shared" si="169"/>
        <v>1.7025967238620154</v>
      </c>
      <c r="Q152" s="68">
        <f t="shared" si="169"/>
        <v>1.7111097074813253</v>
      </c>
    </row>
    <row r="153" spans="2:34" s="4" customFormat="1" x14ac:dyDescent="0.15">
      <c r="B153" s="38" t="s">
        <v>383</v>
      </c>
      <c r="C153" s="21">
        <v>0</v>
      </c>
      <c r="D153" s="21">
        <v>0</v>
      </c>
      <c r="E153" s="21">
        <v>0</v>
      </c>
      <c r="F153" s="21">
        <v>0</v>
      </c>
      <c r="G153" s="21">
        <v>1.29</v>
      </c>
      <c r="H153" s="67">
        <v>0</v>
      </c>
      <c r="I153" s="67">
        <v>0</v>
      </c>
      <c r="J153" s="67">
        <v>0</v>
      </c>
      <c r="K153" s="67">
        <v>0</v>
      </c>
      <c r="L153" s="67">
        <v>0</v>
      </c>
      <c r="M153" s="67">
        <v>0</v>
      </c>
      <c r="N153" s="67">
        <v>0</v>
      </c>
      <c r="O153" s="67">
        <v>0</v>
      </c>
      <c r="P153" s="67">
        <v>0</v>
      </c>
      <c r="Q153" s="67">
        <v>0</v>
      </c>
    </row>
    <row r="154" spans="2:34" x14ac:dyDescent="0.15">
      <c r="B154" s="38" t="s">
        <v>380</v>
      </c>
      <c r="C154" s="21">
        <v>0</v>
      </c>
      <c r="D154" s="21">
        <v>0</v>
      </c>
      <c r="E154" s="21">
        <v>0</v>
      </c>
      <c r="F154" s="21">
        <v>0</v>
      </c>
      <c r="G154" s="21">
        <v>-1.1499999999999999</v>
      </c>
      <c r="H154" s="68">
        <v>0</v>
      </c>
      <c r="I154" s="68">
        <v>0</v>
      </c>
      <c r="J154" s="68">
        <v>0</v>
      </c>
      <c r="K154" s="68">
        <v>0</v>
      </c>
      <c r="L154" s="68">
        <v>0</v>
      </c>
      <c r="M154" s="68">
        <v>0</v>
      </c>
      <c r="N154" s="68">
        <v>0</v>
      </c>
      <c r="O154" s="68">
        <v>0</v>
      </c>
      <c r="P154" s="68">
        <v>0</v>
      </c>
      <c r="Q154" s="68">
        <v>0</v>
      </c>
      <c r="W154" s="102"/>
      <c r="X154" s="102"/>
      <c r="Y154" s="102"/>
      <c r="Z154" s="102"/>
      <c r="AA154" s="102"/>
      <c r="AB154" s="76"/>
      <c r="AD154" s="76"/>
      <c r="AE154" s="76"/>
      <c r="AF154" s="76"/>
      <c r="AG154" s="45"/>
      <c r="AH154" s="45"/>
    </row>
    <row r="155" spans="2:34" x14ac:dyDescent="0.15">
      <c r="B155" s="38" t="s">
        <v>378</v>
      </c>
      <c r="C155" s="21">
        <v>-3.06</v>
      </c>
      <c r="D155" s="21">
        <v>0.27</v>
      </c>
      <c r="E155" s="21">
        <v>0.65</v>
      </c>
      <c r="F155" s="21">
        <v>-1.75</v>
      </c>
      <c r="G155" s="21">
        <v>-9.51</v>
      </c>
      <c r="H155" s="68">
        <f>AVERAGE(C155:G155)</f>
        <v>-2.68</v>
      </c>
      <c r="I155" s="68">
        <f t="shared" ref="I155:Q155" si="170">H155*1.005</f>
        <v>-2.6934</v>
      </c>
      <c r="J155" s="68">
        <f t="shared" si="170"/>
        <v>-2.7068669999999999</v>
      </c>
      <c r="K155" s="68">
        <f t="shared" si="170"/>
        <v>-2.7204013349999996</v>
      </c>
      <c r="L155" s="68">
        <f t="shared" si="170"/>
        <v>-2.7340033416749994</v>
      </c>
      <c r="M155" s="68">
        <f t="shared" si="170"/>
        <v>-2.7476733583833739</v>
      </c>
      <c r="N155" s="68">
        <f t="shared" si="170"/>
        <v>-2.7614117251752903</v>
      </c>
      <c r="O155" s="68">
        <f t="shared" si="170"/>
        <v>-2.7752187838011664</v>
      </c>
      <c r="P155" s="68">
        <f t="shared" si="170"/>
        <v>-2.7890948777201721</v>
      </c>
      <c r="Q155" s="68">
        <f t="shared" si="170"/>
        <v>-2.8030403521087726</v>
      </c>
      <c r="W155" s="102"/>
      <c r="X155" s="102"/>
      <c r="Y155" s="102"/>
      <c r="Z155" s="102"/>
      <c r="AA155" s="102"/>
      <c r="AB155" s="76"/>
      <c r="AD155" s="76"/>
      <c r="AE155" s="76"/>
      <c r="AF155" s="76"/>
      <c r="AG155" s="45"/>
      <c r="AH155" s="45"/>
    </row>
    <row r="156" spans="2:34" s="4" customFormat="1" x14ac:dyDescent="0.15">
      <c r="B156" s="48" t="s">
        <v>81</v>
      </c>
      <c r="C156" s="71">
        <f t="shared" ref="C156:Q156" si="171">SUM(C148:C155)</f>
        <v>59.410000000000004</v>
      </c>
      <c r="D156" s="71">
        <f t="shared" si="171"/>
        <v>63.650000000000006</v>
      </c>
      <c r="E156" s="71">
        <f t="shared" si="171"/>
        <v>74.62</v>
      </c>
      <c r="F156" s="71">
        <f t="shared" si="171"/>
        <v>77.830000000000013</v>
      </c>
      <c r="G156" s="71">
        <f t="shared" si="171"/>
        <v>66.66</v>
      </c>
      <c r="H156" s="67">
        <f>SUM(H148:H155)</f>
        <v>69.243999999999986</v>
      </c>
      <c r="I156" s="67">
        <f>SUM(I148:I155)</f>
        <v>71.840919999999983</v>
      </c>
      <c r="J156" s="67">
        <f t="shared" si="171"/>
        <v>74.45082459999999</v>
      </c>
      <c r="K156" s="67">
        <f t="shared" si="171"/>
        <v>77.073778722999975</v>
      </c>
      <c r="L156" s="67">
        <f t="shared" si="171"/>
        <v>79.709847616614951</v>
      </c>
      <c r="M156" s="67">
        <f t="shared" si="171"/>
        <v>82.359096854698009</v>
      </c>
      <c r="N156" s="67">
        <f t="shared" si="171"/>
        <v>85.021592338971502</v>
      </c>
      <c r="O156" s="67">
        <f t="shared" si="171"/>
        <v>87.697400300666374</v>
      </c>
      <c r="P156" s="67">
        <f t="shared" si="171"/>
        <v>90.386587302169701</v>
      </c>
      <c r="Q156" s="67">
        <f t="shared" si="171"/>
        <v>93.089220238680554</v>
      </c>
    </row>
    <row r="157" spans="2:34" s="4" customFormat="1" x14ac:dyDescent="0.15">
      <c r="B157" s="38" t="s">
        <v>82</v>
      </c>
      <c r="C157" s="21">
        <v>34.299999999999997</v>
      </c>
      <c r="D157" s="21">
        <v>41.14</v>
      </c>
      <c r="E157" s="21">
        <v>48.8</v>
      </c>
      <c r="F157" s="21">
        <v>54.73</v>
      </c>
      <c r="G157" s="21">
        <v>57.91</v>
      </c>
      <c r="H157" s="68">
        <f>SUM(G157:G164)</f>
        <v>49.309999999999995</v>
      </c>
      <c r="I157" s="68">
        <f t="shared" ref="H157:Q157" si="172">SUM(H157:H164)</f>
        <v>52.813999999999993</v>
      </c>
      <c r="J157" s="68">
        <f t="shared" si="172"/>
        <v>56.335520000000002</v>
      </c>
      <c r="K157" s="68">
        <f t="shared" si="172"/>
        <v>59.874647599999996</v>
      </c>
      <c r="L157" s="68">
        <f t="shared" si="172"/>
        <v>63.431470837999989</v>
      </c>
      <c r="M157" s="68">
        <f t="shared" si="172"/>
        <v>67.006078192189989</v>
      </c>
      <c r="N157" s="68">
        <f t="shared" si="172"/>
        <v>70.598558583150933</v>
      </c>
      <c r="O157" s="68">
        <f t="shared" si="172"/>
        <v>74.209001376066681</v>
      </c>
      <c r="P157" s="68">
        <f t="shared" si="172"/>
        <v>77.837496382947023</v>
      </c>
      <c r="Q157" s="68">
        <f t="shared" si="172"/>
        <v>81.484133864861747</v>
      </c>
    </row>
    <row r="158" spans="2:34" s="4" customFormat="1" x14ac:dyDescent="0.15">
      <c r="B158" s="38" t="s">
        <v>83</v>
      </c>
      <c r="C158" s="21">
        <v>10.87</v>
      </c>
      <c r="D158" s="21">
        <v>10.02</v>
      </c>
      <c r="E158" s="21">
        <v>10.47</v>
      </c>
      <c r="F158" s="21">
        <v>10.47</v>
      </c>
      <c r="G158" s="21">
        <v>10.119999999999999</v>
      </c>
      <c r="H158" s="68">
        <f>AVERAGE(C158:G158)</f>
        <v>10.389999999999999</v>
      </c>
      <c r="I158" s="68">
        <f t="shared" ref="I158:Q159" si="173">H158*1.005</f>
        <v>10.441949999999999</v>
      </c>
      <c r="J158" s="68">
        <f t="shared" si="173"/>
        <v>10.494159749999998</v>
      </c>
      <c r="K158" s="68">
        <f t="shared" si="173"/>
        <v>10.546630548749997</v>
      </c>
      <c r="L158" s="68">
        <f t="shared" si="173"/>
        <v>10.599363701493745</v>
      </c>
      <c r="M158" s="68">
        <f t="shared" si="173"/>
        <v>10.652360520001213</v>
      </c>
      <c r="N158" s="68">
        <f t="shared" si="173"/>
        <v>10.705622322601219</v>
      </c>
      <c r="O158" s="68">
        <f t="shared" si="173"/>
        <v>10.759150434214224</v>
      </c>
      <c r="P158" s="68">
        <f t="shared" si="173"/>
        <v>10.812946186385293</v>
      </c>
      <c r="Q158" s="68">
        <f t="shared" si="173"/>
        <v>10.867010917317218</v>
      </c>
    </row>
    <row r="159" spans="2:34" s="4" customFormat="1" x14ac:dyDescent="0.15">
      <c r="B159" s="38" t="s">
        <v>381</v>
      </c>
      <c r="C159" s="21">
        <v>0.62</v>
      </c>
      <c r="D159" s="21">
        <v>0.41</v>
      </c>
      <c r="E159" s="21">
        <v>-0.09</v>
      </c>
      <c r="F159" s="21">
        <v>0.76</v>
      </c>
      <c r="G159" s="21">
        <v>1.1100000000000001</v>
      </c>
      <c r="H159" s="68">
        <f>AVERAGE(C159:G159)</f>
        <v>0.56200000000000006</v>
      </c>
      <c r="I159" s="68">
        <f t="shared" si="173"/>
        <v>0.56481000000000003</v>
      </c>
      <c r="J159" s="68">
        <f t="shared" si="173"/>
        <v>0.56763405</v>
      </c>
      <c r="K159" s="68">
        <f t="shared" si="173"/>
        <v>0.57047222025</v>
      </c>
      <c r="L159" s="68">
        <f t="shared" si="173"/>
        <v>0.57332458135124997</v>
      </c>
      <c r="M159" s="68">
        <f t="shared" si="173"/>
        <v>0.57619120425800618</v>
      </c>
      <c r="N159" s="68">
        <f t="shared" si="173"/>
        <v>0.5790721602792962</v>
      </c>
      <c r="O159" s="68">
        <f t="shared" si="173"/>
        <v>0.58196752108069261</v>
      </c>
      <c r="P159" s="68">
        <f t="shared" si="173"/>
        <v>0.58487735868609603</v>
      </c>
      <c r="Q159" s="68">
        <f t="shared" si="173"/>
        <v>0.58780174547952646</v>
      </c>
    </row>
    <row r="160" spans="2:34" s="4" customFormat="1" x14ac:dyDescent="0.15">
      <c r="B160" s="38" t="s">
        <v>375</v>
      </c>
      <c r="C160" s="21">
        <v>0</v>
      </c>
      <c r="D160" s="21">
        <v>0</v>
      </c>
      <c r="E160" s="21">
        <v>0</v>
      </c>
      <c r="F160" s="21">
        <v>0</v>
      </c>
      <c r="G160" s="21">
        <v>-1.43</v>
      </c>
      <c r="H160" s="67">
        <v>0</v>
      </c>
      <c r="I160" s="67">
        <v>0</v>
      </c>
      <c r="J160" s="67">
        <v>0</v>
      </c>
      <c r="K160" s="67">
        <v>0</v>
      </c>
      <c r="L160" s="67">
        <v>0</v>
      </c>
      <c r="M160" s="67">
        <v>0</v>
      </c>
      <c r="N160" s="67">
        <v>0</v>
      </c>
      <c r="O160" s="67">
        <v>0</v>
      </c>
      <c r="P160" s="67">
        <v>0</v>
      </c>
      <c r="Q160" s="67">
        <v>0</v>
      </c>
    </row>
    <row r="161" spans="2:34" x14ac:dyDescent="0.15">
      <c r="B161" s="38" t="s">
        <v>376</v>
      </c>
      <c r="C161" s="21">
        <v>-3.37</v>
      </c>
      <c r="D161" s="21">
        <v>-2.34</v>
      </c>
      <c r="E161" s="21">
        <v>-7.39</v>
      </c>
      <c r="F161" s="21">
        <v>-9.4499999999999993</v>
      </c>
      <c r="G161" s="21">
        <v>-11.41</v>
      </c>
      <c r="H161" s="68">
        <f>AVERAGE(C161:G161)</f>
        <v>-6.7919999999999989</v>
      </c>
      <c r="I161" s="68">
        <f t="shared" ref="I161:Q161" si="174">H161*1.005</f>
        <v>-6.8259599999999985</v>
      </c>
      <c r="J161" s="68">
        <f t="shared" si="174"/>
        <v>-6.8600897999999981</v>
      </c>
      <c r="K161" s="68">
        <f t="shared" si="174"/>
        <v>-6.8943902489999971</v>
      </c>
      <c r="L161" s="68">
        <f t="shared" si="174"/>
        <v>-6.9288622002449962</v>
      </c>
      <c r="M161" s="68">
        <f t="shared" si="174"/>
        <v>-6.9635065112462202</v>
      </c>
      <c r="N161" s="68">
        <f t="shared" si="174"/>
        <v>-6.9983240438024508</v>
      </c>
      <c r="O161" s="68">
        <f t="shared" si="174"/>
        <v>-7.0333156640214627</v>
      </c>
      <c r="P161" s="68">
        <f t="shared" si="174"/>
        <v>-7.0684822423415694</v>
      </c>
      <c r="Q161" s="68">
        <f t="shared" si="174"/>
        <v>-7.1038246535532767</v>
      </c>
    </row>
    <row r="162" spans="2:34" x14ac:dyDescent="0.15">
      <c r="B162" s="38" t="s">
        <v>380</v>
      </c>
      <c r="C162" s="21">
        <v>0</v>
      </c>
      <c r="D162" s="21">
        <v>0</v>
      </c>
      <c r="E162" s="21">
        <v>0</v>
      </c>
      <c r="F162" s="21">
        <v>0</v>
      </c>
      <c r="G162" s="21">
        <v>-1.08</v>
      </c>
      <c r="H162" s="68">
        <v>0</v>
      </c>
      <c r="I162" s="68">
        <v>0</v>
      </c>
      <c r="J162" s="68">
        <v>0</v>
      </c>
      <c r="K162" s="68">
        <v>0</v>
      </c>
      <c r="L162" s="68">
        <v>0</v>
      </c>
      <c r="M162" s="68">
        <v>0</v>
      </c>
      <c r="N162" s="68">
        <v>0</v>
      </c>
      <c r="O162" s="68">
        <v>0</v>
      </c>
      <c r="P162" s="68">
        <v>0</v>
      </c>
      <c r="Q162" s="68">
        <v>0</v>
      </c>
      <c r="W162" s="102"/>
      <c r="X162" s="102"/>
      <c r="Y162" s="102"/>
      <c r="Z162" s="102"/>
      <c r="AA162" s="102"/>
      <c r="AB162" s="76"/>
      <c r="AD162" s="76"/>
      <c r="AE162" s="76"/>
      <c r="AF162" s="76"/>
      <c r="AG162" s="45"/>
      <c r="AH162" s="45"/>
    </row>
    <row r="163" spans="2:34" x14ac:dyDescent="0.15">
      <c r="B163" s="38" t="s">
        <v>377</v>
      </c>
      <c r="C163" s="21">
        <v>0.98</v>
      </c>
      <c r="D163" s="21">
        <v>-0.55000000000000004</v>
      </c>
      <c r="E163" s="21">
        <v>2.33</v>
      </c>
      <c r="F163" s="21">
        <v>2.34</v>
      </c>
      <c r="G163" s="21">
        <v>0.66</v>
      </c>
      <c r="H163" s="68">
        <f>AVERAGE(C163:G163)</f>
        <v>1.1519999999999999</v>
      </c>
      <c r="I163" s="68">
        <f t="shared" ref="I163:Q164" si="175">H163*1.005</f>
        <v>1.1577599999999999</v>
      </c>
      <c r="J163" s="68">
        <f t="shared" si="175"/>
        <v>1.1635487999999998</v>
      </c>
      <c r="K163" s="68">
        <f t="shared" si="175"/>
        <v>1.1693665439999996</v>
      </c>
      <c r="L163" s="68">
        <f t="shared" si="175"/>
        <v>1.1752133767199995</v>
      </c>
      <c r="M163" s="68">
        <f t="shared" si="175"/>
        <v>1.1810894436035992</v>
      </c>
      <c r="N163" s="68">
        <f t="shared" si="175"/>
        <v>1.186994890821617</v>
      </c>
      <c r="O163" s="68">
        <f t="shared" si="175"/>
        <v>1.192929865275725</v>
      </c>
      <c r="P163" s="68">
        <f t="shared" si="175"/>
        <v>1.1988945146021035</v>
      </c>
      <c r="Q163" s="68">
        <f t="shared" si="175"/>
        <v>1.2048889871751138</v>
      </c>
      <c r="W163" s="102"/>
      <c r="X163" s="102"/>
      <c r="Y163" s="102"/>
      <c r="Z163" s="102"/>
      <c r="AA163" s="102"/>
      <c r="AB163" s="76"/>
      <c r="AD163" s="76"/>
      <c r="AE163" s="76"/>
      <c r="AF163" s="76"/>
      <c r="AG163" s="45"/>
      <c r="AH163" s="45"/>
    </row>
    <row r="164" spans="2:34" x14ac:dyDescent="0.15">
      <c r="B164" s="38" t="s">
        <v>378</v>
      </c>
      <c r="C164" s="21">
        <v>-2.2599999999999998</v>
      </c>
      <c r="D164" s="21">
        <v>0.12</v>
      </c>
      <c r="E164" s="21">
        <v>0.61</v>
      </c>
      <c r="F164" s="21">
        <v>-0.94</v>
      </c>
      <c r="G164" s="21">
        <v>-6.57</v>
      </c>
      <c r="H164" s="68">
        <f>AVERAGE(C164:G164)</f>
        <v>-1.8079999999999998</v>
      </c>
      <c r="I164" s="68">
        <f t="shared" si="175"/>
        <v>-1.8170399999999995</v>
      </c>
      <c r="J164" s="68">
        <f t="shared" si="175"/>
        <v>-1.8261251999999994</v>
      </c>
      <c r="K164" s="68">
        <f t="shared" si="175"/>
        <v>-1.8352558259999991</v>
      </c>
      <c r="L164" s="68">
        <f t="shared" si="175"/>
        <v>-1.844432105129999</v>
      </c>
      <c r="M164" s="68">
        <f t="shared" si="175"/>
        <v>-1.8536542656556487</v>
      </c>
      <c r="N164" s="68">
        <f t="shared" si="175"/>
        <v>-1.8629225369839268</v>
      </c>
      <c r="O164" s="68">
        <f t="shared" si="175"/>
        <v>-1.8722371496688464</v>
      </c>
      <c r="P164" s="68">
        <f t="shared" si="175"/>
        <v>-1.8815983354171903</v>
      </c>
      <c r="Q164" s="68">
        <f t="shared" si="175"/>
        <v>-1.8910063270942761</v>
      </c>
      <c r="W164" s="102"/>
      <c r="X164" s="102"/>
      <c r="Y164" s="102"/>
      <c r="Z164" s="102"/>
      <c r="AA164" s="102"/>
      <c r="AB164" s="76"/>
      <c r="AD164" s="76"/>
      <c r="AE164" s="76"/>
      <c r="AF164" s="76"/>
      <c r="AG164" s="45"/>
      <c r="AH164" s="45"/>
    </row>
    <row r="165" spans="2:34" s="4" customFormat="1" ht="15" thickBot="1" x14ac:dyDescent="0.2">
      <c r="B165" s="48" t="s">
        <v>84</v>
      </c>
      <c r="C165" s="69">
        <f t="shared" ref="C165:Q165" si="176">C156-SUM(C157:C164)</f>
        <v>18.27000000000001</v>
      </c>
      <c r="D165" s="69">
        <f t="shared" si="176"/>
        <v>14.850000000000016</v>
      </c>
      <c r="E165" s="69">
        <f t="shared" si="176"/>
        <v>19.890000000000015</v>
      </c>
      <c r="F165" s="69">
        <f t="shared" si="176"/>
        <v>19.920000000000002</v>
      </c>
      <c r="G165" s="69">
        <f t="shared" si="176"/>
        <v>17.350000000000001</v>
      </c>
      <c r="H165" s="70">
        <f t="shared" si="176"/>
        <v>16.429999999999993</v>
      </c>
      <c r="I165" s="70">
        <f>I156-SUM(I157:I164)</f>
        <v>15.50539999999998</v>
      </c>
      <c r="J165" s="70">
        <f t="shared" si="176"/>
        <v>14.576176999999994</v>
      </c>
      <c r="K165" s="70">
        <f t="shared" si="176"/>
        <v>13.642307884999987</v>
      </c>
      <c r="L165" s="70">
        <f t="shared" si="176"/>
        <v>12.703769424424962</v>
      </c>
      <c r="M165" s="70">
        <f t="shared" si="176"/>
        <v>11.760538271547077</v>
      </c>
      <c r="N165" s="70">
        <f t="shared" si="176"/>
        <v>10.812590962904821</v>
      </c>
      <c r="O165" s="70">
        <f t="shared" si="176"/>
        <v>9.8599039177193504</v>
      </c>
      <c r="P165" s="70">
        <f t="shared" si="176"/>
        <v>8.9024534373079547</v>
      </c>
      <c r="Q165" s="70">
        <f t="shared" si="176"/>
        <v>7.9402157044945056</v>
      </c>
    </row>
    <row r="166" spans="2:34" ht="15" thickTop="1" x14ac:dyDescent="0.15">
      <c r="B166" s="38"/>
      <c r="C166" s="72"/>
      <c r="D166" s="72"/>
      <c r="E166" s="72"/>
      <c r="F166" s="72"/>
      <c r="G166" s="72"/>
      <c r="H166" s="68"/>
      <c r="I166" s="68"/>
      <c r="J166" s="68"/>
      <c r="K166" s="68"/>
      <c r="L166" s="68"/>
      <c r="M166" s="68"/>
      <c r="N166" s="68"/>
      <c r="O166" s="68"/>
      <c r="P166" s="68"/>
      <c r="Q166" s="68"/>
    </row>
    <row r="167" spans="2:34" x14ac:dyDescent="0.15">
      <c r="B167" s="403" t="s">
        <v>386</v>
      </c>
      <c r="C167" s="72"/>
      <c r="D167" s="72"/>
      <c r="E167" s="72"/>
      <c r="F167" s="72"/>
      <c r="G167" s="72"/>
      <c r="H167" s="68"/>
      <c r="I167" s="68"/>
      <c r="J167" s="68"/>
      <c r="K167" s="68"/>
      <c r="L167" s="68"/>
      <c r="M167" s="68"/>
      <c r="N167" s="68"/>
      <c r="O167" s="68"/>
      <c r="P167" s="68"/>
      <c r="Q167" s="68"/>
    </row>
    <row r="168" spans="2:34" s="4" customFormat="1" x14ac:dyDescent="0.15">
      <c r="B168" s="48" t="s">
        <v>79</v>
      </c>
      <c r="C168" s="66">
        <v>90.26</v>
      </c>
      <c r="D168" s="66">
        <v>90.26</v>
      </c>
      <c r="E168" s="66">
        <v>90.26</v>
      </c>
      <c r="F168" s="66">
        <v>90.26</v>
      </c>
      <c r="G168" s="66">
        <v>90.26</v>
      </c>
      <c r="H168" s="67">
        <f t="shared" ref="H168" si="177">G169</f>
        <v>90.26</v>
      </c>
      <c r="I168" s="67">
        <f t="shared" ref="I168" si="178">H169</f>
        <v>90.26</v>
      </c>
      <c r="J168" s="67">
        <f t="shared" ref="J168" si="179">I169</f>
        <v>90.26</v>
      </c>
      <c r="K168" s="67">
        <f t="shared" ref="K168" si="180">J169</f>
        <v>90.26</v>
      </c>
      <c r="L168" s="67">
        <f t="shared" ref="L168" si="181">K169</f>
        <v>90.26</v>
      </c>
      <c r="M168" s="67">
        <f t="shared" ref="M168" si="182">L169</f>
        <v>90.26</v>
      </c>
      <c r="N168" s="67">
        <f t="shared" ref="N168" si="183">M169</f>
        <v>90.26</v>
      </c>
      <c r="O168" s="67">
        <f t="shared" ref="O168" si="184">N169</f>
        <v>90.26</v>
      </c>
      <c r="P168" s="67">
        <f t="shared" ref="P168" si="185">O169</f>
        <v>90.26</v>
      </c>
      <c r="Q168" s="67">
        <f t="shared" ref="Q168" si="186">P169</f>
        <v>90.26</v>
      </c>
    </row>
    <row r="169" spans="2:34" s="4" customFormat="1" x14ac:dyDescent="0.15">
      <c r="B169" s="48" t="s">
        <v>81</v>
      </c>
      <c r="C169" s="71">
        <f t="shared" ref="C169:Q169" si="187">SUM(C168:C168)</f>
        <v>90.26</v>
      </c>
      <c r="D169" s="71">
        <f t="shared" si="187"/>
        <v>90.26</v>
      </c>
      <c r="E169" s="71">
        <f t="shared" si="187"/>
        <v>90.26</v>
      </c>
      <c r="F169" s="71">
        <f t="shared" si="187"/>
        <v>90.26</v>
      </c>
      <c r="G169" s="71">
        <f t="shared" si="187"/>
        <v>90.26</v>
      </c>
      <c r="H169" s="67">
        <f t="shared" si="187"/>
        <v>90.26</v>
      </c>
      <c r="I169" s="67">
        <f t="shared" si="187"/>
        <v>90.26</v>
      </c>
      <c r="J169" s="67">
        <f t="shared" si="187"/>
        <v>90.26</v>
      </c>
      <c r="K169" s="67">
        <f t="shared" si="187"/>
        <v>90.26</v>
      </c>
      <c r="L169" s="67">
        <f t="shared" si="187"/>
        <v>90.26</v>
      </c>
      <c r="M169" s="67">
        <f t="shared" si="187"/>
        <v>90.26</v>
      </c>
      <c r="N169" s="67">
        <f t="shared" si="187"/>
        <v>90.26</v>
      </c>
      <c r="O169" s="67">
        <f t="shared" si="187"/>
        <v>90.26</v>
      </c>
      <c r="P169" s="67">
        <f t="shared" si="187"/>
        <v>90.26</v>
      </c>
      <c r="Q169" s="67">
        <f t="shared" si="187"/>
        <v>90.26</v>
      </c>
    </row>
    <row r="170" spans="2:34" x14ac:dyDescent="0.15">
      <c r="B170" s="38" t="s">
        <v>82</v>
      </c>
      <c r="C170" s="21">
        <v>5.83</v>
      </c>
      <c r="D170" s="21">
        <v>7.33</v>
      </c>
      <c r="E170" s="21">
        <v>7.33</v>
      </c>
      <c r="F170" s="21">
        <v>7.33</v>
      </c>
      <c r="G170" s="21">
        <v>7.33</v>
      </c>
      <c r="H170" s="68">
        <f>SUM(G170:G171)</f>
        <v>7.33</v>
      </c>
      <c r="I170" s="68">
        <f t="shared" ref="I170:Q170" si="188">SUM(H170:H171)</f>
        <v>7.33</v>
      </c>
      <c r="J170" s="68">
        <f t="shared" si="188"/>
        <v>7.33</v>
      </c>
      <c r="K170" s="68">
        <f t="shared" si="188"/>
        <v>7.33</v>
      </c>
      <c r="L170" s="68">
        <f t="shared" si="188"/>
        <v>7.33</v>
      </c>
      <c r="M170" s="68">
        <f t="shared" si="188"/>
        <v>7.33</v>
      </c>
      <c r="N170" s="68">
        <f t="shared" si="188"/>
        <v>7.33</v>
      </c>
      <c r="O170" s="68">
        <f t="shared" si="188"/>
        <v>7.33</v>
      </c>
      <c r="P170" s="68">
        <f t="shared" si="188"/>
        <v>7.33</v>
      </c>
      <c r="Q170" s="68">
        <f t="shared" si="188"/>
        <v>7.33</v>
      </c>
    </row>
    <row r="171" spans="2:34" x14ac:dyDescent="0.15">
      <c r="B171" s="38" t="s">
        <v>83</v>
      </c>
      <c r="C171" s="21">
        <v>1.5</v>
      </c>
      <c r="D171" s="21">
        <v>0</v>
      </c>
      <c r="E171" s="21">
        <v>0</v>
      </c>
      <c r="F171" s="21">
        <v>0</v>
      </c>
      <c r="G171" s="21">
        <v>0</v>
      </c>
      <c r="H171" s="68">
        <f>G171*1.04</f>
        <v>0</v>
      </c>
      <c r="I171" s="68">
        <f>H171</f>
        <v>0</v>
      </c>
      <c r="J171" s="68">
        <f>I171</f>
        <v>0</v>
      </c>
      <c r="K171" s="68">
        <f>J171*1.04</f>
        <v>0</v>
      </c>
      <c r="L171" s="68">
        <f>K171</f>
        <v>0</v>
      </c>
      <c r="M171" s="68">
        <f>L171</f>
        <v>0</v>
      </c>
      <c r="N171" s="68">
        <f>M171*1.04</f>
        <v>0</v>
      </c>
      <c r="O171" s="68">
        <f>N171</f>
        <v>0</v>
      </c>
      <c r="P171" s="68">
        <f>O171</f>
        <v>0</v>
      </c>
      <c r="Q171" s="68">
        <f>P171*1.04</f>
        <v>0</v>
      </c>
      <c r="W171" s="102"/>
      <c r="X171" s="102"/>
      <c r="Y171" s="102"/>
      <c r="Z171" s="102"/>
      <c r="AA171" s="102"/>
      <c r="AB171" s="102"/>
    </row>
    <row r="172" spans="2:34" s="4" customFormat="1" ht="15" thickBot="1" x14ac:dyDescent="0.2">
      <c r="B172" s="48" t="s">
        <v>84</v>
      </c>
      <c r="C172" s="69">
        <f t="shared" ref="C172:G172" si="189">C169-SUM(C170:C171)</f>
        <v>82.93</v>
      </c>
      <c r="D172" s="69">
        <f t="shared" si="189"/>
        <v>82.93</v>
      </c>
      <c r="E172" s="69">
        <f t="shared" si="189"/>
        <v>82.93</v>
      </c>
      <c r="F172" s="69">
        <f t="shared" si="189"/>
        <v>82.93</v>
      </c>
      <c r="G172" s="69">
        <f t="shared" si="189"/>
        <v>82.93</v>
      </c>
      <c r="H172" s="70">
        <f t="shared" ref="H172:Q172" si="190">H169-SUM(H170:H171)</f>
        <v>82.93</v>
      </c>
      <c r="I172" s="70">
        <f t="shared" si="190"/>
        <v>82.93</v>
      </c>
      <c r="J172" s="70">
        <f t="shared" si="190"/>
        <v>82.93</v>
      </c>
      <c r="K172" s="70">
        <f t="shared" si="190"/>
        <v>82.93</v>
      </c>
      <c r="L172" s="70">
        <f t="shared" si="190"/>
        <v>82.93</v>
      </c>
      <c r="M172" s="70">
        <f t="shared" si="190"/>
        <v>82.93</v>
      </c>
      <c r="N172" s="70">
        <f t="shared" si="190"/>
        <v>82.93</v>
      </c>
      <c r="O172" s="70">
        <f t="shared" si="190"/>
        <v>82.93</v>
      </c>
      <c r="P172" s="70">
        <f t="shared" si="190"/>
        <v>82.93</v>
      </c>
      <c r="Q172" s="70">
        <f t="shared" si="190"/>
        <v>82.93</v>
      </c>
      <c r="AD172" s="76"/>
      <c r="AE172" s="76"/>
      <c r="AF172" s="76"/>
    </row>
    <row r="173" spans="2:34" s="4" customFormat="1" ht="15" thickTop="1" x14ac:dyDescent="0.15">
      <c r="B173" s="48"/>
      <c r="C173" s="186"/>
      <c r="D173" s="186"/>
      <c r="E173" s="186"/>
      <c r="F173" s="186"/>
      <c r="G173" s="186"/>
      <c r="H173" s="187"/>
      <c r="I173" s="187"/>
      <c r="J173" s="187"/>
      <c r="K173" s="187"/>
      <c r="L173" s="187"/>
      <c r="M173" s="187"/>
      <c r="N173" s="187"/>
      <c r="O173" s="187"/>
      <c r="P173" s="187"/>
      <c r="Q173" s="187"/>
      <c r="AD173" s="76"/>
      <c r="AE173" s="76"/>
      <c r="AF173" s="76"/>
    </row>
    <row r="174" spans="2:34" s="4" customFormat="1" x14ac:dyDescent="0.15">
      <c r="B174" s="403" t="s">
        <v>385</v>
      </c>
      <c r="C174" s="186"/>
      <c r="D174" s="186"/>
      <c r="E174" s="186"/>
      <c r="F174" s="186"/>
      <c r="G174" s="186"/>
      <c r="H174" s="187"/>
      <c r="I174" s="187"/>
      <c r="J174" s="187"/>
      <c r="K174" s="187"/>
      <c r="L174" s="187"/>
      <c r="M174" s="187"/>
      <c r="N174" s="187"/>
      <c r="O174" s="187"/>
      <c r="P174" s="187"/>
      <c r="Q174" s="187"/>
      <c r="AD174" s="76"/>
      <c r="AE174" s="76"/>
      <c r="AF174" s="76"/>
    </row>
    <row r="175" spans="2:34" s="4" customFormat="1" x14ac:dyDescent="0.15">
      <c r="B175" s="48" t="s">
        <v>79</v>
      </c>
      <c r="C175" s="66">
        <v>1.99</v>
      </c>
      <c r="D175" s="66">
        <f t="shared" ref="D175:G175" si="191">C178</f>
        <v>1.8099999999999998</v>
      </c>
      <c r="E175" s="66">
        <f t="shared" si="191"/>
        <v>1.8299999999999998</v>
      </c>
      <c r="F175" s="66">
        <f t="shared" si="191"/>
        <v>1.5299999999999998</v>
      </c>
      <c r="G175" s="66">
        <f t="shared" si="191"/>
        <v>1.5099999999999998</v>
      </c>
      <c r="H175" s="187">
        <f t="shared" ref="H175:Q175" si="192">G178</f>
        <v>0.29999999999999988</v>
      </c>
      <c r="I175" s="187">
        <f t="shared" si="192"/>
        <v>-3.8000000000000124E-2</v>
      </c>
      <c r="J175" s="187">
        <f t="shared" si="192"/>
        <v>-0.37769000000000008</v>
      </c>
      <c r="K175" s="187">
        <f t="shared" si="192"/>
        <v>-0.71907845000000004</v>
      </c>
      <c r="L175" s="187">
        <f t="shared" si="192"/>
        <v>-1.06217384225</v>
      </c>
      <c r="M175" s="187">
        <f t="shared" si="192"/>
        <v>-1.4069847114612499</v>
      </c>
      <c r="N175" s="187">
        <f t="shared" si="192"/>
        <v>-1.753519635018556</v>
      </c>
      <c r="O175" s="187">
        <f t="shared" si="192"/>
        <v>-2.1017872331936487</v>
      </c>
      <c r="P175" s="187">
        <f t="shared" si="192"/>
        <v>-2.4517961693596169</v>
      </c>
      <c r="Q175" s="187">
        <f t="shared" si="192"/>
        <v>-2.8035551502064142</v>
      </c>
      <c r="AD175" s="76"/>
      <c r="AE175" s="76"/>
      <c r="AF175" s="76"/>
    </row>
    <row r="176" spans="2:34" s="4" customFormat="1" x14ac:dyDescent="0.15">
      <c r="B176" s="38" t="s">
        <v>376</v>
      </c>
      <c r="C176" s="21">
        <v>-0.08</v>
      </c>
      <c r="D176" s="21">
        <v>-0.15</v>
      </c>
      <c r="E176" s="21">
        <v>-0.4</v>
      </c>
      <c r="F176" s="21">
        <v>-0.08</v>
      </c>
      <c r="G176" s="21">
        <v>-1.17</v>
      </c>
      <c r="H176" s="68">
        <f>AVERAGE(C176:G176)</f>
        <v>-0.376</v>
      </c>
      <c r="I176" s="68">
        <f t="shared" ref="I176:Q177" si="193">H176*1.005</f>
        <v>-0.37787999999999994</v>
      </c>
      <c r="J176" s="68">
        <f t="shared" si="193"/>
        <v>-0.37976939999999992</v>
      </c>
      <c r="K176" s="68">
        <f t="shared" si="193"/>
        <v>-0.38166824699999991</v>
      </c>
      <c r="L176" s="68">
        <f t="shared" si="193"/>
        <v>-0.38357658823499985</v>
      </c>
      <c r="M176" s="68">
        <f t="shared" si="193"/>
        <v>-0.3854944711761748</v>
      </c>
      <c r="N176" s="68">
        <f t="shared" si="193"/>
        <v>-0.38742194353205561</v>
      </c>
      <c r="O176" s="68">
        <f t="shared" si="193"/>
        <v>-0.38935905324971587</v>
      </c>
      <c r="P176" s="68">
        <f t="shared" si="193"/>
        <v>-0.39130584851596439</v>
      </c>
      <c r="Q176" s="68">
        <f t="shared" si="193"/>
        <v>-0.39326237775854417</v>
      </c>
      <c r="AD176" s="76"/>
      <c r="AE176" s="76"/>
      <c r="AF176" s="76"/>
    </row>
    <row r="177" spans="1:34" s="4" customFormat="1" x14ac:dyDescent="0.15">
      <c r="B177" s="38" t="s">
        <v>378</v>
      </c>
      <c r="C177" s="21">
        <v>-0.1</v>
      </c>
      <c r="D177" s="21">
        <v>0.17</v>
      </c>
      <c r="E177" s="21">
        <v>0.1</v>
      </c>
      <c r="F177" s="21">
        <v>0.06</v>
      </c>
      <c r="G177" s="21">
        <v>-0.04</v>
      </c>
      <c r="H177" s="68">
        <f>AVERAGE(C177:G177)</f>
        <v>3.7999999999999999E-2</v>
      </c>
      <c r="I177" s="68">
        <f t="shared" si="193"/>
        <v>3.8189999999999995E-2</v>
      </c>
      <c r="J177" s="68">
        <f t="shared" si="193"/>
        <v>3.838094999999999E-2</v>
      </c>
      <c r="K177" s="68">
        <f t="shared" si="193"/>
        <v>3.8572854749999989E-2</v>
      </c>
      <c r="L177" s="68">
        <f t="shared" si="193"/>
        <v>3.8765719023749985E-2</v>
      </c>
      <c r="M177" s="68">
        <f t="shared" si="193"/>
        <v>3.8959547618868731E-2</v>
      </c>
      <c r="N177" s="68">
        <f t="shared" si="193"/>
        <v>3.915434535696307E-2</v>
      </c>
      <c r="O177" s="68">
        <f t="shared" si="193"/>
        <v>3.9350117083747881E-2</v>
      </c>
      <c r="P177" s="68">
        <f t="shared" si="193"/>
        <v>3.9546867669166617E-2</v>
      </c>
      <c r="Q177" s="68">
        <f t="shared" si="193"/>
        <v>3.9744602007512446E-2</v>
      </c>
      <c r="AD177" s="76"/>
      <c r="AE177" s="76"/>
      <c r="AF177" s="76"/>
    </row>
    <row r="178" spans="1:34" s="4" customFormat="1" x14ac:dyDescent="0.15">
      <c r="B178" s="48" t="s">
        <v>81</v>
      </c>
      <c r="C178" s="186">
        <f t="shared" ref="C178:F178" si="194">SUM(C175:C177)</f>
        <v>1.8099999999999998</v>
      </c>
      <c r="D178" s="186">
        <f t="shared" si="194"/>
        <v>1.8299999999999998</v>
      </c>
      <c r="E178" s="186">
        <f t="shared" si="194"/>
        <v>1.5299999999999998</v>
      </c>
      <c r="F178" s="186">
        <f t="shared" si="194"/>
        <v>1.5099999999999998</v>
      </c>
      <c r="G178" s="186">
        <f t="shared" ref="G178:Q178" si="195">SUM(G175:G177)</f>
        <v>0.29999999999999988</v>
      </c>
      <c r="H178" s="187">
        <f t="shared" si="195"/>
        <v>-3.8000000000000124E-2</v>
      </c>
      <c r="I178" s="187">
        <f t="shared" si="195"/>
        <v>-0.37769000000000008</v>
      </c>
      <c r="J178" s="187">
        <f t="shared" si="195"/>
        <v>-0.71907845000000004</v>
      </c>
      <c r="K178" s="187">
        <f t="shared" si="195"/>
        <v>-1.06217384225</v>
      </c>
      <c r="L178" s="187">
        <f t="shared" si="195"/>
        <v>-1.4069847114612499</v>
      </c>
      <c r="M178" s="187">
        <f t="shared" si="195"/>
        <v>-1.753519635018556</v>
      </c>
      <c r="N178" s="187">
        <f t="shared" si="195"/>
        <v>-2.1017872331936487</v>
      </c>
      <c r="O178" s="187">
        <f t="shared" si="195"/>
        <v>-2.4517961693596169</v>
      </c>
      <c r="P178" s="187">
        <f t="shared" si="195"/>
        <v>-2.8035551502064142</v>
      </c>
      <c r="Q178" s="187">
        <f t="shared" si="195"/>
        <v>-3.1570729259574457</v>
      </c>
      <c r="AD178" s="76"/>
      <c r="AE178" s="76"/>
      <c r="AF178" s="76"/>
    </row>
    <row r="179" spans="1:34" s="4" customFormat="1" x14ac:dyDescent="0.15">
      <c r="B179" s="38" t="s">
        <v>83</v>
      </c>
      <c r="C179" s="21">
        <v>1.99</v>
      </c>
      <c r="D179" s="21">
        <v>1.81</v>
      </c>
      <c r="E179" s="21">
        <v>1.83</v>
      </c>
      <c r="F179" s="21">
        <v>1.53</v>
      </c>
      <c r="G179" s="21">
        <v>1.53</v>
      </c>
      <c r="H179" s="68">
        <f>AVERAGE(C179:G179)</f>
        <v>1.738</v>
      </c>
      <c r="I179" s="68">
        <f t="shared" ref="I179:Q181" si="196">H179*1.005</f>
        <v>1.7466899999999999</v>
      </c>
      <c r="J179" s="68">
        <f t="shared" si="196"/>
        <v>1.7554234499999997</v>
      </c>
      <c r="K179" s="68">
        <f t="shared" si="196"/>
        <v>1.7642005672499994</v>
      </c>
      <c r="L179" s="68">
        <f t="shared" si="196"/>
        <v>1.7730215700862493</v>
      </c>
      <c r="M179" s="68">
        <f t="shared" si="196"/>
        <v>1.7818866779366804</v>
      </c>
      <c r="N179" s="68">
        <f t="shared" si="196"/>
        <v>1.7907961113263637</v>
      </c>
      <c r="O179" s="68">
        <f t="shared" si="196"/>
        <v>1.7997500918829954</v>
      </c>
      <c r="P179" s="68">
        <f t="shared" si="196"/>
        <v>1.8087488423424103</v>
      </c>
      <c r="Q179" s="68">
        <f t="shared" si="196"/>
        <v>1.8177925865541222</v>
      </c>
      <c r="AD179" s="76"/>
      <c r="AE179" s="76"/>
      <c r="AF179" s="76"/>
    </row>
    <row r="180" spans="1:34" s="4" customFormat="1" x14ac:dyDescent="0.15">
      <c r="B180" s="38" t="s">
        <v>376</v>
      </c>
      <c r="C180" s="21">
        <v>-0.08</v>
      </c>
      <c r="D180" s="21">
        <v>-0.15</v>
      </c>
      <c r="E180" s="21">
        <v>-0.4</v>
      </c>
      <c r="F180" s="21">
        <v>-0.08</v>
      </c>
      <c r="G180" s="21">
        <v>-1.21</v>
      </c>
      <c r="H180" s="68">
        <f>AVERAGE(C180:G180)</f>
        <v>-0.38400000000000001</v>
      </c>
      <c r="I180" s="68">
        <f t="shared" si="196"/>
        <v>-0.38591999999999999</v>
      </c>
      <c r="J180" s="68">
        <f t="shared" si="196"/>
        <v>-0.38784959999999996</v>
      </c>
      <c r="K180" s="68">
        <f t="shared" si="196"/>
        <v>-0.38978884799999991</v>
      </c>
      <c r="L180" s="68">
        <f t="shared" si="196"/>
        <v>-0.39173779223999988</v>
      </c>
      <c r="M180" s="68">
        <f t="shared" si="196"/>
        <v>-0.39369648120119982</v>
      </c>
      <c r="N180" s="68">
        <f t="shared" si="196"/>
        <v>-0.39566496360720577</v>
      </c>
      <c r="O180" s="68">
        <f t="shared" si="196"/>
        <v>-0.39764328842524177</v>
      </c>
      <c r="P180" s="68">
        <f t="shared" si="196"/>
        <v>-0.39963150486736793</v>
      </c>
      <c r="Q180" s="68">
        <f t="shared" si="196"/>
        <v>-0.40162966239170472</v>
      </c>
      <c r="AD180" s="76"/>
      <c r="AE180" s="76"/>
      <c r="AF180" s="76"/>
    </row>
    <row r="181" spans="1:34" x14ac:dyDescent="0.15">
      <c r="B181" s="38" t="s">
        <v>378</v>
      </c>
      <c r="C181" s="21">
        <v>-0.1</v>
      </c>
      <c r="D181" s="21">
        <v>0.17</v>
      </c>
      <c r="E181" s="21">
        <v>0.1</v>
      </c>
      <c r="F181" s="21">
        <v>0.08</v>
      </c>
      <c r="G181" s="21">
        <v>-0.02</v>
      </c>
      <c r="H181" s="68">
        <f>AVERAGE(C181:G181)</f>
        <v>4.5999999999999999E-2</v>
      </c>
      <c r="I181" s="68">
        <f t="shared" si="196"/>
        <v>4.6229999999999993E-2</v>
      </c>
      <c r="J181" s="68">
        <f t="shared" si="196"/>
        <v>4.6461149999999986E-2</v>
      </c>
      <c r="K181" s="68">
        <f t="shared" si="196"/>
        <v>4.6693455749999981E-2</v>
      </c>
      <c r="L181" s="68">
        <f t="shared" si="196"/>
        <v>4.6926923028749977E-2</v>
      </c>
      <c r="M181" s="68">
        <f t="shared" si="196"/>
        <v>4.7161557643893723E-2</v>
      </c>
      <c r="N181" s="68">
        <f t="shared" si="196"/>
        <v>4.7397365432113189E-2</v>
      </c>
      <c r="O181" s="68">
        <f t="shared" si="196"/>
        <v>4.7634352259273753E-2</v>
      </c>
      <c r="P181" s="68">
        <f t="shared" si="196"/>
        <v>4.7872524020570115E-2</v>
      </c>
      <c r="Q181" s="68">
        <f t="shared" si="196"/>
        <v>4.8111886640672959E-2</v>
      </c>
    </row>
    <row r="182" spans="1:34" ht="15" thickBot="1" x14ac:dyDescent="0.2">
      <c r="B182" s="48" t="s">
        <v>84</v>
      </c>
      <c r="C182" s="318">
        <f t="shared" ref="C182:G182" si="197">C178-SUM(C179:C181)</f>
        <v>0</v>
      </c>
      <c r="D182" s="319">
        <f t="shared" si="197"/>
        <v>0</v>
      </c>
      <c r="E182" s="319">
        <f t="shared" si="197"/>
        <v>0</v>
      </c>
      <c r="F182" s="319">
        <f t="shared" si="197"/>
        <v>-2.000000000000024E-2</v>
      </c>
      <c r="G182" s="319">
        <f t="shared" si="197"/>
        <v>0</v>
      </c>
      <c r="H182" s="298">
        <f t="shared" ref="H182:Q182" si="198">H178-SUM(H179:H181)</f>
        <v>-1.4380000000000002</v>
      </c>
      <c r="I182" s="298">
        <f t="shared" si="198"/>
        <v>-1.7846899999999999</v>
      </c>
      <c r="J182" s="298">
        <f t="shared" si="198"/>
        <v>-2.1331134499999997</v>
      </c>
      <c r="K182" s="298">
        <f t="shared" si="198"/>
        <v>-2.4832790172499992</v>
      </c>
      <c r="L182" s="298">
        <f t="shared" si="198"/>
        <v>-2.8351954123362493</v>
      </c>
      <c r="M182" s="298">
        <f t="shared" si="198"/>
        <v>-3.1888713893979306</v>
      </c>
      <c r="N182" s="298">
        <f t="shared" si="198"/>
        <v>-3.5443157463449197</v>
      </c>
      <c r="O182" s="298">
        <f t="shared" si="198"/>
        <v>-3.9015373250766441</v>
      </c>
      <c r="P182" s="298">
        <f t="shared" si="198"/>
        <v>-4.2605450117020265</v>
      </c>
      <c r="Q182" s="298">
        <f t="shared" si="198"/>
        <v>-4.6213477367605362</v>
      </c>
    </row>
    <row r="183" spans="1:34" ht="15" thickTop="1" x14ac:dyDescent="0.15">
      <c r="B183" s="38"/>
      <c r="C183" s="72"/>
      <c r="D183" s="72"/>
      <c r="E183" s="72"/>
      <c r="F183" s="72"/>
      <c r="G183" s="72"/>
      <c r="H183" s="68"/>
      <c r="I183" s="68"/>
      <c r="J183" s="68"/>
      <c r="K183" s="68"/>
      <c r="L183" s="68"/>
      <c r="M183" s="68"/>
      <c r="N183" s="68"/>
      <c r="O183" s="68"/>
      <c r="P183" s="68"/>
      <c r="Q183" s="68"/>
    </row>
    <row r="184" spans="1:34" s="4" customFormat="1" ht="15" thickBot="1" x14ac:dyDescent="0.2">
      <c r="B184" s="48" t="s">
        <v>114</v>
      </c>
      <c r="C184" s="74">
        <f t="shared" ref="C184:Q184" si="199">SUM(C20,C32,C51,C64,C85,C106,C125,C145,C165,C172,C182)</f>
        <v>1205.0200000000002</v>
      </c>
      <c r="D184" s="74">
        <f t="shared" si="199"/>
        <v>1210.2200000000003</v>
      </c>
      <c r="E184" s="74">
        <f t="shared" si="199"/>
        <v>1274.9100000000005</v>
      </c>
      <c r="F184" s="74">
        <f t="shared" si="199"/>
        <v>1437.4000000000005</v>
      </c>
      <c r="G184" s="74">
        <f t="shared" si="199"/>
        <v>1281.2700000000007</v>
      </c>
      <c r="H184" s="70">
        <f t="shared" si="199"/>
        <v>1322.0048000000013</v>
      </c>
      <c r="I184" s="70">
        <f t="shared" si="199"/>
        <v>1364.0172300000013</v>
      </c>
      <c r="J184" s="70">
        <f t="shared" si="199"/>
        <v>1406.2151781500006</v>
      </c>
      <c r="K184" s="70">
        <f t="shared" si="199"/>
        <v>1444.2759240407509</v>
      </c>
      <c r="L184" s="70">
        <f t="shared" si="199"/>
        <v>1487.0440479009546</v>
      </c>
      <c r="M184" s="70">
        <f t="shared" si="199"/>
        <v>1530.0004866204595</v>
      </c>
      <c r="N184" s="70">
        <f t="shared" si="199"/>
        <v>1573.3503878535612</v>
      </c>
      <c r="O184" s="70">
        <f t="shared" si="199"/>
        <v>1616.8904918024298</v>
      </c>
      <c r="P184" s="70">
        <f t="shared" si="199"/>
        <v>1660.6217494806415</v>
      </c>
      <c r="Q184" s="70">
        <f t="shared" si="199"/>
        <v>1704.4274909800445</v>
      </c>
    </row>
    <row r="185" spans="1:34" s="405" customFormat="1" x14ac:dyDescent="0.15">
      <c r="B185" s="403"/>
      <c r="D185" s="406"/>
      <c r="E185" s="406"/>
      <c r="F185" s="406"/>
      <c r="G185" s="406"/>
      <c r="H185" s="406"/>
      <c r="I185" s="406"/>
      <c r="J185" s="406"/>
      <c r="K185" s="406"/>
      <c r="L185" s="406"/>
      <c r="M185" s="406"/>
      <c r="N185" s="406"/>
      <c r="O185" s="406"/>
      <c r="P185" s="406"/>
      <c r="Q185" s="406"/>
    </row>
    <row r="186" spans="1:34" s="4" customFormat="1" x14ac:dyDescent="0.15">
      <c r="B186" s="382" t="s">
        <v>258</v>
      </c>
      <c r="C186" s="382"/>
      <c r="D186" s="382"/>
      <c r="E186" s="382"/>
      <c r="F186" s="382"/>
      <c r="G186" s="382"/>
      <c r="H186" s="382"/>
      <c r="I186" s="382"/>
      <c r="J186" s="382"/>
      <c r="K186" s="382"/>
      <c r="L186" s="382"/>
      <c r="M186" s="382"/>
      <c r="N186" s="382"/>
      <c r="O186" s="382"/>
      <c r="P186" s="382"/>
      <c r="Q186" s="382"/>
    </row>
    <row r="187" spans="1:34" x14ac:dyDescent="0.15">
      <c r="A187" s="4"/>
      <c r="B187" s="48" t="s">
        <v>356</v>
      </c>
      <c r="C187" s="4"/>
      <c r="D187" s="72"/>
      <c r="E187" s="72"/>
      <c r="F187" s="72"/>
      <c r="G187" s="72"/>
      <c r="H187" s="68"/>
      <c r="I187" s="68"/>
      <c r="J187" s="68"/>
      <c r="K187" s="68"/>
      <c r="L187" s="68"/>
      <c r="M187" s="68"/>
      <c r="N187" s="68"/>
      <c r="O187" s="68"/>
      <c r="P187" s="68"/>
      <c r="Q187" s="68"/>
    </row>
    <row r="188" spans="1:34" s="4" customFormat="1" x14ac:dyDescent="0.15">
      <c r="B188" s="48" t="s">
        <v>79</v>
      </c>
      <c r="C188" s="66">
        <v>0</v>
      </c>
      <c r="D188" s="66">
        <v>0</v>
      </c>
      <c r="E188" s="66">
        <v>0</v>
      </c>
      <c r="F188" s="66">
        <v>0</v>
      </c>
      <c r="G188" s="66">
        <v>0</v>
      </c>
      <c r="H188" s="67">
        <f>G195</f>
        <v>99.960000000000008</v>
      </c>
      <c r="I188" s="67">
        <f t="shared" ref="I188:Q188" si="200">H195</f>
        <v>105.54599999999999</v>
      </c>
      <c r="J188" s="67">
        <f t="shared" si="200"/>
        <v>111.15992999999999</v>
      </c>
      <c r="K188" s="67">
        <f t="shared" si="200"/>
        <v>116.80192964999999</v>
      </c>
      <c r="L188" s="67">
        <f t="shared" si="200"/>
        <v>122.47213929825</v>
      </c>
      <c r="M188" s="67">
        <f t="shared" si="200"/>
        <v>128.17069999474126</v>
      </c>
      <c r="N188" s="67">
        <f t="shared" si="200"/>
        <v>133.89775349471498</v>
      </c>
      <c r="O188" s="67">
        <f t="shared" si="200"/>
        <v>139.65344226218858</v>
      </c>
      <c r="P188" s="67">
        <f t="shared" si="200"/>
        <v>145.43790947349953</v>
      </c>
      <c r="Q188" s="67">
        <f t="shared" si="200"/>
        <v>151.25129902086701</v>
      </c>
    </row>
    <row r="189" spans="1:34" s="4" customFormat="1" x14ac:dyDescent="0.15">
      <c r="B189" s="38" t="s">
        <v>369</v>
      </c>
      <c r="C189" s="66">
        <v>0</v>
      </c>
      <c r="D189" s="66">
        <v>0</v>
      </c>
      <c r="E189" s="66">
        <v>0</v>
      </c>
      <c r="F189" s="66">
        <v>0</v>
      </c>
      <c r="G189" s="21">
        <v>72.849999999999994</v>
      </c>
      <c r="H189" s="67">
        <v>0</v>
      </c>
      <c r="I189" s="67">
        <v>0</v>
      </c>
      <c r="J189" s="67">
        <v>0</v>
      </c>
      <c r="K189" s="67">
        <v>0</v>
      </c>
      <c r="L189" s="67">
        <v>0</v>
      </c>
      <c r="M189" s="67">
        <v>0</v>
      </c>
      <c r="N189" s="67">
        <v>0</v>
      </c>
      <c r="O189" s="67">
        <v>0</v>
      </c>
      <c r="P189" s="67">
        <v>0</v>
      </c>
      <c r="Q189" s="67">
        <v>0</v>
      </c>
    </row>
    <row r="190" spans="1:34" x14ac:dyDescent="0.15">
      <c r="A190" s="4"/>
      <c r="B190" s="38" t="s">
        <v>362</v>
      </c>
      <c r="C190" s="21">
        <v>0</v>
      </c>
      <c r="D190" s="21">
        <v>0</v>
      </c>
      <c r="E190" s="21">
        <v>0</v>
      </c>
      <c r="F190" s="21">
        <v>0</v>
      </c>
      <c r="G190" s="21">
        <v>41.59</v>
      </c>
      <c r="H190" s="68">
        <f>AVERAGE(C190:G190)</f>
        <v>8.3180000000000014</v>
      </c>
      <c r="I190" s="68">
        <f t="shared" ref="I190:Q191" si="201">H190*1.005</f>
        <v>8.3595900000000007</v>
      </c>
      <c r="J190" s="68">
        <f t="shared" si="201"/>
        <v>8.4013879500000002</v>
      </c>
      <c r="K190" s="68">
        <f t="shared" si="201"/>
        <v>8.4433948897499995</v>
      </c>
      <c r="L190" s="68">
        <f t="shared" si="201"/>
        <v>8.4856118641987486</v>
      </c>
      <c r="M190" s="68">
        <f t="shared" si="201"/>
        <v>8.5280399235197422</v>
      </c>
      <c r="N190" s="68">
        <f t="shared" si="201"/>
        <v>8.5706801231373397</v>
      </c>
      <c r="O190" s="68">
        <f t="shared" si="201"/>
        <v>8.6135335237530253</v>
      </c>
      <c r="P190" s="68">
        <f t="shared" si="201"/>
        <v>8.6566011913717897</v>
      </c>
      <c r="Q190" s="68">
        <f t="shared" si="201"/>
        <v>8.6998841973286485</v>
      </c>
      <c r="W190" s="102"/>
      <c r="X190" s="102"/>
      <c r="Y190" s="102"/>
      <c r="Z190" s="102"/>
      <c r="AA190" s="102"/>
      <c r="AB190" s="76"/>
      <c r="AD190" s="76"/>
      <c r="AE190" s="76"/>
      <c r="AF190" s="76"/>
      <c r="AG190" s="45"/>
      <c r="AH190" s="45"/>
    </row>
    <row r="191" spans="1:34" x14ac:dyDescent="0.15">
      <c r="A191" s="4"/>
      <c r="B191" s="38" t="s">
        <v>357</v>
      </c>
      <c r="C191" s="21">
        <v>0</v>
      </c>
      <c r="D191" s="21">
        <v>0</v>
      </c>
      <c r="E191" s="21">
        <v>0</v>
      </c>
      <c r="F191" s="21">
        <v>0</v>
      </c>
      <c r="G191" s="21">
        <v>-10.14</v>
      </c>
      <c r="H191" s="68">
        <f>AVERAGE(C191:G191)</f>
        <v>-2.028</v>
      </c>
      <c r="I191" s="68">
        <f t="shared" si="201"/>
        <v>-2.0381399999999998</v>
      </c>
      <c r="J191" s="68">
        <f t="shared" si="201"/>
        <v>-2.0483306999999997</v>
      </c>
      <c r="K191" s="68">
        <f t="shared" si="201"/>
        <v>-2.0585723534999993</v>
      </c>
      <c r="L191" s="68">
        <f t="shared" si="201"/>
        <v>-2.0688652152674991</v>
      </c>
      <c r="M191" s="68">
        <f t="shared" si="201"/>
        <v>-2.0792095413438365</v>
      </c>
      <c r="N191" s="68">
        <f t="shared" si="201"/>
        <v>-2.0896055890505556</v>
      </c>
      <c r="O191" s="68">
        <f t="shared" si="201"/>
        <v>-2.1000536169958082</v>
      </c>
      <c r="P191" s="68">
        <f t="shared" si="201"/>
        <v>-2.1105538850807868</v>
      </c>
      <c r="Q191" s="68">
        <f t="shared" si="201"/>
        <v>-2.1211066545061903</v>
      </c>
      <c r="W191" s="102"/>
      <c r="X191" s="102"/>
      <c r="Y191" s="102"/>
      <c r="Z191" s="102"/>
      <c r="AA191" s="102"/>
      <c r="AB191" s="76"/>
      <c r="AD191" s="76"/>
      <c r="AE191" s="76"/>
      <c r="AF191" s="76"/>
      <c r="AG191" s="45"/>
      <c r="AH191" s="45"/>
    </row>
    <row r="192" spans="1:34" x14ac:dyDescent="0.15">
      <c r="A192" s="4"/>
      <c r="B192" s="38" t="s">
        <v>359</v>
      </c>
      <c r="C192" s="21">
        <v>0</v>
      </c>
      <c r="D192" s="21">
        <v>0</v>
      </c>
      <c r="E192" s="21">
        <v>0</v>
      </c>
      <c r="F192" s="21">
        <v>0</v>
      </c>
      <c r="G192" s="21">
        <v>-0.82</v>
      </c>
      <c r="H192" s="68">
        <v>0</v>
      </c>
      <c r="I192" s="68">
        <v>0</v>
      </c>
      <c r="J192" s="68">
        <v>0</v>
      </c>
      <c r="K192" s="68">
        <v>0</v>
      </c>
      <c r="L192" s="68">
        <v>0</v>
      </c>
      <c r="M192" s="68">
        <v>0</v>
      </c>
      <c r="N192" s="68">
        <v>0</v>
      </c>
      <c r="O192" s="68">
        <v>0</v>
      </c>
      <c r="P192" s="68">
        <v>0</v>
      </c>
      <c r="Q192" s="68">
        <v>0</v>
      </c>
      <c r="W192" s="102"/>
      <c r="X192" s="102"/>
      <c r="Y192" s="102"/>
      <c r="Z192" s="102"/>
      <c r="AA192" s="102"/>
      <c r="AB192" s="76"/>
      <c r="AD192" s="76"/>
      <c r="AE192" s="76"/>
      <c r="AF192" s="76"/>
      <c r="AG192" s="45"/>
      <c r="AH192" s="45"/>
    </row>
    <row r="193" spans="1:34" x14ac:dyDescent="0.15">
      <c r="A193" s="4"/>
      <c r="B193" s="38" t="s">
        <v>83</v>
      </c>
      <c r="C193" s="21">
        <v>0</v>
      </c>
      <c r="D193" s="21">
        <v>0</v>
      </c>
      <c r="E193" s="21">
        <v>0</v>
      </c>
      <c r="F193" s="21">
        <v>0</v>
      </c>
      <c r="G193" s="21">
        <v>-0.88</v>
      </c>
      <c r="H193" s="68">
        <f>AVERAGE(C193:G193)</f>
        <v>-0.17599999999999999</v>
      </c>
      <c r="I193" s="68">
        <f t="shared" ref="I193:Q194" si="202">H193*1.005</f>
        <v>-0.17687999999999998</v>
      </c>
      <c r="J193" s="68">
        <f t="shared" si="202"/>
        <v>-0.17776439999999996</v>
      </c>
      <c r="K193" s="68">
        <f t="shared" si="202"/>
        <v>-0.17865322199999994</v>
      </c>
      <c r="L193" s="68">
        <f t="shared" si="202"/>
        <v>-0.17954648810999993</v>
      </c>
      <c r="M193" s="68">
        <f t="shared" si="202"/>
        <v>-0.1804442205505499</v>
      </c>
      <c r="N193" s="68">
        <f t="shared" si="202"/>
        <v>-0.18134644165330263</v>
      </c>
      <c r="O193" s="68">
        <f t="shared" si="202"/>
        <v>-0.18225317386156911</v>
      </c>
      <c r="P193" s="68">
        <f t="shared" si="202"/>
        <v>-0.18316443973087693</v>
      </c>
      <c r="Q193" s="68">
        <f t="shared" si="202"/>
        <v>-0.18408026192953128</v>
      </c>
      <c r="W193" s="102"/>
      <c r="X193" s="102"/>
      <c r="Y193" s="102"/>
      <c r="Z193" s="102"/>
      <c r="AA193" s="102"/>
      <c r="AB193" s="76"/>
      <c r="AD193" s="76"/>
      <c r="AE193" s="76"/>
      <c r="AF193" s="76"/>
      <c r="AG193" s="45"/>
      <c r="AH193" s="45"/>
    </row>
    <row r="194" spans="1:34" s="4" customFormat="1" x14ac:dyDescent="0.15">
      <c r="B194" s="38" t="s">
        <v>360</v>
      </c>
      <c r="C194" s="71">
        <v>0</v>
      </c>
      <c r="D194" s="71">
        <v>0</v>
      </c>
      <c r="E194" s="71">
        <v>0</v>
      </c>
      <c r="F194" s="71">
        <v>0</v>
      </c>
      <c r="G194" s="21">
        <v>-2.64</v>
      </c>
      <c r="H194" s="68">
        <f>AVERAGE(C194:G194)</f>
        <v>-0.52800000000000002</v>
      </c>
      <c r="I194" s="68">
        <f t="shared" si="202"/>
        <v>-0.53064</v>
      </c>
      <c r="J194" s="68">
        <f t="shared" si="202"/>
        <v>-0.53329319999999991</v>
      </c>
      <c r="K194" s="68">
        <f t="shared" si="202"/>
        <v>-0.53595966599999989</v>
      </c>
      <c r="L194" s="68">
        <f t="shared" si="202"/>
        <v>-0.53863946432999987</v>
      </c>
      <c r="M194" s="68">
        <f t="shared" si="202"/>
        <v>-0.54133266165164984</v>
      </c>
      <c r="N194" s="68">
        <f t="shared" si="202"/>
        <v>-0.54403932495990803</v>
      </c>
      <c r="O194" s="68">
        <f t="shared" si="202"/>
        <v>-0.54675952158470753</v>
      </c>
      <c r="P194" s="68">
        <f t="shared" si="202"/>
        <v>-0.549493319192631</v>
      </c>
      <c r="Q194" s="68">
        <f t="shared" si="202"/>
        <v>-0.55224078578859415</v>
      </c>
    </row>
    <row r="195" spans="1:34" s="4" customFormat="1" ht="15" thickBot="1" x14ac:dyDescent="0.2">
      <c r="B195" s="48" t="s">
        <v>84</v>
      </c>
      <c r="C195" s="69">
        <f t="shared" ref="C195:Q195" si="203">SUM(C188:C194)</f>
        <v>0</v>
      </c>
      <c r="D195" s="69">
        <f t="shared" si="203"/>
        <v>0</v>
      </c>
      <c r="E195" s="69">
        <f t="shared" si="203"/>
        <v>0</v>
      </c>
      <c r="F195" s="69">
        <f t="shared" si="203"/>
        <v>0</v>
      </c>
      <c r="G195" s="69">
        <f t="shared" si="203"/>
        <v>99.960000000000008</v>
      </c>
      <c r="H195" s="70">
        <f t="shared" si="203"/>
        <v>105.54599999999999</v>
      </c>
      <c r="I195" s="70">
        <f t="shared" si="203"/>
        <v>111.15992999999999</v>
      </c>
      <c r="J195" s="70">
        <f t="shared" si="203"/>
        <v>116.80192964999999</v>
      </c>
      <c r="K195" s="70">
        <f t="shared" si="203"/>
        <v>122.47213929825</v>
      </c>
      <c r="L195" s="70">
        <f t="shared" si="203"/>
        <v>128.17069999474126</v>
      </c>
      <c r="M195" s="70">
        <f t="shared" si="203"/>
        <v>133.89775349471498</v>
      </c>
      <c r="N195" s="70">
        <f t="shared" si="203"/>
        <v>139.65344226218858</v>
      </c>
      <c r="O195" s="70">
        <f t="shared" si="203"/>
        <v>145.43790947349953</v>
      </c>
      <c r="P195" s="70">
        <f t="shared" si="203"/>
        <v>151.25129902086701</v>
      </c>
      <c r="Q195" s="70">
        <f t="shared" si="203"/>
        <v>157.09375551597137</v>
      </c>
    </row>
    <row r="196" spans="1:34" s="4" customFormat="1" ht="15" thickTop="1" x14ac:dyDescent="0.15">
      <c r="B196" s="48"/>
      <c r="C196" s="186"/>
      <c r="D196" s="186"/>
      <c r="E196" s="186"/>
      <c r="F196" s="186"/>
      <c r="G196" s="186"/>
      <c r="H196" s="68"/>
      <c r="I196" s="68"/>
      <c r="J196" s="68"/>
      <c r="K196" s="68"/>
      <c r="L196" s="68"/>
      <c r="M196" s="68"/>
      <c r="N196" s="68"/>
      <c r="O196" s="68"/>
      <c r="P196" s="68"/>
      <c r="Q196" s="68"/>
    </row>
    <row r="197" spans="1:34" s="4" customFormat="1" x14ac:dyDescent="0.15">
      <c r="B197" s="48" t="s">
        <v>85</v>
      </c>
      <c r="C197" s="72"/>
      <c r="D197" s="72"/>
      <c r="E197" s="72"/>
      <c r="F197" s="72"/>
      <c r="G197" s="72"/>
      <c r="H197" s="68"/>
      <c r="I197" s="68"/>
      <c r="J197" s="68"/>
      <c r="K197" s="68"/>
      <c r="L197" s="68"/>
      <c r="M197" s="68"/>
      <c r="N197" s="68"/>
      <c r="O197" s="68"/>
      <c r="P197" s="68"/>
      <c r="Q197" s="68"/>
    </row>
    <row r="198" spans="1:34" s="4" customFormat="1" x14ac:dyDescent="0.15">
      <c r="B198" s="48" t="s">
        <v>79</v>
      </c>
      <c r="C198" s="66">
        <v>63.68</v>
      </c>
      <c r="D198" s="66">
        <f t="shared" ref="D198:Q198" si="204">C203</f>
        <v>49.150000000000006</v>
      </c>
      <c r="E198" s="66">
        <f t="shared" si="204"/>
        <v>88.04</v>
      </c>
      <c r="F198" s="66">
        <f t="shared" si="204"/>
        <v>93.740000000000023</v>
      </c>
      <c r="G198" s="66">
        <f t="shared" si="204"/>
        <v>80.490000000000023</v>
      </c>
      <c r="H198" s="67">
        <f t="shared" si="204"/>
        <v>44.800000000000018</v>
      </c>
      <c r="I198" s="67">
        <f t="shared" si="204"/>
        <v>41.464000000000027</v>
      </c>
      <c r="J198" s="67">
        <f t="shared" si="204"/>
        <v>38.111320000000042</v>
      </c>
      <c r="K198" s="67">
        <f t="shared" si="204"/>
        <v>34.741876600000047</v>
      </c>
      <c r="L198" s="67">
        <f t="shared" si="204"/>
        <v>31.355585983000065</v>
      </c>
      <c r="M198" s="67">
        <f t="shared" si="204"/>
        <v>27.952363912915079</v>
      </c>
      <c r="N198" s="67">
        <f t="shared" si="204"/>
        <v>24.53212573247967</v>
      </c>
      <c r="O198" s="67">
        <f t="shared" si="204"/>
        <v>21.094786361142084</v>
      </c>
      <c r="P198" s="67">
        <f t="shared" si="204"/>
        <v>17.640260292947811</v>
      </c>
      <c r="Q198" s="67">
        <f t="shared" si="204"/>
        <v>14.168461594412571</v>
      </c>
    </row>
    <row r="199" spans="1:34" s="4" customFormat="1" x14ac:dyDescent="0.15">
      <c r="B199" s="38" t="s">
        <v>362</v>
      </c>
      <c r="C199" s="21">
        <v>12.51</v>
      </c>
      <c r="D199" s="21">
        <v>69.150000000000006</v>
      </c>
      <c r="E199" s="21">
        <v>38.380000000000003</v>
      </c>
      <c r="F199" s="21">
        <v>24.88</v>
      </c>
      <c r="G199" s="21">
        <v>5</v>
      </c>
      <c r="H199" s="68">
        <f>AVERAGE(C199:G199)</f>
        <v>29.984000000000002</v>
      </c>
      <c r="I199" s="68">
        <f t="shared" ref="I199:Q199" si="205">H199*1.005</f>
        <v>30.13392</v>
      </c>
      <c r="J199" s="68">
        <f t="shared" si="205"/>
        <v>30.284589599999997</v>
      </c>
      <c r="K199" s="68">
        <f t="shared" si="205"/>
        <v>30.436012547999994</v>
      </c>
      <c r="L199" s="68">
        <f t="shared" si="205"/>
        <v>30.588192610739991</v>
      </c>
      <c r="M199" s="68">
        <f t="shared" si="205"/>
        <v>30.741133573793689</v>
      </c>
      <c r="N199" s="68">
        <f t="shared" si="205"/>
        <v>30.894839241662655</v>
      </c>
      <c r="O199" s="68">
        <f t="shared" si="205"/>
        <v>31.049313437870964</v>
      </c>
      <c r="P199" s="68">
        <f t="shared" si="205"/>
        <v>31.204560005060316</v>
      </c>
      <c r="Q199" s="68">
        <f t="shared" si="205"/>
        <v>31.360582805085613</v>
      </c>
      <c r="W199" s="102"/>
      <c r="X199" s="102"/>
      <c r="Y199" s="102"/>
      <c r="Z199" s="102"/>
      <c r="AA199" s="102"/>
      <c r="AB199" s="76"/>
      <c r="AD199" s="76"/>
      <c r="AE199" s="76"/>
      <c r="AF199" s="76"/>
      <c r="AG199" s="45"/>
      <c r="AH199" s="45"/>
    </row>
    <row r="200" spans="1:34" s="4" customFormat="1" x14ac:dyDescent="0.15">
      <c r="B200" s="38" t="s">
        <v>359</v>
      </c>
      <c r="C200" s="21">
        <v>0</v>
      </c>
      <c r="D200" s="21">
        <v>0</v>
      </c>
      <c r="E200" s="21">
        <v>0</v>
      </c>
      <c r="F200" s="21">
        <v>0</v>
      </c>
      <c r="G200" s="21">
        <v>-2.2000000000000002</v>
      </c>
      <c r="H200" s="68">
        <v>0</v>
      </c>
      <c r="I200" s="68">
        <v>0</v>
      </c>
      <c r="J200" s="68">
        <v>0</v>
      </c>
      <c r="K200" s="68">
        <v>0</v>
      </c>
      <c r="L200" s="68">
        <v>0</v>
      </c>
      <c r="M200" s="68">
        <v>0</v>
      </c>
      <c r="N200" s="68">
        <v>0</v>
      </c>
      <c r="O200" s="68">
        <v>0</v>
      </c>
      <c r="P200" s="68">
        <v>0</v>
      </c>
      <c r="Q200" s="68">
        <v>0</v>
      </c>
      <c r="W200" s="102"/>
      <c r="X200" s="102"/>
      <c r="Y200" s="102"/>
      <c r="Z200" s="102"/>
      <c r="AA200" s="102"/>
      <c r="AB200" s="76"/>
      <c r="AD200" s="76"/>
      <c r="AE200" s="76"/>
      <c r="AF200" s="76"/>
      <c r="AG200" s="45"/>
      <c r="AH200" s="45"/>
    </row>
    <row r="201" spans="1:34" s="4" customFormat="1" x14ac:dyDescent="0.15">
      <c r="B201" s="38" t="s">
        <v>83</v>
      </c>
      <c r="C201" s="21">
        <v>-27.13</v>
      </c>
      <c r="D201" s="21">
        <v>-29.89</v>
      </c>
      <c r="E201" s="21">
        <v>-32.97</v>
      </c>
      <c r="F201" s="21">
        <v>-37.64</v>
      </c>
      <c r="G201" s="21">
        <v>-31.89</v>
      </c>
      <c r="H201" s="68">
        <f>AVERAGE(C201:G201)</f>
        <v>-31.903999999999996</v>
      </c>
      <c r="I201" s="68">
        <f t="shared" ref="I201:Q202" si="206">H201*1.005</f>
        <v>-32.06351999999999</v>
      </c>
      <c r="J201" s="68">
        <f t="shared" si="206"/>
        <v>-32.223837599999989</v>
      </c>
      <c r="K201" s="68">
        <f t="shared" si="206"/>
        <v>-32.384956787999982</v>
      </c>
      <c r="L201" s="68">
        <f t="shared" si="206"/>
        <v>-32.546881571939977</v>
      </c>
      <c r="M201" s="68">
        <f t="shared" si="206"/>
        <v>-32.709615979799672</v>
      </c>
      <c r="N201" s="68">
        <f t="shared" si="206"/>
        <v>-32.873164059698667</v>
      </c>
      <c r="O201" s="68">
        <f t="shared" si="206"/>
        <v>-33.037529879997159</v>
      </c>
      <c r="P201" s="68">
        <f t="shared" si="206"/>
        <v>-33.202717529397141</v>
      </c>
      <c r="Q201" s="68">
        <f t="shared" si="206"/>
        <v>-33.368731117044121</v>
      </c>
      <c r="W201" s="102"/>
      <c r="X201" s="102"/>
      <c r="Y201" s="102"/>
      <c r="Z201" s="102"/>
      <c r="AA201" s="102"/>
      <c r="AB201" s="76"/>
      <c r="AD201" s="76"/>
      <c r="AE201" s="76"/>
      <c r="AF201" s="76"/>
      <c r="AG201" s="45"/>
      <c r="AH201" s="45"/>
    </row>
    <row r="202" spans="1:34" s="4" customFormat="1" x14ac:dyDescent="0.15">
      <c r="B202" s="38" t="s">
        <v>360</v>
      </c>
      <c r="C202" s="21">
        <v>0.09</v>
      </c>
      <c r="D202" s="21">
        <v>-0.37</v>
      </c>
      <c r="E202" s="21">
        <v>0.28999999999999998</v>
      </c>
      <c r="F202" s="21">
        <v>-0.49</v>
      </c>
      <c r="G202" s="21">
        <v>-6.6</v>
      </c>
      <c r="H202" s="68">
        <f>AVERAGE(C202:G202)</f>
        <v>-1.4159999999999999</v>
      </c>
      <c r="I202" s="68">
        <f t="shared" si="206"/>
        <v>-1.4230799999999997</v>
      </c>
      <c r="J202" s="68">
        <f t="shared" si="206"/>
        <v>-1.4301953999999995</v>
      </c>
      <c r="K202" s="68">
        <f t="shared" si="206"/>
        <v>-1.4373463769999992</v>
      </c>
      <c r="L202" s="68">
        <f t="shared" si="206"/>
        <v>-1.4445331088849991</v>
      </c>
      <c r="M202" s="68">
        <f t="shared" si="206"/>
        <v>-1.4517557744294238</v>
      </c>
      <c r="N202" s="68">
        <f t="shared" si="206"/>
        <v>-1.4590145533015708</v>
      </c>
      <c r="O202" s="68">
        <f t="shared" si="206"/>
        <v>-1.4663096260680786</v>
      </c>
      <c r="P202" s="68">
        <f t="shared" si="206"/>
        <v>-1.4736411741984188</v>
      </c>
      <c r="Q202" s="68">
        <f t="shared" si="206"/>
        <v>-1.4810093800694106</v>
      </c>
      <c r="W202" s="102"/>
      <c r="X202" s="102"/>
      <c r="Y202" s="102"/>
      <c r="Z202" s="102"/>
      <c r="AA202" s="102"/>
      <c r="AB202" s="76"/>
      <c r="AD202" s="76"/>
      <c r="AE202" s="76"/>
      <c r="AF202" s="76"/>
      <c r="AG202" s="45"/>
      <c r="AH202" s="45"/>
    </row>
    <row r="203" spans="1:34" s="4" customFormat="1" ht="15" thickBot="1" x14ac:dyDescent="0.2">
      <c r="B203" s="48" t="s">
        <v>84</v>
      </c>
      <c r="C203" s="69">
        <f t="shared" ref="C203:Q203" si="207">SUM(C198:C202)</f>
        <v>49.150000000000006</v>
      </c>
      <c r="D203" s="69">
        <f t="shared" si="207"/>
        <v>88.04</v>
      </c>
      <c r="E203" s="69">
        <f t="shared" si="207"/>
        <v>93.740000000000023</v>
      </c>
      <c r="F203" s="69">
        <f t="shared" si="207"/>
        <v>80.490000000000023</v>
      </c>
      <c r="G203" s="69">
        <f t="shared" si="207"/>
        <v>44.800000000000018</v>
      </c>
      <c r="H203" s="70">
        <f t="shared" si="207"/>
        <v>41.464000000000027</v>
      </c>
      <c r="I203" s="70">
        <f t="shared" si="207"/>
        <v>38.111320000000042</v>
      </c>
      <c r="J203" s="70">
        <f t="shared" si="207"/>
        <v>34.741876600000047</v>
      </c>
      <c r="K203" s="70">
        <f t="shared" si="207"/>
        <v>31.355585983000065</v>
      </c>
      <c r="L203" s="70">
        <f t="shared" si="207"/>
        <v>27.952363912915079</v>
      </c>
      <c r="M203" s="70">
        <f t="shared" si="207"/>
        <v>24.53212573247967</v>
      </c>
      <c r="N203" s="70">
        <f t="shared" si="207"/>
        <v>21.094786361142084</v>
      </c>
      <c r="O203" s="70">
        <f t="shared" si="207"/>
        <v>17.640260292947811</v>
      </c>
      <c r="P203" s="70">
        <f t="shared" si="207"/>
        <v>14.168461594412571</v>
      </c>
      <c r="Q203" s="70">
        <f t="shared" si="207"/>
        <v>10.679303902384651</v>
      </c>
    </row>
    <row r="204" spans="1:34" s="4" customFormat="1" ht="15" thickTop="1" x14ac:dyDescent="0.15">
      <c r="B204" s="48"/>
      <c r="C204" s="186"/>
      <c r="D204" s="186"/>
      <c r="E204" s="186"/>
      <c r="F204" s="186"/>
      <c r="G204" s="186"/>
      <c r="H204" s="68"/>
      <c r="I204" s="68"/>
      <c r="J204" s="68"/>
      <c r="K204" s="68"/>
      <c r="L204" s="68"/>
      <c r="M204" s="68"/>
      <c r="N204" s="68"/>
      <c r="O204" s="68"/>
      <c r="P204" s="68"/>
      <c r="Q204" s="68"/>
    </row>
    <row r="205" spans="1:34" s="4" customFormat="1" x14ac:dyDescent="0.15">
      <c r="B205" s="48" t="s">
        <v>86</v>
      </c>
      <c r="C205" s="72"/>
      <c r="D205" s="72"/>
      <c r="E205" s="72"/>
      <c r="F205" s="72"/>
      <c r="G205" s="72"/>
      <c r="H205" s="68"/>
      <c r="I205" s="68"/>
      <c r="J205" s="68"/>
      <c r="K205" s="68"/>
      <c r="L205" s="68"/>
      <c r="M205" s="68"/>
      <c r="N205" s="68"/>
      <c r="O205" s="68"/>
      <c r="P205" s="68"/>
      <c r="Q205" s="68"/>
    </row>
    <row r="206" spans="1:34" s="4" customFormat="1" x14ac:dyDescent="0.15">
      <c r="B206" s="48" t="s">
        <v>79</v>
      </c>
      <c r="C206" s="66">
        <v>0</v>
      </c>
      <c r="D206" s="66">
        <f t="shared" ref="D206:Q206" si="208">C210</f>
        <v>2.15</v>
      </c>
      <c r="E206" s="66">
        <f t="shared" si="208"/>
        <v>2.0299999999999998</v>
      </c>
      <c r="F206" s="66">
        <f t="shared" si="208"/>
        <v>2.88</v>
      </c>
      <c r="G206" s="66">
        <f t="shared" si="208"/>
        <v>4.4399999999999995</v>
      </c>
      <c r="H206" s="67">
        <f t="shared" si="208"/>
        <v>3.15</v>
      </c>
      <c r="I206" s="67">
        <f t="shared" si="208"/>
        <v>3.7799999999999994</v>
      </c>
      <c r="J206" s="67">
        <f t="shared" si="208"/>
        <v>4.413149999999999</v>
      </c>
      <c r="K206" s="67">
        <f t="shared" si="208"/>
        <v>5.0494657499999986</v>
      </c>
      <c r="L206" s="67">
        <f t="shared" si="208"/>
        <v>5.6889630787499987</v>
      </c>
      <c r="M206" s="67">
        <f t="shared" si="208"/>
        <v>6.3316578941437491</v>
      </c>
      <c r="N206" s="67">
        <f t="shared" si="208"/>
        <v>6.977566183614468</v>
      </c>
      <c r="O206" s="67">
        <f t="shared" si="208"/>
        <v>7.6267040145325389</v>
      </c>
      <c r="P206" s="67">
        <f t="shared" si="208"/>
        <v>8.2790875346052015</v>
      </c>
      <c r="Q206" s="67">
        <f t="shared" si="208"/>
        <v>8.9347329722782263</v>
      </c>
    </row>
    <row r="207" spans="1:34" s="4" customFormat="1" x14ac:dyDescent="0.15">
      <c r="B207" s="38" t="s">
        <v>80</v>
      </c>
      <c r="C207" s="21">
        <v>2.06</v>
      </c>
      <c r="D207" s="21">
        <v>0.87</v>
      </c>
      <c r="E207" s="21">
        <v>1.68</v>
      </c>
      <c r="F207" s="21">
        <v>2.64</v>
      </c>
      <c r="G207" s="21">
        <v>0.16</v>
      </c>
      <c r="H207" s="68">
        <f>AVERAGE(C207:G207)</f>
        <v>1.482</v>
      </c>
      <c r="I207" s="68">
        <f t="shared" ref="I207:Q209" si="209">H207*1.005</f>
        <v>1.4894099999999999</v>
      </c>
      <c r="J207" s="68">
        <f t="shared" si="209"/>
        <v>1.4968570499999998</v>
      </c>
      <c r="K207" s="68">
        <f t="shared" si="209"/>
        <v>1.5043413352499997</v>
      </c>
      <c r="L207" s="68">
        <f t="shared" si="209"/>
        <v>1.5118630419262495</v>
      </c>
      <c r="M207" s="68">
        <f t="shared" si="209"/>
        <v>1.5194223571358807</v>
      </c>
      <c r="N207" s="68">
        <f t="shared" si="209"/>
        <v>1.5270194689215599</v>
      </c>
      <c r="O207" s="68">
        <f t="shared" si="209"/>
        <v>1.5346545662661675</v>
      </c>
      <c r="P207" s="68">
        <f t="shared" si="209"/>
        <v>1.5423278390974982</v>
      </c>
      <c r="Q207" s="68">
        <f t="shared" si="209"/>
        <v>1.5500394782929854</v>
      </c>
      <c r="W207" s="102"/>
      <c r="X207" s="102"/>
      <c r="Y207" s="102"/>
      <c r="Z207" s="102"/>
      <c r="AA207" s="102"/>
      <c r="AB207" s="76"/>
      <c r="AD207" s="76"/>
      <c r="AE207" s="76"/>
      <c r="AF207" s="76"/>
      <c r="AG207" s="45"/>
      <c r="AH207" s="45"/>
    </row>
    <row r="208" spans="1:34" s="4" customFormat="1" x14ac:dyDescent="0.15">
      <c r="B208" s="38" t="s">
        <v>83</v>
      </c>
      <c r="C208" s="21">
        <v>-0.04</v>
      </c>
      <c r="D208" s="21">
        <v>-0.91</v>
      </c>
      <c r="E208" s="21">
        <v>-0.94</v>
      </c>
      <c r="F208" s="21">
        <v>-1.34</v>
      </c>
      <c r="G208" s="21">
        <v>-1.76</v>
      </c>
      <c r="H208" s="68">
        <f>AVERAGE(C208:G208)</f>
        <v>-0.998</v>
      </c>
      <c r="I208" s="68">
        <f t="shared" si="209"/>
        <v>-1.0029899999999998</v>
      </c>
      <c r="J208" s="68">
        <f t="shared" si="209"/>
        <v>-1.0080049499999997</v>
      </c>
      <c r="K208" s="68">
        <f t="shared" si="209"/>
        <v>-1.0130449747499997</v>
      </c>
      <c r="L208" s="68">
        <f t="shared" si="209"/>
        <v>-1.0181101996237496</v>
      </c>
      <c r="M208" s="68">
        <f t="shared" si="209"/>
        <v>-1.0232007506218683</v>
      </c>
      <c r="N208" s="68">
        <f t="shared" si="209"/>
        <v>-1.0283167543749776</v>
      </c>
      <c r="O208" s="68">
        <f t="shared" si="209"/>
        <v>-1.0334583381468523</v>
      </c>
      <c r="P208" s="68">
        <f t="shared" si="209"/>
        <v>-1.0386256298375864</v>
      </c>
      <c r="Q208" s="68">
        <f t="shared" si="209"/>
        <v>-1.0438187579867744</v>
      </c>
      <c r="W208" s="102"/>
      <c r="X208" s="102"/>
      <c r="Y208" s="102"/>
      <c r="Z208" s="102"/>
      <c r="AA208" s="102"/>
      <c r="AB208" s="76"/>
      <c r="AD208" s="76"/>
      <c r="AE208" s="76"/>
      <c r="AF208" s="76"/>
      <c r="AG208" s="45"/>
      <c r="AH208" s="45"/>
    </row>
    <row r="209" spans="2:34" s="4" customFormat="1" x14ac:dyDescent="0.15">
      <c r="B209" s="38" t="s">
        <v>360</v>
      </c>
      <c r="C209" s="21">
        <v>0.13</v>
      </c>
      <c r="D209" s="21">
        <v>-0.08</v>
      </c>
      <c r="E209" s="21">
        <v>0.11</v>
      </c>
      <c r="F209" s="21">
        <v>0.26</v>
      </c>
      <c r="G209" s="21">
        <v>0.31</v>
      </c>
      <c r="H209" s="68">
        <f>AVERAGE(C209:G209)</f>
        <v>0.14599999999999999</v>
      </c>
      <c r="I209" s="68">
        <f t="shared" si="209"/>
        <v>0.14672999999999997</v>
      </c>
      <c r="J209" s="68">
        <f t="shared" si="209"/>
        <v>0.14746364999999995</v>
      </c>
      <c r="K209" s="68">
        <f t="shared" si="209"/>
        <v>0.14820096824999993</v>
      </c>
      <c r="L209" s="68">
        <f t="shared" si="209"/>
        <v>0.1489419730912499</v>
      </c>
      <c r="M209" s="68">
        <f t="shared" si="209"/>
        <v>0.14968668295670615</v>
      </c>
      <c r="N209" s="68">
        <f t="shared" si="209"/>
        <v>0.15043511637148965</v>
      </c>
      <c r="O209" s="68">
        <f t="shared" si="209"/>
        <v>0.1511872919533471</v>
      </c>
      <c r="P209" s="68">
        <f t="shared" si="209"/>
        <v>0.15194322841311381</v>
      </c>
      <c r="Q209" s="68">
        <f t="shared" si="209"/>
        <v>0.15270294455517935</v>
      </c>
      <c r="W209" s="102"/>
      <c r="X209" s="102"/>
      <c r="Y209" s="102"/>
      <c r="Z209" s="102"/>
      <c r="AA209" s="102"/>
      <c r="AB209" s="76"/>
      <c r="AD209" s="76"/>
      <c r="AE209" s="76"/>
      <c r="AF209" s="76"/>
      <c r="AG209" s="45"/>
      <c r="AH209" s="45"/>
    </row>
    <row r="210" spans="2:34" s="4" customFormat="1" ht="15" thickBot="1" x14ac:dyDescent="0.2">
      <c r="B210" s="48" t="s">
        <v>84</v>
      </c>
      <c r="C210" s="69">
        <f t="shared" ref="C210:Q210" si="210">SUM(C206:C209)</f>
        <v>2.15</v>
      </c>
      <c r="D210" s="69">
        <f t="shared" si="210"/>
        <v>2.0299999999999998</v>
      </c>
      <c r="E210" s="69">
        <f t="shared" si="210"/>
        <v>2.88</v>
      </c>
      <c r="F210" s="69">
        <f t="shared" si="210"/>
        <v>4.4399999999999995</v>
      </c>
      <c r="G210" s="69">
        <f t="shared" si="210"/>
        <v>3.15</v>
      </c>
      <c r="H210" s="70">
        <f t="shared" si="210"/>
        <v>3.7799999999999994</v>
      </c>
      <c r="I210" s="70">
        <f t="shared" si="210"/>
        <v>4.413149999999999</v>
      </c>
      <c r="J210" s="70">
        <f t="shared" si="210"/>
        <v>5.0494657499999986</v>
      </c>
      <c r="K210" s="70">
        <f t="shared" si="210"/>
        <v>5.6889630787499987</v>
      </c>
      <c r="L210" s="70">
        <f t="shared" si="210"/>
        <v>6.3316578941437491</v>
      </c>
      <c r="M210" s="70">
        <f t="shared" si="210"/>
        <v>6.977566183614468</v>
      </c>
      <c r="N210" s="70">
        <f t="shared" si="210"/>
        <v>7.6267040145325389</v>
      </c>
      <c r="O210" s="70">
        <f t="shared" si="210"/>
        <v>8.2790875346052015</v>
      </c>
      <c r="P210" s="70">
        <f t="shared" si="210"/>
        <v>8.9347329722782263</v>
      </c>
      <c r="Q210" s="70">
        <f t="shared" si="210"/>
        <v>9.5936566371396168</v>
      </c>
    </row>
    <row r="211" spans="2:34" s="4" customFormat="1" ht="15" thickTop="1" x14ac:dyDescent="0.15">
      <c r="B211" s="48"/>
      <c r="C211" s="186"/>
      <c r="D211" s="186"/>
      <c r="E211" s="186"/>
      <c r="F211" s="186"/>
      <c r="G211" s="186"/>
      <c r="H211" s="68"/>
      <c r="I211" s="68"/>
      <c r="J211" s="68"/>
      <c r="K211" s="68"/>
      <c r="L211" s="68"/>
      <c r="M211" s="68"/>
      <c r="N211" s="68"/>
      <c r="O211" s="68"/>
      <c r="P211" s="68"/>
      <c r="Q211" s="68"/>
    </row>
    <row r="212" spans="2:34" s="4" customFormat="1" x14ac:dyDescent="0.15">
      <c r="B212" s="48" t="s">
        <v>324</v>
      </c>
      <c r="C212" s="72"/>
      <c r="D212" s="72"/>
      <c r="E212" s="72"/>
      <c r="F212" s="72"/>
      <c r="G212" s="72"/>
      <c r="H212" s="68"/>
      <c r="I212" s="68"/>
      <c r="J212" s="68"/>
      <c r="K212" s="68"/>
      <c r="L212" s="68"/>
      <c r="M212" s="68"/>
      <c r="N212" s="68"/>
      <c r="O212" s="68"/>
      <c r="P212" s="68"/>
      <c r="Q212" s="68"/>
    </row>
    <row r="213" spans="2:34" s="4" customFormat="1" x14ac:dyDescent="0.15">
      <c r="B213" s="48" t="s">
        <v>79</v>
      </c>
      <c r="C213" s="66">
        <v>0</v>
      </c>
      <c r="D213" s="66">
        <f t="shared" ref="D213:Q213" si="211">C217</f>
        <v>0.35</v>
      </c>
      <c r="E213" s="66">
        <f t="shared" si="211"/>
        <v>1.0599999999999998</v>
      </c>
      <c r="F213" s="66">
        <f t="shared" si="211"/>
        <v>1.8299999999999996</v>
      </c>
      <c r="G213" s="66">
        <f t="shared" si="211"/>
        <v>11.740000000000002</v>
      </c>
      <c r="H213" s="67">
        <f t="shared" si="211"/>
        <v>17.21</v>
      </c>
      <c r="I213" s="67">
        <f t="shared" si="211"/>
        <v>20.652000000000001</v>
      </c>
      <c r="J213" s="67">
        <f t="shared" si="211"/>
        <v>24.11121</v>
      </c>
      <c r="K213" s="67">
        <f t="shared" si="211"/>
        <v>27.587716050000001</v>
      </c>
      <c r="L213" s="67">
        <f t="shared" si="211"/>
        <v>31.081604630249995</v>
      </c>
      <c r="M213" s="67">
        <f t="shared" si="211"/>
        <v>34.592962653401244</v>
      </c>
      <c r="N213" s="67">
        <f t="shared" si="211"/>
        <v>38.121877466668252</v>
      </c>
      <c r="O213" s="67">
        <f t="shared" si="211"/>
        <v>41.668436854001591</v>
      </c>
      <c r="P213" s="67">
        <f t="shared" si="211"/>
        <v>45.2327290382716</v>
      </c>
      <c r="Q213" s="67">
        <f t="shared" si="211"/>
        <v>48.814842683462956</v>
      </c>
    </row>
    <row r="214" spans="2:34" s="4" customFormat="1" x14ac:dyDescent="0.15">
      <c r="B214" s="38" t="s">
        <v>80</v>
      </c>
      <c r="C214" s="21">
        <v>0.45</v>
      </c>
      <c r="D214" s="21">
        <v>1.05</v>
      </c>
      <c r="E214" s="21">
        <v>1.08</v>
      </c>
      <c r="F214" s="21">
        <v>12.63</v>
      </c>
      <c r="G214" s="21">
        <v>14.69</v>
      </c>
      <c r="H214" s="68">
        <f>AVERAGE(C214:G214)</f>
        <v>5.9799999999999995</v>
      </c>
      <c r="I214" s="68">
        <f t="shared" ref="I214:Q216" si="212">H214*1.005</f>
        <v>6.0098999999999991</v>
      </c>
      <c r="J214" s="68">
        <f t="shared" si="212"/>
        <v>6.0399494999999987</v>
      </c>
      <c r="K214" s="68">
        <f t="shared" si="212"/>
        <v>6.0701492474999981</v>
      </c>
      <c r="L214" s="68">
        <f t="shared" si="212"/>
        <v>6.1004999937374977</v>
      </c>
      <c r="M214" s="68">
        <f t="shared" si="212"/>
        <v>6.1310024937061849</v>
      </c>
      <c r="N214" s="68">
        <f t="shared" si="212"/>
        <v>6.1616575061747154</v>
      </c>
      <c r="O214" s="68">
        <f t="shared" si="212"/>
        <v>6.1924657937055887</v>
      </c>
      <c r="P214" s="68">
        <f t="shared" si="212"/>
        <v>6.2234281226741164</v>
      </c>
      <c r="Q214" s="68">
        <f t="shared" si="212"/>
        <v>6.2545452632874863</v>
      </c>
      <c r="W214" s="102"/>
      <c r="X214" s="102"/>
      <c r="Y214" s="102"/>
      <c r="Z214" s="102"/>
      <c r="AA214" s="102"/>
      <c r="AB214" s="76"/>
      <c r="AD214" s="76"/>
      <c r="AE214" s="76"/>
      <c r="AF214" s="76"/>
      <c r="AG214" s="45"/>
      <c r="AH214" s="45"/>
    </row>
    <row r="215" spans="2:34" s="4" customFormat="1" x14ac:dyDescent="0.15">
      <c r="B215" s="38" t="s">
        <v>83</v>
      </c>
      <c r="C215" s="21">
        <v>-7.0000000000000007E-2</v>
      </c>
      <c r="D215" s="21">
        <v>-0.31</v>
      </c>
      <c r="E215" s="21">
        <v>-0.45</v>
      </c>
      <c r="F215" s="21">
        <v>-2.5299999999999998</v>
      </c>
      <c r="G215" s="21">
        <v>-2.61</v>
      </c>
      <c r="H215" s="68">
        <f>AVERAGE(C215:G215)</f>
        <v>-1.194</v>
      </c>
      <c r="I215" s="68">
        <f t="shared" si="212"/>
        <v>-1.1999699999999998</v>
      </c>
      <c r="J215" s="68">
        <f t="shared" si="212"/>
        <v>-1.2059698499999996</v>
      </c>
      <c r="K215" s="68">
        <f t="shared" si="212"/>
        <v>-1.2119996992499995</v>
      </c>
      <c r="L215" s="68">
        <f t="shared" si="212"/>
        <v>-1.2180596977462494</v>
      </c>
      <c r="M215" s="68">
        <f t="shared" si="212"/>
        <v>-1.2241499962349807</v>
      </c>
      <c r="N215" s="68">
        <f t="shared" si="212"/>
        <v>-1.2302707462161555</v>
      </c>
      <c r="O215" s="68">
        <f t="shared" si="212"/>
        <v>-1.2364220999472362</v>
      </c>
      <c r="P215" s="68">
        <f t="shared" si="212"/>
        <v>-1.2426042104469723</v>
      </c>
      <c r="Q215" s="68">
        <f t="shared" si="212"/>
        <v>-1.248817231499207</v>
      </c>
      <c r="W215" s="102"/>
      <c r="X215" s="102"/>
      <c r="Y215" s="102"/>
      <c r="Z215" s="102"/>
      <c r="AA215" s="102"/>
      <c r="AB215" s="76"/>
      <c r="AD215" s="76"/>
      <c r="AE215" s="76"/>
      <c r="AF215" s="76"/>
      <c r="AG215" s="45"/>
      <c r="AH215" s="45"/>
    </row>
    <row r="216" spans="2:34" s="4" customFormat="1" x14ac:dyDescent="0.15">
      <c r="B216" s="38" t="s">
        <v>323</v>
      </c>
      <c r="C216" s="21">
        <v>-0.03</v>
      </c>
      <c r="D216" s="21">
        <v>-0.03</v>
      </c>
      <c r="E216" s="21">
        <v>0.14000000000000001</v>
      </c>
      <c r="F216" s="21">
        <v>-0.19</v>
      </c>
      <c r="G216" s="21">
        <v>-6.61</v>
      </c>
      <c r="H216" s="68">
        <f>AVERAGE(C216:G216)</f>
        <v>-1.3440000000000001</v>
      </c>
      <c r="I216" s="68">
        <f t="shared" si="212"/>
        <v>-1.3507199999999999</v>
      </c>
      <c r="J216" s="68">
        <f t="shared" si="212"/>
        <v>-1.3574735999999998</v>
      </c>
      <c r="K216" s="68">
        <f t="shared" si="212"/>
        <v>-1.3642609679999997</v>
      </c>
      <c r="L216" s="68">
        <f t="shared" si="212"/>
        <v>-1.3710822728399996</v>
      </c>
      <c r="M216" s="68">
        <f t="shared" si="212"/>
        <v>-1.3779376842041995</v>
      </c>
      <c r="N216" s="68">
        <f t="shared" si="212"/>
        <v>-1.3848273726252203</v>
      </c>
      <c r="O216" s="68">
        <f t="shared" si="212"/>
        <v>-1.3917515094883461</v>
      </c>
      <c r="P216" s="68">
        <f t="shared" si="212"/>
        <v>-1.3987102670357878</v>
      </c>
      <c r="Q216" s="68">
        <f t="shared" si="212"/>
        <v>-1.4057038183709667</v>
      </c>
      <c r="W216" s="102"/>
      <c r="X216" s="102"/>
      <c r="Y216" s="102"/>
      <c r="Z216" s="102"/>
      <c r="AA216" s="102"/>
      <c r="AB216" s="76"/>
      <c r="AD216" s="76"/>
      <c r="AE216" s="76"/>
      <c r="AF216" s="76"/>
      <c r="AG216" s="45"/>
      <c r="AH216" s="45"/>
    </row>
    <row r="217" spans="2:34" s="4" customFormat="1" ht="15" thickBot="1" x14ac:dyDescent="0.2">
      <c r="B217" s="48" t="s">
        <v>84</v>
      </c>
      <c r="C217" s="69">
        <f t="shared" ref="C217:Q217" si="213">SUM(C213:C216)</f>
        <v>0.35</v>
      </c>
      <c r="D217" s="69">
        <f t="shared" si="213"/>
        <v>1.0599999999999998</v>
      </c>
      <c r="E217" s="69">
        <f t="shared" si="213"/>
        <v>1.8299999999999996</v>
      </c>
      <c r="F217" s="69">
        <f t="shared" si="213"/>
        <v>11.740000000000002</v>
      </c>
      <c r="G217" s="69">
        <f t="shared" si="213"/>
        <v>17.21</v>
      </c>
      <c r="H217" s="70">
        <f t="shared" si="213"/>
        <v>20.652000000000001</v>
      </c>
      <c r="I217" s="70">
        <f t="shared" si="213"/>
        <v>24.11121</v>
      </c>
      <c r="J217" s="70">
        <f t="shared" si="213"/>
        <v>27.587716050000001</v>
      </c>
      <c r="K217" s="70">
        <f t="shared" si="213"/>
        <v>31.081604630249995</v>
      </c>
      <c r="L217" s="70">
        <f t="shared" si="213"/>
        <v>34.592962653401244</v>
      </c>
      <c r="M217" s="70">
        <f t="shared" si="213"/>
        <v>38.121877466668252</v>
      </c>
      <c r="N217" s="70">
        <f t="shared" si="213"/>
        <v>41.668436854001591</v>
      </c>
      <c r="O217" s="70">
        <f t="shared" si="213"/>
        <v>45.2327290382716</v>
      </c>
      <c r="P217" s="70">
        <f t="shared" si="213"/>
        <v>48.814842683462956</v>
      </c>
      <c r="Q217" s="70">
        <f t="shared" si="213"/>
        <v>52.414866896880262</v>
      </c>
    </row>
    <row r="218" spans="2:34" s="4" customFormat="1" ht="15" thickTop="1" x14ac:dyDescent="0.15">
      <c r="B218" s="48"/>
      <c r="C218" s="186"/>
      <c r="D218" s="186"/>
      <c r="E218" s="186"/>
      <c r="F218" s="186"/>
      <c r="G218" s="186"/>
      <c r="H218" s="68"/>
      <c r="I218" s="68"/>
      <c r="J218" s="68"/>
      <c r="K218" s="68"/>
      <c r="L218" s="68"/>
      <c r="M218" s="68"/>
      <c r="N218" s="68"/>
      <c r="O218" s="68"/>
      <c r="P218" s="68"/>
      <c r="Q218" s="68"/>
    </row>
    <row r="219" spans="2:34" s="4" customFormat="1" x14ac:dyDescent="0.15">
      <c r="B219" s="48" t="s">
        <v>363</v>
      </c>
      <c r="C219" s="72"/>
      <c r="D219" s="72"/>
      <c r="E219" s="72"/>
      <c r="F219" s="72"/>
      <c r="G219" s="72"/>
      <c r="H219" s="68"/>
      <c r="I219" s="68"/>
      <c r="J219" s="68"/>
      <c r="K219" s="68"/>
      <c r="L219" s="68"/>
      <c r="M219" s="68"/>
      <c r="N219" s="68"/>
      <c r="O219" s="68"/>
      <c r="P219" s="68"/>
      <c r="Q219" s="68"/>
    </row>
    <row r="220" spans="2:34" s="4" customFormat="1" x14ac:dyDescent="0.15">
      <c r="B220" s="48" t="s">
        <v>79</v>
      </c>
      <c r="C220" s="66" t="s">
        <v>355</v>
      </c>
      <c r="D220" s="66">
        <f t="shared" ref="D220:G220" si="214">C224</f>
        <v>0.25000000000000006</v>
      </c>
      <c r="E220" s="66">
        <f t="shared" si="214"/>
        <v>5.5511151231257827E-17</v>
      </c>
      <c r="F220" s="66">
        <f t="shared" si="214"/>
        <v>5.5511151231257827E-17</v>
      </c>
      <c r="G220" s="66">
        <f t="shared" si="214"/>
        <v>5.5511151231257827E-17</v>
      </c>
      <c r="H220" s="67">
        <f t="shared" ref="H220:Q220" si="215">G224</f>
        <v>5.5511151231257827E-17</v>
      </c>
      <c r="I220" s="67">
        <f t="shared" si="215"/>
        <v>5.7245874707234634E-17</v>
      </c>
      <c r="J220" s="67">
        <f t="shared" si="215"/>
        <v>5.8980598183211441E-17</v>
      </c>
      <c r="K220" s="67">
        <f t="shared" si="215"/>
        <v>6.0715321659188248E-17</v>
      </c>
      <c r="L220" s="67">
        <f t="shared" si="215"/>
        <v>6.4184768611141862E-17</v>
      </c>
      <c r="M220" s="67">
        <f t="shared" si="215"/>
        <v>6.9388939039072284E-17</v>
      </c>
      <c r="N220" s="67">
        <f t="shared" si="215"/>
        <v>7.2858385991025898E-17</v>
      </c>
      <c r="O220" s="67">
        <f t="shared" si="215"/>
        <v>7.6327832942979512E-17</v>
      </c>
      <c r="P220" s="67">
        <f t="shared" si="215"/>
        <v>7.9797279894933126E-17</v>
      </c>
      <c r="Q220" s="67">
        <f t="shared" si="215"/>
        <v>8.3266726846886741E-17</v>
      </c>
    </row>
    <row r="221" spans="2:34" s="4" customFormat="1" x14ac:dyDescent="0.15">
      <c r="B221" s="38" t="s">
        <v>80</v>
      </c>
      <c r="C221" s="21">
        <v>0.32</v>
      </c>
      <c r="D221" s="21">
        <v>-0.25</v>
      </c>
      <c r="E221" s="21">
        <v>0</v>
      </c>
      <c r="F221" s="21">
        <v>0</v>
      </c>
      <c r="G221" s="21">
        <v>0</v>
      </c>
      <c r="H221" s="68">
        <f>AVERAGE(C221:G221)</f>
        <v>1.4000000000000002E-2</v>
      </c>
      <c r="I221" s="68">
        <f t="shared" ref="I221:Q223" si="216">H221*1.005</f>
        <v>1.4070000000000001E-2</v>
      </c>
      <c r="J221" s="68">
        <f t="shared" si="216"/>
        <v>1.4140349999999999E-2</v>
      </c>
      <c r="K221" s="68">
        <f t="shared" si="216"/>
        <v>1.4211051749999998E-2</v>
      </c>
      <c r="L221" s="68">
        <f t="shared" si="216"/>
        <v>1.4282107008749998E-2</v>
      </c>
      <c r="M221" s="68">
        <f t="shared" si="216"/>
        <v>1.4353517543793746E-2</v>
      </c>
      <c r="N221" s="68">
        <f t="shared" si="216"/>
        <v>1.4425285131512713E-2</v>
      </c>
      <c r="O221" s="68">
        <f t="shared" si="216"/>
        <v>1.4497411557170275E-2</v>
      </c>
      <c r="P221" s="68">
        <f t="shared" si="216"/>
        <v>1.4569898614956125E-2</v>
      </c>
      <c r="Q221" s="68">
        <f t="shared" si="216"/>
        <v>1.4642748108030904E-2</v>
      </c>
      <c r="W221" s="102"/>
      <c r="X221" s="102"/>
      <c r="Y221" s="102"/>
      <c r="Z221" s="102"/>
      <c r="AA221" s="102"/>
      <c r="AB221" s="76"/>
      <c r="AD221" s="76"/>
      <c r="AE221" s="76"/>
      <c r="AF221" s="76"/>
      <c r="AG221" s="45"/>
      <c r="AH221" s="45"/>
    </row>
    <row r="222" spans="2:34" s="4" customFormat="1" x14ac:dyDescent="0.15">
      <c r="B222" s="38" t="s">
        <v>83</v>
      </c>
      <c r="C222" s="21">
        <v>-0.03</v>
      </c>
      <c r="D222" s="21">
        <v>0</v>
      </c>
      <c r="E222" s="21">
        <v>0</v>
      </c>
      <c r="F222" s="21">
        <v>0</v>
      </c>
      <c r="G222" s="21">
        <v>0</v>
      </c>
      <c r="H222" s="68">
        <f>AVERAGE(C222:G222)</f>
        <v>-6.0000000000000001E-3</v>
      </c>
      <c r="I222" s="68">
        <f t="shared" si="216"/>
        <v>-6.0299999999999998E-3</v>
      </c>
      <c r="J222" s="68">
        <f t="shared" si="216"/>
        <v>-6.0601499999999994E-3</v>
      </c>
      <c r="K222" s="68">
        <f t="shared" si="216"/>
        <v>-6.0904507499999986E-3</v>
      </c>
      <c r="L222" s="68">
        <f t="shared" si="216"/>
        <v>-6.1209030037499982E-3</v>
      </c>
      <c r="M222" s="68">
        <f t="shared" si="216"/>
        <v>-6.1515075187687472E-3</v>
      </c>
      <c r="N222" s="68">
        <f t="shared" si="216"/>
        <v>-6.1822650563625901E-3</v>
      </c>
      <c r="O222" s="68">
        <f t="shared" si="216"/>
        <v>-6.2131763816444027E-3</v>
      </c>
      <c r="P222" s="68">
        <f t="shared" si="216"/>
        <v>-6.2442422635526238E-3</v>
      </c>
      <c r="Q222" s="68">
        <f t="shared" si="216"/>
        <v>-6.2754634748703863E-3</v>
      </c>
      <c r="W222" s="102"/>
      <c r="X222" s="102"/>
      <c r="Y222" s="102"/>
      <c r="Z222" s="102"/>
      <c r="AA222" s="102"/>
      <c r="AB222" s="76"/>
      <c r="AD222" s="76"/>
      <c r="AE222" s="76"/>
      <c r="AF222" s="76"/>
      <c r="AG222" s="45"/>
      <c r="AH222" s="45"/>
    </row>
    <row r="223" spans="2:34" s="4" customFormat="1" x14ac:dyDescent="0.15">
      <c r="B223" s="38" t="s">
        <v>323</v>
      </c>
      <c r="C223" s="21">
        <v>-0.04</v>
      </c>
      <c r="D223" s="21">
        <v>0</v>
      </c>
      <c r="E223" s="21">
        <v>0</v>
      </c>
      <c r="F223" s="21">
        <v>0</v>
      </c>
      <c r="G223" s="21">
        <v>0</v>
      </c>
      <c r="H223" s="68">
        <f>AVERAGE(C223:G223)</f>
        <v>-8.0000000000000002E-3</v>
      </c>
      <c r="I223" s="68">
        <f t="shared" si="216"/>
        <v>-8.0399999999999985E-3</v>
      </c>
      <c r="J223" s="68">
        <f t="shared" si="216"/>
        <v>-8.0801999999999975E-3</v>
      </c>
      <c r="K223" s="68">
        <f t="shared" si="216"/>
        <v>-8.1206009999999964E-3</v>
      </c>
      <c r="L223" s="68">
        <f t="shared" si="216"/>
        <v>-8.1612040049999952E-3</v>
      </c>
      <c r="M223" s="68">
        <f t="shared" si="216"/>
        <v>-8.2020100250249951E-3</v>
      </c>
      <c r="N223" s="68">
        <f t="shared" si="216"/>
        <v>-8.243020075150119E-3</v>
      </c>
      <c r="O223" s="68">
        <f t="shared" si="216"/>
        <v>-8.284235175525869E-3</v>
      </c>
      <c r="P223" s="68">
        <f t="shared" si="216"/>
        <v>-8.3256563514034973E-3</v>
      </c>
      <c r="Q223" s="68">
        <f t="shared" si="216"/>
        <v>-8.3672846331605145E-3</v>
      </c>
      <c r="W223" s="102"/>
      <c r="X223" s="102"/>
      <c r="Y223" s="102"/>
      <c r="Z223" s="102"/>
      <c r="AA223" s="102"/>
      <c r="AB223" s="76"/>
      <c r="AD223" s="76"/>
      <c r="AE223" s="76"/>
      <c r="AF223" s="76"/>
      <c r="AG223" s="45"/>
      <c r="AH223" s="45"/>
    </row>
    <row r="224" spans="2:34" s="4" customFormat="1" ht="15" thickBot="1" x14ac:dyDescent="0.2">
      <c r="B224" s="48" t="s">
        <v>84</v>
      </c>
      <c r="C224" s="69">
        <f t="shared" ref="C224:Q224" si="217">SUM(C220:C223)</f>
        <v>0.25000000000000006</v>
      </c>
      <c r="D224" s="69">
        <f t="shared" si="217"/>
        <v>5.5511151231257827E-17</v>
      </c>
      <c r="E224" s="69">
        <f t="shared" si="217"/>
        <v>5.5511151231257827E-17</v>
      </c>
      <c r="F224" s="69">
        <f t="shared" si="217"/>
        <v>5.5511151231257827E-17</v>
      </c>
      <c r="G224" s="69">
        <f t="shared" si="217"/>
        <v>5.5511151231257827E-17</v>
      </c>
      <c r="H224" s="70">
        <f t="shared" si="217"/>
        <v>5.7245874707234634E-17</v>
      </c>
      <c r="I224" s="70">
        <f t="shared" si="217"/>
        <v>5.8980598183211441E-17</v>
      </c>
      <c r="J224" s="70">
        <f t="shared" si="217"/>
        <v>6.0715321659188248E-17</v>
      </c>
      <c r="K224" s="70">
        <f t="shared" si="217"/>
        <v>6.4184768611141862E-17</v>
      </c>
      <c r="L224" s="70">
        <f t="shared" si="217"/>
        <v>6.9388939039072284E-17</v>
      </c>
      <c r="M224" s="70">
        <f t="shared" si="217"/>
        <v>7.2858385991025898E-17</v>
      </c>
      <c r="N224" s="70">
        <f t="shared" si="217"/>
        <v>7.6327832942979512E-17</v>
      </c>
      <c r="O224" s="70">
        <f t="shared" si="217"/>
        <v>7.9797279894933126E-17</v>
      </c>
      <c r="P224" s="70">
        <f t="shared" si="217"/>
        <v>8.3266726846886741E-17</v>
      </c>
      <c r="Q224" s="70">
        <f t="shared" si="217"/>
        <v>8.6736173798840355E-17</v>
      </c>
    </row>
    <row r="225" spans="2:34" s="4" customFormat="1" ht="15" thickTop="1" x14ac:dyDescent="0.15">
      <c r="B225" s="48"/>
      <c r="C225" s="186"/>
      <c r="D225" s="186"/>
      <c r="E225" s="186"/>
      <c r="F225" s="186"/>
      <c r="G225" s="186"/>
      <c r="H225" s="68"/>
      <c r="I225" s="68"/>
      <c r="J225" s="68"/>
      <c r="K225" s="68"/>
      <c r="L225" s="68"/>
      <c r="M225" s="68"/>
      <c r="N225" s="68"/>
      <c r="O225" s="68"/>
      <c r="P225" s="68"/>
      <c r="Q225" s="68"/>
    </row>
    <row r="226" spans="2:34" s="4" customFormat="1" ht="15" thickBot="1" x14ac:dyDescent="0.2">
      <c r="B226" s="4" t="s">
        <v>259</v>
      </c>
      <c r="C226" s="188">
        <f>+C210+C203+C195+C217+C224</f>
        <v>51.900000000000006</v>
      </c>
      <c r="D226" s="74">
        <f t="shared" ref="D226:Q226" si="218">+D210+D203+D195+D217+D224</f>
        <v>91.13000000000001</v>
      </c>
      <c r="E226" s="74">
        <f t="shared" si="218"/>
        <v>98.450000000000017</v>
      </c>
      <c r="F226" s="74">
        <f t="shared" si="218"/>
        <v>96.670000000000016</v>
      </c>
      <c r="G226" s="74">
        <f t="shared" si="218"/>
        <v>165.12000000000003</v>
      </c>
      <c r="H226" s="70">
        <f t="shared" si="218"/>
        <v>171.44200000000001</v>
      </c>
      <c r="I226" s="70">
        <f t="shared" si="218"/>
        <v>177.79561000000004</v>
      </c>
      <c r="J226" s="70">
        <f t="shared" si="218"/>
        <v>184.18098805000005</v>
      </c>
      <c r="K226" s="70">
        <f t="shared" si="218"/>
        <v>190.59829299025003</v>
      </c>
      <c r="L226" s="70">
        <f t="shared" si="218"/>
        <v>197.04768445520131</v>
      </c>
      <c r="M226" s="70">
        <f t="shared" si="218"/>
        <v>203.52932287747737</v>
      </c>
      <c r="N226" s="70">
        <f t="shared" si="218"/>
        <v>210.04336949186478</v>
      </c>
      <c r="O226" s="70">
        <f t="shared" si="218"/>
        <v>216.58998633932413</v>
      </c>
      <c r="P226" s="70">
        <f t="shared" si="218"/>
        <v>223.16933627102077</v>
      </c>
      <c r="Q226" s="70">
        <f t="shared" si="218"/>
        <v>229.78158295237589</v>
      </c>
    </row>
    <row r="227" spans="2:34" s="408" customFormat="1" x14ac:dyDescent="0.15">
      <c r="B227" s="407"/>
      <c r="D227" s="409"/>
      <c r="E227" s="409"/>
      <c r="F227" s="409"/>
      <c r="G227" s="409"/>
      <c r="H227" s="406"/>
      <c r="I227" s="406"/>
      <c r="J227" s="406"/>
      <c r="K227" s="406"/>
      <c r="L227" s="406"/>
      <c r="M227" s="406"/>
      <c r="N227" s="406"/>
      <c r="O227" s="406"/>
      <c r="P227" s="406"/>
      <c r="Q227" s="406"/>
    </row>
    <row r="228" spans="2:34" ht="16" x14ac:dyDescent="0.2">
      <c r="B228" s="380" t="s">
        <v>117</v>
      </c>
      <c r="C228" s="380"/>
      <c r="D228" s="380"/>
      <c r="E228" s="380"/>
      <c r="F228" s="380"/>
      <c r="G228" s="380"/>
      <c r="H228" s="380"/>
      <c r="I228" s="380"/>
      <c r="J228" s="380"/>
      <c r="K228" s="380"/>
      <c r="L228" s="380"/>
      <c r="M228" s="380"/>
      <c r="N228" s="380"/>
      <c r="O228" s="380"/>
      <c r="P228" s="380"/>
      <c r="Q228" s="380"/>
    </row>
    <row r="229" spans="2:34" x14ac:dyDescent="0.15">
      <c r="B229" s="403" t="s">
        <v>365</v>
      </c>
      <c r="C229" s="4"/>
      <c r="D229" s="72"/>
      <c r="E229" s="72"/>
      <c r="F229" s="72"/>
      <c r="G229" s="72"/>
      <c r="H229" s="68"/>
      <c r="I229" s="68"/>
      <c r="J229" s="68"/>
      <c r="K229" s="68"/>
      <c r="L229" s="68"/>
      <c r="M229" s="68"/>
      <c r="N229" s="68"/>
      <c r="O229" s="68"/>
      <c r="P229" s="68"/>
      <c r="Q229" s="68"/>
    </row>
    <row r="230" spans="2:34" s="4" customFormat="1" x14ac:dyDescent="0.15">
      <c r="B230" s="48" t="s">
        <v>79</v>
      </c>
      <c r="C230" s="66">
        <v>2514.4299999999998</v>
      </c>
      <c r="D230" s="66">
        <f t="shared" ref="D230:G230" si="219">C236</f>
        <v>2667.04</v>
      </c>
      <c r="E230" s="66">
        <f t="shared" si="219"/>
        <v>2592.2599999999998</v>
      </c>
      <c r="F230" s="66">
        <f t="shared" si="219"/>
        <v>2674.47</v>
      </c>
      <c r="G230" s="66">
        <f t="shared" si="219"/>
        <v>2830.6400000000003</v>
      </c>
      <c r="H230" s="67">
        <f t="shared" ref="H230:Q230" si="220">G236</f>
        <v>5061.1900000000005</v>
      </c>
      <c r="I230" s="67">
        <f t="shared" si="220"/>
        <v>5570.5420000000004</v>
      </c>
      <c r="J230" s="67">
        <f t="shared" si="220"/>
        <v>6082.4407599999995</v>
      </c>
      <c r="K230" s="67">
        <f t="shared" si="220"/>
        <v>6596.8990137999999</v>
      </c>
      <c r="L230" s="67">
        <f t="shared" si="220"/>
        <v>7113.9295588689993</v>
      </c>
      <c r="M230" s="67">
        <f t="shared" si="220"/>
        <v>7633.5452566633439</v>
      </c>
      <c r="N230" s="67">
        <f t="shared" si="220"/>
        <v>8155.7590329466593</v>
      </c>
      <c r="O230" s="67">
        <f t="shared" si="220"/>
        <v>8680.5838781113926</v>
      </c>
      <c r="P230" s="67">
        <f t="shared" si="220"/>
        <v>9208.0328475019487</v>
      </c>
      <c r="Q230" s="67">
        <f t="shared" si="220"/>
        <v>9738.1190617394586</v>
      </c>
    </row>
    <row r="231" spans="2:34" x14ac:dyDescent="0.15">
      <c r="B231" s="38" t="s">
        <v>80</v>
      </c>
      <c r="C231" s="21">
        <v>2.38</v>
      </c>
      <c r="D231" s="21">
        <v>1.7</v>
      </c>
      <c r="E231" s="21">
        <v>0.15</v>
      </c>
      <c r="F231" s="21">
        <v>0.55000000000000004</v>
      </c>
      <c r="G231" s="21">
        <v>2.2599999999999998</v>
      </c>
      <c r="H231" s="68">
        <f>AVERAGE(C231:G231)</f>
        <v>1.4079999999999999</v>
      </c>
      <c r="I231" s="68">
        <f t="shared" ref="I231:Q233" si="221">H231*1.005</f>
        <v>1.4150399999999999</v>
      </c>
      <c r="J231" s="68">
        <f t="shared" si="221"/>
        <v>1.4221151999999997</v>
      </c>
      <c r="K231" s="68">
        <f t="shared" si="221"/>
        <v>1.4292257759999996</v>
      </c>
      <c r="L231" s="68">
        <f t="shared" si="221"/>
        <v>1.4363719048799994</v>
      </c>
      <c r="M231" s="68">
        <f t="shared" si="221"/>
        <v>1.4435537644043992</v>
      </c>
      <c r="N231" s="68">
        <f t="shared" si="221"/>
        <v>1.4507715332264211</v>
      </c>
      <c r="O231" s="68">
        <f t="shared" si="221"/>
        <v>1.4580253908925529</v>
      </c>
      <c r="P231" s="68">
        <f t="shared" si="221"/>
        <v>1.4653155178470154</v>
      </c>
      <c r="Q231" s="68">
        <f t="shared" si="221"/>
        <v>1.4726420954362502</v>
      </c>
      <c r="W231" s="102"/>
      <c r="X231" s="102"/>
      <c r="Y231" s="102"/>
      <c r="Z231" s="102"/>
      <c r="AA231" s="102"/>
      <c r="AB231" s="76"/>
      <c r="AD231" s="76"/>
      <c r="AE231" s="76"/>
      <c r="AF231" s="76"/>
      <c r="AG231" s="45"/>
      <c r="AH231" s="45"/>
    </row>
    <row r="232" spans="2:34" x14ac:dyDescent="0.15">
      <c r="B232" s="38" t="s">
        <v>376</v>
      </c>
      <c r="C232" s="21">
        <v>0</v>
      </c>
      <c r="D232" s="21">
        <v>-0.13</v>
      </c>
      <c r="E232" s="21">
        <v>-9.32</v>
      </c>
      <c r="F232" s="21">
        <v>-1.18</v>
      </c>
      <c r="G232" s="21">
        <v>0</v>
      </c>
      <c r="H232" s="68">
        <f>AVERAGE(C232:G232)</f>
        <v>-2.1260000000000003</v>
      </c>
      <c r="I232" s="68">
        <f t="shared" si="221"/>
        <v>-2.1366300000000003</v>
      </c>
      <c r="J232" s="68">
        <f t="shared" si="221"/>
        <v>-2.14731315</v>
      </c>
      <c r="K232" s="68">
        <f t="shared" si="221"/>
        <v>-2.1580497157499998</v>
      </c>
      <c r="L232" s="68">
        <f t="shared" si="221"/>
        <v>-2.1688399643287495</v>
      </c>
      <c r="M232" s="68">
        <f t="shared" si="221"/>
        <v>-2.1796841641503928</v>
      </c>
      <c r="N232" s="68">
        <f t="shared" si="221"/>
        <v>-2.1905825849711444</v>
      </c>
      <c r="O232" s="68">
        <f t="shared" si="221"/>
        <v>-2.2015354978959998</v>
      </c>
      <c r="P232" s="68">
        <f t="shared" si="221"/>
        <v>-2.2125431753854796</v>
      </c>
      <c r="Q232" s="68">
        <f t="shared" si="221"/>
        <v>-2.2236058912624066</v>
      </c>
      <c r="W232" s="102"/>
      <c r="X232" s="102"/>
      <c r="Y232" s="102"/>
      <c r="Z232" s="102"/>
      <c r="AA232" s="102"/>
      <c r="AB232" s="76"/>
      <c r="AD232" s="76"/>
      <c r="AE232" s="76"/>
      <c r="AF232" s="76"/>
      <c r="AG232" s="45"/>
      <c r="AH232" s="45"/>
    </row>
    <row r="233" spans="2:34" x14ac:dyDescent="0.15">
      <c r="B233" s="38" t="s">
        <v>388</v>
      </c>
      <c r="C233" s="21">
        <v>0</v>
      </c>
      <c r="D233" s="21">
        <v>0</v>
      </c>
      <c r="E233" s="21">
        <v>0</v>
      </c>
      <c r="F233" s="21">
        <v>0</v>
      </c>
      <c r="G233" s="21">
        <v>2199.69</v>
      </c>
      <c r="H233" s="320">
        <f>AVERAGE(C233:G233)</f>
        <v>439.93799999999999</v>
      </c>
      <c r="I233" s="320">
        <f t="shared" si="221"/>
        <v>442.13768999999996</v>
      </c>
      <c r="J233" s="320">
        <f t="shared" si="221"/>
        <v>444.34837844999993</v>
      </c>
      <c r="K233" s="320">
        <f t="shared" si="221"/>
        <v>446.57012034224988</v>
      </c>
      <c r="L233" s="320">
        <f t="shared" si="221"/>
        <v>448.8029709439611</v>
      </c>
      <c r="M233" s="320">
        <f t="shared" si="221"/>
        <v>451.04698579868085</v>
      </c>
      <c r="N233" s="320">
        <f t="shared" si="221"/>
        <v>453.30222072767418</v>
      </c>
      <c r="O233" s="320">
        <f t="shared" si="221"/>
        <v>455.5687318313125</v>
      </c>
      <c r="P233" s="320">
        <f t="shared" si="221"/>
        <v>457.84657549046904</v>
      </c>
      <c r="Q233" s="320">
        <f t="shared" si="221"/>
        <v>460.13580836792136</v>
      </c>
      <c r="W233" s="102"/>
      <c r="X233" s="102"/>
      <c r="Y233" s="102"/>
      <c r="Z233" s="102"/>
      <c r="AA233" s="102"/>
      <c r="AB233" s="76"/>
      <c r="AD233" s="76"/>
      <c r="AE233" s="76"/>
      <c r="AF233" s="76"/>
      <c r="AG233" s="45"/>
      <c r="AH233" s="45"/>
    </row>
    <row r="234" spans="2:34" x14ac:dyDescent="0.15">
      <c r="B234" s="38" t="s">
        <v>389</v>
      </c>
      <c r="C234" s="21">
        <v>3.74</v>
      </c>
      <c r="D234" s="21">
        <v>-2.4</v>
      </c>
      <c r="E234" s="21">
        <v>3.42</v>
      </c>
      <c r="F234" s="21">
        <v>2.5499999999999998</v>
      </c>
      <c r="G234" s="21">
        <v>-0.33</v>
      </c>
      <c r="H234" s="68">
        <f>AVERAGE(C234:G234)</f>
        <v>1.3959999999999999</v>
      </c>
      <c r="I234" s="68">
        <f t="shared" ref="I234:Q235" si="222">H234*1.005</f>
        <v>1.4029799999999997</v>
      </c>
      <c r="J234" s="68">
        <f t="shared" si="222"/>
        <v>1.4099948999999996</v>
      </c>
      <c r="K234" s="68">
        <f t="shared" si="222"/>
        <v>1.4170448744999995</v>
      </c>
      <c r="L234" s="68">
        <f t="shared" si="222"/>
        <v>1.4241300988724994</v>
      </c>
      <c r="M234" s="68">
        <f t="shared" si="222"/>
        <v>1.4312507493668618</v>
      </c>
      <c r="N234" s="68">
        <f t="shared" si="222"/>
        <v>1.438407003113696</v>
      </c>
      <c r="O234" s="68">
        <f t="shared" si="222"/>
        <v>1.4455990381292643</v>
      </c>
      <c r="P234" s="68">
        <f t="shared" si="222"/>
        <v>1.4528270333199105</v>
      </c>
      <c r="Q234" s="68">
        <f t="shared" si="222"/>
        <v>1.4600911684865099</v>
      </c>
      <c r="W234" s="102"/>
      <c r="X234" s="102"/>
      <c r="Y234" s="102"/>
      <c r="Z234" s="102"/>
      <c r="AA234" s="102"/>
      <c r="AB234" s="76"/>
      <c r="AD234" s="76"/>
      <c r="AE234" s="76"/>
      <c r="AF234" s="76"/>
      <c r="AG234" s="45"/>
      <c r="AH234" s="45"/>
    </row>
    <row r="235" spans="2:34" x14ac:dyDescent="0.15">
      <c r="B235" s="38" t="s">
        <v>378</v>
      </c>
      <c r="C235" s="21">
        <v>146.49</v>
      </c>
      <c r="D235" s="21">
        <v>-73.95</v>
      </c>
      <c r="E235" s="21">
        <v>87.96</v>
      </c>
      <c r="F235" s="21">
        <v>154.25</v>
      </c>
      <c r="G235" s="21">
        <v>28.93</v>
      </c>
      <c r="H235" s="68">
        <f>AVERAGE(C235:G235)</f>
        <v>68.736000000000004</v>
      </c>
      <c r="I235" s="68">
        <f t="shared" si="222"/>
        <v>69.079679999999996</v>
      </c>
      <c r="J235" s="68">
        <f t="shared" si="222"/>
        <v>69.42507839999999</v>
      </c>
      <c r="K235" s="68">
        <f t="shared" si="222"/>
        <v>69.772203791999985</v>
      </c>
      <c r="L235" s="68">
        <f t="shared" si="222"/>
        <v>70.121064810959979</v>
      </c>
      <c r="M235" s="68">
        <f t="shared" si="222"/>
        <v>70.471670135014776</v>
      </c>
      <c r="N235" s="68">
        <f t="shared" si="222"/>
        <v>70.824028485689837</v>
      </c>
      <c r="O235" s="68">
        <f t="shared" si="222"/>
        <v>71.178148628118279</v>
      </c>
      <c r="P235" s="68">
        <f t="shared" si="222"/>
        <v>71.534039371258856</v>
      </c>
      <c r="Q235" s="68">
        <f t="shared" si="222"/>
        <v>71.891709568115147</v>
      </c>
      <c r="W235" s="102"/>
      <c r="X235" s="102"/>
      <c r="Y235" s="102"/>
      <c r="Z235" s="102"/>
      <c r="AA235" s="102"/>
      <c r="AB235" s="76"/>
      <c r="AD235" s="76"/>
      <c r="AE235" s="76"/>
      <c r="AF235" s="76"/>
      <c r="AG235" s="45"/>
      <c r="AH235" s="45"/>
    </row>
    <row r="236" spans="2:34" s="4" customFormat="1" x14ac:dyDescent="0.15">
      <c r="B236" s="48" t="s">
        <v>81</v>
      </c>
      <c r="C236" s="71">
        <f t="shared" ref="C236:Q236" si="223">SUM(C230:C235)</f>
        <v>2667.04</v>
      </c>
      <c r="D236" s="71">
        <f t="shared" si="223"/>
        <v>2592.2599999999998</v>
      </c>
      <c r="E236" s="71">
        <f t="shared" si="223"/>
        <v>2674.47</v>
      </c>
      <c r="F236" s="71">
        <f t="shared" si="223"/>
        <v>2830.6400000000003</v>
      </c>
      <c r="G236" s="71">
        <f t="shared" si="223"/>
        <v>5061.1900000000005</v>
      </c>
      <c r="H236" s="67">
        <f t="shared" si="223"/>
        <v>5570.5420000000004</v>
      </c>
      <c r="I236" s="67">
        <f t="shared" si="223"/>
        <v>6082.4407599999995</v>
      </c>
      <c r="J236" s="67">
        <f t="shared" si="223"/>
        <v>6596.8990137999999</v>
      </c>
      <c r="K236" s="67">
        <f t="shared" si="223"/>
        <v>7113.9295588689993</v>
      </c>
      <c r="L236" s="67">
        <f t="shared" si="223"/>
        <v>7633.5452566633439</v>
      </c>
      <c r="M236" s="67">
        <f t="shared" si="223"/>
        <v>8155.7590329466593</v>
      </c>
      <c r="N236" s="67">
        <f t="shared" si="223"/>
        <v>8680.5838781113926</v>
      </c>
      <c r="O236" s="67">
        <f t="shared" si="223"/>
        <v>9208.0328475019487</v>
      </c>
      <c r="P236" s="67">
        <f t="shared" si="223"/>
        <v>9738.1190617394586</v>
      </c>
      <c r="Q236" s="67">
        <f t="shared" si="223"/>
        <v>10270.855707048155</v>
      </c>
    </row>
    <row r="237" spans="2:34" s="4" customFormat="1" x14ac:dyDescent="0.15">
      <c r="B237" s="38" t="s">
        <v>364</v>
      </c>
      <c r="C237" s="21">
        <v>12.53</v>
      </c>
      <c r="D237" s="21">
        <v>77.58</v>
      </c>
      <c r="E237" s="21">
        <v>153.66999999999999</v>
      </c>
      <c r="F237" s="21">
        <v>233.83</v>
      </c>
      <c r="G237" s="21">
        <v>279.05</v>
      </c>
      <c r="H237" s="68">
        <f>SUM(G237:G243)</f>
        <v>1126.2</v>
      </c>
      <c r="I237" s="68">
        <f t="shared" ref="H237:Q237" si="224">SUM(H237:H243)</f>
        <v>1348.934</v>
      </c>
      <c r="J237" s="68">
        <f t="shared" si="224"/>
        <v>1572.7816700000001</v>
      </c>
      <c r="K237" s="68">
        <f t="shared" si="224"/>
        <v>1797.7485783500001</v>
      </c>
      <c r="L237" s="68">
        <f t="shared" si="224"/>
        <v>2023.8403212417502</v>
      </c>
      <c r="M237" s="68">
        <f t="shared" si="224"/>
        <v>2251.0625228479594</v>
      </c>
      <c r="N237" s="68">
        <f t="shared" si="224"/>
        <v>2479.4208354621992</v>
      </c>
      <c r="O237" s="68">
        <f t="shared" si="224"/>
        <v>2708.9209396395108</v>
      </c>
      <c r="P237" s="68">
        <f t="shared" si="224"/>
        <v>2939.5685443377083</v>
      </c>
      <c r="Q237" s="68">
        <f t="shared" si="224"/>
        <v>3171.3693870593966</v>
      </c>
    </row>
    <row r="238" spans="2:34" s="4" customFormat="1" x14ac:dyDescent="0.15">
      <c r="B238" s="38" t="s">
        <v>83</v>
      </c>
      <c r="C238" s="21">
        <v>17.66</v>
      </c>
      <c r="D238" s="21">
        <v>18.649999999999999</v>
      </c>
      <c r="E238" s="21">
        <v>15.1</v>
      </c>
      <c r="F238" s="21">
        <v>15.86</v>
      </c>
      <c r="G238" s="21">
        <v>16.920000000000002</v>
      </c>
      <c r="H238" s="68">
        <f>AVERAGE(C238:G238)</f>
        <v>16.838000000000001</v>
      </c>
      <c r="I238" s="68">
        <f t="shared" ref="I238:Q239" si="225">H238*1.005</f>
        <v>16.922190000000001</v>
      </c>
      <c r="J238" s="68">
        <f t="shared" si="225"/>
        <v>17.006800949999999</v>
      </c>
      <c r="K238" s="68">
        <f t="shared" si="225"/>
        <v>17.091834954749999</v>
      </c>
      <c r="L238" s="68">
        <f t="shared" si="225"/>
        <v>17.177294129523748</v>
      </c>
      <c r="M238" s="68">
        <f t="shared" si="225"/>
        <v>17.263180600171363</v>
      </c>
      <c r="N238" s="68">
        <f t="shared" si="225"/>
        <v>17.349496503172219</v>
      </c>
      <c r="O238" s="68">
        <f t="shared" si="225"/>
        <v>17.43624398568808</v>
      </c>
      <c r="P238" s="68">
        <f t="shared" si="225"/>
        <v>17.523425205616519</v>
      </c>
      <c r="Q238" s="68">
        <f t="shared" si="225"/>
        <v>17.611042331644601</v>
      </c>
    </row>
    <row r="239" spans="2:34" s="4" customFormat="1" x14ac:dyDescent="0.15">
      <c r="B239" s="38" t="s">
        <v>390</v>
      </c>
      <c r="C239" s="21">
        <v>0.81</v>
      </c>
      <c r="D239" s="21">
        <v>0.9</v>
      </c>
      <c r="E239" s="21">
        <v>0.36</v>
      </c>
      <c r="F239" s="21">
        <v>0.44</v>
      </c>
      <c r="G239" s="21">
        <v>0</v>
      </c>
      <c r="H239" s="320">
        <f>AVERAGE(C239:G239)</f>
        <v>0.502</v>
      </c>
      <c r="I239" s="320">
        <f t="shared" si="225"/>
        <v>0.5045099999999999</v>
      </c>
      <c r="J239" s="320">
        <f t="shared" si="225"/>
        <v>0.5070325499999998</v>
      </c>
      <c r="K239" s="320">
        <f t="shared" si="225"/>
        <v>0.50956771274999979</v>
      </c>
      <c r="L239" s="320">
        <f t="shared" si="225"/>
        <v>0.51211555131374975</v>
      </c>
      <c r="M239" s="320">
        <f t="shared" si="225"/>
        <v>0.51467612907031846</v>
      </c>
      <c r="N239" s="320">
        <f t="shared" si="225"/>
        <v>0.51724950971566996</v>
      </c>
      <c r="O239" s="320">
        <f t="shared" si="225"/>
        <v>0.51983575726424824</v>
      </c>
      <c r="P239" s="320">
        <f t="shared" si="225"/>
        <v>0.52243493605056945</v>
      </c>
      <c r="Q239" s="320">
        <f t="shared" si="225"/>
        <v>0.52504711073082222</v>
      </c>
    </row>
    <row r="240" spans="2:34" s="4" customFormat="1" x14ac:dyDescent="0.15">
      <c r="B240" s="38" t="s">
        <v>376</v>
      </c>
      <c r="C240" s="21">
        <v>0</v>
      </c>
      <c r="D240" s="21">
        <v>-0.01</v>
      </c>
      <c r="E240" s="21">
        <v>-2.77</v>
      </c>
      <c r="F240" s="21">
        <v>-1.18</v>
      </c>
      <c r="G240" s="21">
        <v>-0.55000000000000004</v>
      </c>
      <c r="H240" s="68">
        <f>AVERAGE(C240:G240)</f>
        <v>-0.90199999999999991</v>
      </c>
      <c r="I240" s="68">
        <f t="shared" ref="I240:Q243" si="226">H240*1.005</f>
        <v>-0.90650999999999982</v>
      </c>
      <c r="J240" s="68">
        <f t="shared" si="226"/>
        <v>-0.91104254999999967</v>
      </c>
      <c r="K240" s="68">
        <f t="shared" si="226"/>
        <v>-0.9155977627499996</v>
      </c>
      <c r="L240" s="68">
        <f t="shared" si="226"/>
        <v>-0.92017575156374953</v>
      </c>
      <c r="M240" s="68">
        <f t="shared" si="226"/>
        <v>-0.9247766303215682</v>
      </c>
      <c r="N240" s="68">
        <f t="shared" si="226"/>
        <v>-0.92940051347317598</v>
      </c>
      <c r="O240" s="68">
        <f t="shared" si="226"/>
        <v>-0.93404751604054181</v>
      </c>
      <c r="P240" s="68">
        <f t="shared" si="226"/>
        <v>-0.93871775362074439</v>
      </c>
      <c r="Q240" s="68">
        <f t="shared" si="226"/>
        <v>-0.94341134238884805</v>
      </c>
    </row>
    <row r="241" spans="1:34" x14ac:dyDescent="0.15">
      <c r="B241" s="38" t="s">
        <v>384</v>
      </c>
      <c r="C241" s="21">
        <v>40.479999999999997</v>
      </c>
      <c r="D241" s="21">
        <v>61.68</v>
      </c>
      <c r="E241" s="21">
        <v>53.64</v>
      </c>
      <c r="F241" s="21">
        <v>6.03</v>
      </c>
      <c r="G241" s="21">
        <v>820.64</v>
      </c>
      <c r="H241" s="68">
        <f>AVERAGE(C241:G241)</f>
        <v>196.494</v>
      </c>
      <c r="I241" s="68">
        <f t="shared" si="226"/>
        <v>197.47646999999998</v>
      </c>
      <c r="J241" s="68">
        <f t="shared" si="226"/>
        <v>198.46385234999997</v>
      </c>
      <c r="K241" s="68">
        <f t="shared" si="226"/>
        <v>199.45617161174994</v>
      </c>
      <c r="L241" s="68">
        <f t="shared" si="226"/>
        <v>200.45345246980867</v>
      </c>
      <c r="M241" s="68">
        <f t="shared" si="226"/>
        <v>201.45571973215769</v>
      </c>
      <c r="N241" s="68">
        <f t="shared" si="226"/>
        <v>202.46299833081846</v>
      </c>
      <c r="O241" s="68">
        <f t="shared" si="226"/>
        <v>203.47531332247254</v>
      </c>
      <c r="P241" s="68">
        <f t="shared" si="226"/>
        <v>204.49268988908489</v>
      </c>
      <c r="Q241" s="68">
        <f t="shared" si="226"/>
        <v>205.5151533385303</v>
      </c>
    </row>
    <row r="242" spans="1:34" x14ac:dyDescent="0.15">
      <c r="B242" s="38" t="s">
        <v>389</v>
      </c>
      <c r="C242" s="21">
        <v>3.31</v>
      </c>
      <c r="D242" s="21">
        <v>-2.2799999999999998</v>
      </c>
      <c r="E242" s="21">
        <v>3.03</v>
      </c>
      <c r="F242" s="21">
        <v>2.38</v>
      </c>
      <c r="G242" s="21">
        <v>-0.31</v>
      </c>
      <c r="H242" s="68">
        <f>AVERAGE(C242:G242)</f>
        <v>1.2260000000000002</v>
      </c>
      <c r="I242" s="68">
        <f t="shared" si="226"/>
        <v>1.2321300000000002</v>
      </c>
      <c r="J242" s="68">
        <f t="shared" si="226"/>
        <v>1.2382906499999999</v>
      </c>
      <c r="K242" s="68">
        <f t="shared" si="226"/>
        <v>1.2444821032499997</v>
      </c>
      <c r="L242" s="68">
        <f t="shared" si="226"/>
        <v>1.2507045137662496</v>
      </c>
      <c r="M242" s="68">
        <f t="shared" si="226"/>
        <v>1.2569580363350807</v>
      </c>
      <c r="N242" s="68">
        <f t="shared" si="226"/>
        <v>1.2632428265167559</v>
      </c>
      <c r="O242" s="68">
        <f t="shared" si="226"/>
        <v>1.2695590406493396</v>
      </c>
      <c r="P242" s="68">
        <f t="shared" si="226"/>
        <v>1.275906835852586</v>
      </c>
      <c r="Q242" s="68">
        <f t="shared" si="226"/>
        <v>1.2822863700318488</v>
      </c>
      <c r="W242" s="102"/>
      <c r="X242" s="102"/>
      <c r="Y242" s="102"/>
      <c r="Z242" s="102"/>
      <c r="AA242" s="102"/>
      <c r="AB242" s="102"/>
    </row>
    <row r="243" spans="1:34" x14ac:dyDescent="0.15">
      <c r="B243" s="38" t="s">
        <v>378</v>
      </c>
      <c r="C243" s="21">
        <v>2.79</v>
      </c>
      <c r="D243" s="21">
        <v>-2.85</v>
      </c>
      <c r="E243" s="21">
        <v>10.8</v>
      </c>
      <c r="F243" s="21">
        <v>21.69</v>
      </c>
      <c r="G243" s="21">
        <v>10.45</v>
      </c>
      <c r="H243" s="68">
        <f>AVERAGE(C243:G243)</f>
        <v>8.5759999999999987</v>
      </c>
      <c r="I243" s="68">
        <f t="shared" si="226"/>
        <v>8.6188799999999972</v>
      </c>
      <c r="J243" s="68">
        <f t="shared" si="226"/>
        <v>8.6619743999999965</v>
      </c>
      <c r="K243" s="68">
        <f t="shared" si="226"/>
        <v>8.7052842719999948</v>
      </c>
      <c r="L243" s="68">
        <f t="shared" si="226"/>
        <v>8.7488106933599941</v>
      </c>
      <c r="M243" s="68">
        <f t="shared" si="226"/>
        <v>8.7925547468267933</v>
      </c>
      <c r="N243" s="68">
        <f t="shared" si="226"/>
        <v>8.8365175205609265</v>
      </c>
      <c r="O243" s="68">
        <f t="shared" si="226"/>
        <v>8.8807001081637296</v>
      </c>
      <c r="P243" s="68">
        <f t="shared" si="226"/>
        <v>8.9251036087045481</v>
      </c>
      <c r="Q243" s="68">
        <f t="shared" si="226"/>
        <v>8.9697291267480708</v>
      </c>
      <c r="W243" s="102"/>
      <c r="X243" s="102"/>
      <c r="Y243" s="102"/>
      <c r="Z243" s="102"/>
      <c r="AA243" s="102"/>
      <c r="AB243" s="102"/>
    </row>
    <row r="244" spans="1:34" s="4" customFormat="1" ht="15" thickBot="1" x14ac:dyDescent="0.2">
      <c r="B244" s="48" t="s">
        <v>84</v>
      </c>
      <c r="C244" s="69">
        <f t="shared" ref="C244:Q244" si="227">C236-SUM(C237:C243)</f>
        <v>2589.46</v>
      </c>
      <c r="D244" s="69">
        <f t="shared" si="227"/>
        <v>2438.5899999999997</v>
      </c>
      <c r="E244" s="69">
        <f t="shared" si="227"/>
        <v>2440.64</v>
      </c>
      <c r="F244" s="69">
        <f t="shared" si="227"/>
        <v>2551.59</v>
      </c>
      <c r="G244" s="69">
        <f t="shared" si="227"/>
        <v>3934.9900000000007</v>
      </c>
      <c r="H244" s="70">
        <f>H236-SUM(H237:H243)</f>
        <v>4221.6080000000002</v>
      </c>
      <c r="I244" s="70">
        <f t="shared" si="227"/>
        <v>4509.6590899999992</v>
      </c>
      <c r="J244" s="70">
        <f t="shared" si="227"/>
        <v>4799.1504354499993</v>
      </c>
      <c r="K244" s="70">
        <f t="shared" si="227"/>
        <v>5090.0892376272495</v>
      </c>
      <c r="L244" s="70">
        <f t="shared" si="227"/>
        <v>5382.4827338153846</v>
      </c>
      <c r="M244" s="70">
        <f t="shared" si="227"/>
        <v>5676.3381974844597</v>
      </c>
      <c r="N244" s="70">
        <f t="shared" si="227"/>
        <v>5971.6629384718817</v>
      </c>
      <c r="O244" s="70">
        <f t="shared" si="227"/>
        <v>6268.4643031642408</v>
      </c>
      <c r="P244" s="70">
        <f t="shared" si="227"/>
        <v>6566.7496746800625</v>
      </c>
      <c r="Q244" s="70">
        <f t="shared" si="227"/>
        <v>6866.5264730534618</v>
      </c>
      <c r="AD244" s="76"/>
      <c r="AE244" s="76"/>
      <c r="AF244" s="76"/>
    </row>
    <row r="245" spans="1:34" ht="15" thickTop="1" x14ac:dyDescent="0.15">
      <c r="B245" s="38"/>
      <c r="C245" s="72"/>
      <c r="D245" s="72"/>
      <c r="E245" s="72"/>
      <c r="F245" s="72"/>
      <c r="G245" s="72"/>
      <c r="H245" s="68"/>
      <c r="I245" s="68"/>
      <c r="J245" s="68"/>
      <c r="K245" s="68"/>
      <c r="L245" s="68"/>
      <c r="M245" s="68"/>
      <c r="N245" s="68"/>
      <c r="O245" s="68"/>
      <c r="P245" s="68"/>
      <c r="Q245" s="68"/>
    </row>
    <row r="246" spans="1:34" s="4" customFormat="1" x14ac:dyDescent="0.15">
      <c r="A246" s="2"/>
      <c r="B246" s="403" t="s">
        <v>326</v>
      </c>
      <c r="H246" s="231"/>
      <c r="I246" s="43"/>
      <c r="J246" s="43"/>
      <c r="K246" s="43"/>
      <c r="L246" s="43"/>
      <c r="M246" s="43"/>
      <c r="N246" s="43"/>
      <c r="O246" s="43"/>
      <c r="P246" s="43"/>
      <c r="Q246" s="43"/>
    </row>
    <row r="247" spans="1:34" s="4" customFormat="1" x14ac:dyDescent="0.15">
      <c r="A247" s="2"/>
      <c r="B247" s="48" t="s">
        <v>79</v>
      </c>
      <c r="C247" s="66">
        <v>118.86</v>
      </c>
      <c r="D247" s="66">
        <f t="shared" ref="D247:G247" si="228">C253</f>
        <v>125.9</v>
      </c>
      <c r="E247" s="66">
        <f t="shared" si="228"/>
        <v>129.79999999999998</v>
      </c>
      <c r="F247" s="66">
        <f t="shared" si="228"/>
        <v>144.14000000000001</v>
      </c>
      <c r="G247" s="66">
        <f t="shared" si="228"/>
        <v>144.94</v>
      </c>
      <c r="H247" s="67">
        <f t="shared" ref="H247" si="229">G253</f>
        <v>137.63</v>
      </c>
      <c r="I247" s="67">
        <f t="shared" ref="I247" si="230">H253</f>
        <v>141.58399999999997</v>
      </c>
      <c r="J247" s="67">
        <f t="shared" ref="J247" si="231">I253</f>
        <v>145.55776999999998</v>
      </c>
      <c r="K247" s="67">
        <f t="shared" ref="K247" si="232">J253</f>
        <v>149.55140884999994</v>
      </c>
      <c r="L247" s="67">
        <f t="shared" ref="L247" si="233">K253</f>
        <v>153.56501589424991</v>
      </c>
      <c r="M247" s="67">
        <f t="shared" ref="M247" si="234">L253</f>
        <v>157.59869097372118</v>
      </c>
      <c r="N247" s="67">
        <f t="shared" ref="N247" si="235">M253</f>
        <v>161.65253442858977</v>
      </c>
      <c r="O247" s="67">
        <f t="shared" ref="O247" si="236">N253</f>
        <v>165.72664710073272</v>
      </c>
      <c r="P247" s="67">
        <f t="shared" ref="P247" si="237">O253</f>
        <v>169.82113033623637</v>
      </c>
      <c r="Q247" s="67">
        <f t="shared" ref="Q247" si="238">P253</f>
        <v>173.93608598791758</v>
      </c>
    </row>
    <row r="248" spans="1:34" s="4" customFormat="1" x14ac:dyDescent="0.15">
      <c r="A248" s="2"/>
      <c r="B248" s="38" t="s">
        <v>80</v>
      </c>
      <c r="C248" s="21">
        <v>7.14</v>
      </c>
      <c r="D248" s="21">
        <v>5.7</v>
      </c>
      <c r="E248" s="21">
        <v>8.8000000000000007</v>
      </c>
      <c r="F248" s="21">
        <v>10.26</v>
      </c>
      <c r="G248" s="21">
        <v>9.67</v>
      </c>
      <c r="H248" s="68">
        <f>AVERAGE(C248:G248)</f>
        <v>8.3140000000000001</v>
      </c>
      <c r="I248" s="68">
        <f t="shared" ref="I248:Q252" si="239">H248*1.005</f>
        <v>8.3555699999999984</v>
      </c>
      <c r="J248" s="68">
        <f t="shared" si="239"/>
        <v>8.3973478499999974</v>
      </c>
      <c r="K248" s="68">
        <f t="shared" si="239"/>
        <v>8.4393345892499969</v>
      </c>
      <c r="L248" s="68">
        <f t="shared" si="239"/>
        <v>8.4815312621962455</v>
      </c>
      <c r="M248" s="68">
        <f t="shared" si="239"/>
        <v>8.5239389185072252</v>
      </c>
      <c r="N248" s="68">
        <f t="shared" si="239"/>
        <v>8.56655861309976</v>
      </c>
      <c r="O248" s="68">
        <f t="shared" si="239"/>
        <v>8.6093914061652583</v>
      </c>
      <c r="P248" s="68">
        <f t="shared" si="239"/>
        <v>8.6524383631960831</v>
      </c>
      <c r="Q248" s="68">
        <f t="shared" si="239"/>
        <v>8.6957005550120634</v>
      </c>
    </row>
    <row r="249" spans="1:34" s="4" customFormat="1" x14ac:dyDescent="0.15">
      <c r="A249" s="2"/>
      <c r="B249" s="38" t="s">
        <v>376</v>
      </c>
      <c r="C249" s="21">
        <v>-1.37</v>
      </c>
      <c r="D249" s="21">
        <v>-0.4</v>
      </c>
      <c r="E249" s="21">
        <v>-1.01</v>
      </c>
      <c r="F249" s="21">
        <v>-15.66</v>
      </c>
      <c r="G249" s="21">
        <v>-10.53</v>
      </c>
      <c r="H249" s="68">
        <f>AVERAGE(C249:G249)</f>
        <v>-5.7939999999999996</v>
      </c>
      <c r="I249" s="68">
        <f t="shared" si="239"/>
        <v>-5.8229699999999989</v>
      </c>
      <c r="J249" s="68">
        <f t="shared" si="239"/>
        <v>-5.852084849999998</v>
      </c>
      <c r="K249" s="68">
        <f t="shared" si="239"/>
        <v>-5.8813452742499974</v>
      </c>
      <c r="L249" s="68">
        <f t="shared" si="239"/>
        <v>-5.9107520006212466</v>
      </c>
      <c r="M249" s="68">
        <f t="shared" si="239"/>
        <v>-5.9403057606243523</v>
      </c>
      <c r="N249" s="68">
        <f t="shared" si="239"/>
        <v>-5.9700072894274738</v>
      </c>
      <c r="O249" s="68">
        <f t="shared" si="239"/>
        <v>-5.9998573258746104</v>
      </c>
      <c r="P249" s="68">
        <f t="shared" si="239"/>
        <v>-6.0298566125039832</v>
      </c>
      <c r="Q249" s="68">
        <f t="shared" si="239"/>
        <v>-6.0600058955665022</v>
      </c>
    </row>
    <row r="250" spans="1:34" s="4" customFormat="1" x14ac:dyDescent="0.15">
      <c r="A250" s="2"/>
      <c r="B250" s="38" t="s">
        <v>387</v>
      </c>
      <c r="C250" s="21">
        <v>0</v>
      </c>
      <c r="D250" s="21">
        <v>0</v>
      </c>
      <c r="E250" s="21">
        <v>0</v>
      </c>
      <c r="F250" s="21">
        <v>0</v>
      </c>
      <c r="G250" s="21">
        <v>-1</v>
      </c>
      <c r="H250" s="68"/>
      <c r="I250" s="68"/>
      <c r="J250" s="68"/>
      <c r="K250" s="68"/>
      <c r="L250" s="68"/>
      <c r="M250" s="68"/>
      <c r="N250" s="68"/>
      <c r="O250" s="68"/>
      <c r="P250" s="68"/>
      <c r="Q250" s="68"/>
    </row>
    <row r="251" spans="1:34" x14ac:dyDescent="0.15">
      <c r="B251" s="38" t="s">
        <v>389</v>
      </c>
      <c r="C251" s="21">
        <v>0.34</v>
      </c>
      <c r="D251" s="21">
        <v>-0.1</v>
      </c>
      <c r="E251" s="21">
        <v>4.37</v>
      </c>
      <c r="F251" s="21">
        <v>4.75</v>
      </c>
      <c r="G251" s="21">
        <v>1.53</v>
      </c>
      <c r="H251" s="68">
        <f>AVERAGE(C251:G251)</f>
        <v>2.1779999999999999</v>
      </c>
      <c r="I251" s="68">
        <f t="shared" si="239"/>
        <v>2.1888899999999998</v>
      </c>
      <c r="J251" s="68">
        <f t="shared" si="239"/>
        <v>2.1998344499999996</v>
      </c>
      <c r="K251" s="68">
        <f t="shared" si="239"/>
        <v>2.2108336222499991</v>
      </c>
      <c r="L251" s="68">
        <f t="shared" si="239"/>
        <v>2.2218877903612491</v>
      </c>
      <c r="M251" s="68">
        <f t="shared" si="239"/>
        <v>2.2329972293130549</v>
      </c>
      <c r="N251" s="68">
        <f t="shared" si="239"/>
        <v>2.2441622154596201</v>
      </c>
      <c r="O251" s="68">
        <f t="shared" si="239"/>
        <v>2.2553830265369181</v>
      </c>
      <c r="P251" s="68">
        <f t="shared" si="239"/>
        <v>2.2666599416696025</v>
      </c>
      <c r="Q251" s="68">
        <f t="shared" si="239"/>
        <v>2.2779932413779505</v>
      </c>
      <c r="W251" s="102"/>
      <c r="X251" s="102"/>
      <c r="Y251" s="102"/>
      <c r="Z251" s="102"/>
      <c r="AA251" s="102"/>
      <c r="AB251" s="76"/>
      <c r="AD251" s="76"/>
      <c r="AE251" s="76"/>
      <c r="AF251" s="76"/>
      <c r="AG251" s="45"/>
      <c r="AH251" s="45"/>
    </row>
    <row r="252" spans="1:34" x14ac:dyDescent="0.15">
      <c r="B252" s="38" t="s">
        <v>378</v>
      </c>
      <c r="C252" s="21">
        <v>0.93</v>
      </c>
      <c r="D252" s="21">
        <v>-1.3</v>
      </c>
      <c r="E252" s="21">
        <v>2.1800000000000002</v>
      </c>
      <c r="F252" s="21">
        <v>1.45</v>
      </c>
      <c r="G252" s="21">
        <v>-6.98</v>
      </c>
      <c r="H252" s="68">
        <f>AVERAGE(C252:G252)</f>
        <v>-0.74400000000000011</v>
      </c>
      <c r="I252" s="68">
        <f t="shared" si="239"/>
        <v>-0.74772000000000005</v>
      </c>
      <c r="J252" s="68">
        <f t="shared" si="239"/>
        <v>-0.75145859999999998</v>
      </c>
      <c r="K252" s="68">
        <f t="shared" si="239"/>
        <v>-0.75521589299999992</v>
      </c>
      <c r="L252" s="68">
        <f t="shared" si="239"/>
        <v>-0.75899197246499983</v>
      </c>
      <c r="M252" s="68">
        <f t="shared" si="239"/>
        <v>-0.76278693232732475</v>
      </c>
      <c r="N252" s="68">
        <f t="shared" si="239"/>
        <v>-0.76660086698896135</v>
      </c>
      <c r="O252" s="68">
        <f t="shared" si="239"/>
        <v>-0.77043387132390606</v>
      </c>
      <c r="P252" s="68">
        <f t="shared" si="239"/>
        <v>-0.77428604068052553</v>
      </c>
      <c r="Q252" s="68">
        <f t="shared" si="239"/>
        <v>-0.77815747088392806</v>
      </c>
      <c r="W252" s="102"/>
      <c r="X252" s="102"/>
      <c r="Y252" s="102"/>
      <c r="Z252" s="102"/>
      <c r="AA252" s="102"/>
      <c r="AB252" s="76"/>
      <c r="AD252" s="76"/>
      <c r="AE252" s="76"/>
      <c r="AF252" s="76"/>
      <c r="AG252" s="45"/>
      <c r="AH252" s="45"/>
    </row>
    <row r="253" spans="1:34" x14ac:dyDescent="0.15">
      <c r="B253" s="48" t="s">
        <v>81</v>
      </c>
      <c r="C253" s="71">
        <f t="shared" ref="C253:G253" si="240">SUM(C247:C252)</f>
        <v>125.9</v>
      </c>
      <c r="D253" s="71">
        <f t="shared" si="240"/>
        <v>129.79999999999998</v>
      </c>
      <c r="E253" s="71">
        <f t="shared" si="240"/>
        <v>144.14000000000001</v>
      </c>
      <c r="F253" s="71">
        <f t="shared" si="240"/>
        <v>144.94</v>
      </c>
      <c r="G253" s="71">
        <f t="shared" si="240"/>
        <v>137.63</v>
      </c>
      <c r="H253" s="67">
        <f t="shared" ref="H253:Q253" si="241">SUM(H247:H252)</f>
        <v>141.58399999999997</v>
      </c>
      <c r="I253" s="67">
        <f t="shared" si="241"/>
        <v>145.55776999999998</v>
      </c>
      <c r="J253" s="67">
        <f t="shared" si="241"/>
        <v>149.55140884999994</v>
      </c>
      <c r="K253" s="67">
        <f t="shared" si="241"/>
        <v>153.56501589424991</v>
      </c>
      <c r="L253" s="67">
        <f t="shared" si="241"/>
        <v>157.59869097372118</v>
      </c>
      <c r="M253" s="67">
        <f t="shared" si="241"/>
        <v>161.65253442858977</v>
      </c>
      <c r="N253" s="67">
        <f t="shared" si="241"/>
        <v>165.72664710073272</v>
      </c>
      <c r="O253" s="67">
        <f t="shared" si="241"/>
        <v>169.82113033623637</v>
      </c>
      <c r="P253" s="67">
        <f t="shared" si="241"/>
        <v>173.93608598791758</v>
      </c>
      <c r="Q253" s="67">
        <f t="shared" si="241"/>
        <v>178.07161641785714</v>
      </c>
      <c r="W253" s="4"/>
      <c r="X253" s="4"/>
      <c r="Y253" s="4"/>
      <c r="Z253" s="4"/>
      <c r="AA253" s="4"/>
      <c r="AB253" s="4"/>
    </row>
    <row r="254" spans="1:34" x14ac:dyDescent="0.15">
      <c r="B254" s="38" t="s">
        <v>364</v>
      </c>
      <c r="C254" s="21">
        <v>60.82</v>
      </c>
      <c r="D254" s="21">
        <v>80.2</v>
      </c>
      <c r="E254" s="21">
        <v>94.82</v>
      </c>
      <c r="F254" s="21">
        <v>115.63</v>
      </c>
      <c r="G254" s="21">
        <v>119.19</v>
      </c>
      <c r="H254" s="68">
        <f t="shared" ref="H254:Q254" si="242">SUM(G254:G260)</f>
        <v>115.71999999999998</v>
      </c>
      <c r="I254" s="68">
        <f t="shared" si="242"/>
        <v>126.87999999999998</v>
      </c>
      <c r="J254" s="68">
        <f t="shared" si="242"/>
        <v>138.0958</v>
      </c>
      <c r="K254" s="68">
        <f t="shared" si="242"/>
        <v>149.36767900000001</v>
      </c>
      <c r="L254" s="68">
        <f t="shared" si="242"/>
        <v>160.69591739499998</v>
      </c>
      <c r="M254" s="68">
        <f t="shared" si="242"/>
        <v>172.08079698197494</v>
      </c>
      <c r="N254" s="68">
        <f t="shared" si="242"/>
        <v>183.5226009668848</v>
      </c>
      <c r="O254" s="68">
        <f t="shared" si="242"/>
        <v>195.0216139717192</v>
      </c>
      <c r="P254" s="68">
        <f t="shared" si="242"/>
        <v>206.57812204157779</v>
      </c>
      <c r="Q254" s="68">
        <f t="shared" si="242"/>
        <v>218.19241265178565</v>
      </c>
      <c r="W254" s="4"/>
      <c r="X254" s="4"/>
      <c r="Y254" s="4"/>
      <c r="Z254" s="4"/>
      <c r="AA254" s="4"/>
      <c r="AB254" s="4"/>
    </row>
    <row r="255" spans="1:34" x14ac:dyDescent="0.15">
      <c r="B255" s="38" t="s">
        <v>83</v>
      </c>
      <c r="C255" s="21">
        <v>17.11</v>
      </c>
      <c r="D255" s="21">
        <v>15.26</v>
      </c>
      <c r="E255" s="21">
        <v>14.86</v>
      </c>
      <c r="F255" s="21">
        <v>13.3</v>
      </c>
      <c r="G255" s="21">
        <v>10.039999999999999</v>
      </c>
      <c r="H255" s="68">
        <f>AVERAGE(C255:G255)</f>
        <v>14.113999999999999</v>
      </c>
      <c r="I255" s="68">
        <f t="shared" ref="I255:Q255" si="243">H255*1.005</f>
        <v>14.184569999999997</v>
      </c>
      <c r="J255" s="68">
        <f t="shared" si="243"/>
        <v>14.255492849999996</v>
      </c>
      <c r="K255" s="68">
        <f t="shared" si="243"/>
        <v>14.326770314249995</v>
      </c>
      <c r="L255" s="68">
        <f t="shared" si="243"/>
        <v>14.398404165821242</v>
      </c>
      <c r="M255" s="68">
        <f t="shared" si="243"/>
        <v>14.470396186650348</v>
      </c>
      <c r="N255" s="68">
        <f t="shared" si="243"/>
        <v>14.542748167583598</v>
      </c>
      <c r="O255" s="68">
        <f t="shared" si="243"/>
        <v>14.615461908421514</v>
      </c>
      <c r="P255" s="68">
        <f t="shared" si="243"/>
        <v>14.688539217963619</v>
      </c>
      <c r="Q255" s="68">
        <f t="shared" si="243"/>
        <v>14.761981914053436</v>
      </c>
      <c r="W255" s="4"/>
      <c r="X255" s="4"/>
      <c r="Y255" s="4"/>
      <c r="Z255" s="4"/>
      <c r="AA255" s="4"/>
      <c r="AB255" s="4"/>
    </row>
    <row r="256" spans="1:34" x14ac:dyDescent="0.15">
      <c r="B256" s="38" t="s">
        <v>390</v>
      </c>
      <c r="C256" s="21">
        <v>0.7</v>
      </c>
      <c r="D256" s="21">
        <v>0.93</v>
      </c>
      <c r="E256" s="21">
        <v>1.41</v>
      </c>
      <c r="F256" s="21">
        <v>0.33</v>
      </c>
      <c r="G256" s="21">
        <v>0</v>
      </c>
      <c r="H256" s="68">
        <f>AVERAGE(C256:G256)</f>
        <v>0.67400000000000004</v>
      </c>
      <c r="I256" s="68">
        <f t="shared" ref="I256:Q257" si="244">H256*1.005</f>
        <v>0.67736999999999992</v>
      </c>
      <c r="J256" s="68">
        <f t="shared" si="244"/>
        <v>0.68075684999999986</v>
      </c>
      <c r="K256" s="68">
        <f t="shared" si="244"/>
        <v>0.68416063424999973</v>
      </c>
      <c r="L256" s="68">
        <f t="shared" si="244"/>
        <v>0.68758143742124966</v>
      </c>
      <c r="M256" s="68">
        <f t="shared" si="244"/>
        <v>0.69101934460835579</v>
      </c>
      <c r="N256" s="68">
        <f t="shared" si="244"/>
        <v>0.69447444133139746</v>
      </c>
      <c r="O256" s="68">
        <f t="shared" si="244"/>
        <v>0.69794681353805432</v>
      </c>
      <c r="P256" s="68">
        <f t="shared" si="244"/>
        <v>0.70143654760574448</v>
      </c>
      <c r="Q256" s="68">
        <f t="shared" si="244"/>
        <v>0.70494373034377311</v>
      </c>
      <c r="W256" s="4"/>
      <c r="X256" s="4"/>
      <c r="Y256" s="4"/>
      <c r="Z256" s="4"/>
      <c r="AA256" s="4"/>
      <c r="AB256" s="4"/>
    </row>
    <row r="257" spans="1:34" x14ac:dyDescent="0.15">
      <c r="B257" s="38" t="s">
        <v>376</v>
      </c>
      <c r="C257" s="21">
        <v>-0.52</v>
      </c>
      <c r="D257" s="21">
        <v>-0.36</v>
      </c>
      <c r="E257" s="21">
        <v>-0.88</v>
      </c>
      <c r="F257" s="21">
        <v>-15.66</v>
      </c>
      <c r="G257" s="21">
        <v>-8.17</v>
      </c>
      <c r="H257" s="68">
        <f>AVERAGE(C257:G257)</f>
        <v>-5.1180000000000003</v>
      </c>
      <c r="I257" s="68">
        <f t="shared" si="244"/>
        <v>-5.1435899999999997</v>
      </c>
      <c r="J257" s="68">
        <f t="shared" si="244"/>
        <v>-5.1693079499999994</v>
      </c>
      <c r="K257" s="68">
        <f t="shared" si="244"/>
        <v>-5.1951544897499993</v>
      </c>
      <c r="L257" s="68">
        <f t="shared" si="244"/>
        <v>-5.2211302621987485</v>
      </c>
      <c r="M257" s="68">
        <f t="shared" si="244"/>
        <v>-5.2472359135097415</v>
      </c>
      <c r="N257" s="68">
        <f t="shared" si="244"/>
        <v>-5.2734720930772898</v>
      </c>
      <c r="O257" s="68">
        <f t="shared" si="244"/>
        <v>-5.2998394535426758</v>
      </c>
      <c r="P257" s="68">
        <f t="shared" si="244"/>
        <v>-5.3263386508103885</v>
      </c>
      <c r="Q257" s="68">
        <f t="shared" si="244"/>
        <v>-5.3529703440644401</v>
      </c>
      <c r="W257" s="4"/>
      <c r="X257" s="4"/>
      <c r="Y257" s="4"/>
      <c r="Z257" s="4"/>
      <c r="AA257" s="4"/>
      <c r="AB257" s="4"/>
    </row>
    <row r="258" spans="1:34" x14ac:dyDescent="0.15">
      <c r="B258" s="38" t="s">
        <v>387</v>
      </c>
      <c r="C258" s="21">
        <v>0</v>
      </c>
      <c r="D258" s="21">
        <v>0</v>
      </c>
      <c r="E258" s="21">
        <v>0</v>
      </c>
      <c r="F258" s="21">
        <v>0</v>
      </c>
      <c r="G258" s="21">
        <v>-0.9</v>
      </c>
      <c r="H258" s="68">
        <v>0</v>
      </c>
      <c r="I258" s="68">
        <v>0</v>
      </c>
      <c r="J258" s="68">
        <v>0</v>
      </c>
      <c r="K258" s="68">
        <v>0</v>
      </c>
      <c r="L258" s="68">
        <v>0</v>
      </c>
      <c r="M258" s="68">
        <v>0</v>
      </c>
      <c r="N258" s="68">
        <v>0</v>
      </c>
      <c r="O258" s="68">
        <v>0</v>
      </c>
      <c r="P258" s="68">
        <v>0</v>
      </c>
      <c r="Q258" s="68">
        <v>0</v>
      </c>
    </row>
    <row r="259" spans="1:34" x14ac:dyDescent="0.15">
      <c r="B259" s="38" t="s">
        <v>389</v>
      </c>
      <c r="C259" s="21">
        <v>-0.7</v>
      </c>
      <c r="D259" s="21">
        <v>-0.65</v>
      </c>
      <c r="E259" s="21">
        <v>3.51</v>
      </c>
      <c r="F259" s="21">
        <v>4.1100000000000003</v>
      </c>
      <c r="G259" s="21">
        <v>0.5</v>
      </c>
      <c r="H259" s="68">
        <f>AVERAGE(C259:G259)</f>
        <v>1.3539999999999999</v>
      </c>
      <c r="I259" s="68">
        <f t="shared" ref="I259:Q260" si="245">H259*1.005</f>
        <v>1.3607699999999998</v>
      </c>
      <c r="J259" s="68">
        <f t="shared" si="245"/>
        <v>1.3675738499999996</v>
      </c>
      <c r="K259" s="68">
        <f t="shared" si="245"/>
        <v>1.3744117192499996</v>
      </c>
      <c r="L259" s="68">
        <f t="shared" si="245"/>
        <v>1.3812837778462494</v>
      </c>
      <c r="M259" s="68">
        <f t="shared" si="245"/>
        <v>1.3881901967354806</v>
      </c>
      <c r="N259" s="68">
        <f t="shared" si="245"/>
        <v>1.3951311477191579</v>
      </c>
      <c r="O259" s="68">
        <f t="shared" si="245"/>
        <v>1.4021068034577535</v>
      </c>
      <c r="P259" s="68">
        <f t="shared" si="245"/>
        <v>1.4091173374750421</v>
      </c>
      <c r="Q259" s="68">
        <f t="shared" si="245"/>
        <v>1.4161629241624172</v>
      </c>
      <c r="W259" s="102"/>
      <c r="X259" s="102"/>
      <c r="Y259" s="102"/>
      <c r="Z259" s="102"/>
      <c r="AA259" s="102"/>
      <c r="AB259" s="102"/>
    </row>
    <row r="260" spans="1:34" x14ac:dyDescent="0.15">
      <c r="B260" s="38" t="s">
        <v>378</v>
      </c>
      <c r="C260" s="21">
        <v>2.79</v>
      </c>
      <c r="D260" s="21">
        <v>-0.56000000000000005</v>
      </c>
      <c r="E260" s="21">
        <v>1.91</v>
      </c>
      <c r="F260" s="21">
        <v>1.48</v>
      </c>
      <c r="G260" s="21">
        <v>-4.9400000000000004</v>
      </c>
      <c r="H260" s="68">
        <f>AVERAGE(C260:G260)</f>
        <v>0.13599999999999976</v>
      </c>
      <c r="I260" s="68">
        <f t="shared" si="245"/>
        <v>0.13667999999999975</v>
      </c>
      <c r="J260" s="68">
        <f t="shared" si="245"/>
        <v>0.13736339999999972</v>
      </c>
      <c r="K260" s="68">
        <f t="shared" si="245"/>
        <v>0.1380502169999997</v>
      </c>
      <c r="L260" s="68">
        <f t="shared" si="245"/>
        <v>0.13874046808499968</v>
      </c>
      <c r="M260" s="68">
        <f t="shared" si="245"/>
        <v>0.13943417042542466</v>
      </c>
      <c r="N260" s="68">
        <f t="shared" si="245"/>
        <v>0.14013134127755178</v>
      </c>
      <c r="O260" s="68">
        <f t="shared" si="245"/>
        <v>0.14083199798393953</v>
      </c>
      <c r="P260" s="68">
        <f t="shared" si="245"/>
        <v>0.14153615797385921</v>
      </c>
      <c r="Q260" s="68">
        <f t="shared" si="245"/>
        <v>0.14224383876372848</v>
      </c>
      <c r="W260" s="102"/>
      <c r="X260" s="102"/>
      <c r="Y260" s="102"/>
      <c r="Z260" s="102"/>
      <c r="AA260" s="102"/>
      <c r="AB260" s="102"/>
    </row>
    <row r="261" spans="1:34" s="4" customFormat="1" ht="15" thickBot="1" x14ac:dyDescent="0.2">
      <c r="A261" s="2"/>
      <c r="B261" s="48" t="s">
        <v>84</v>
      </c>
      <c r="C261" s="69">
        <f t="shared" ref="C261:Q261" si="246">C253-SUM(C254:C260)</f>
        <v>45.699999999999989</v>
      </c>
      <c r="D261" s="69">
        <f t="shared" si="246"/>
        <v>34.979999999999976</v>
      </c>
      <c r="E261" s="69">
        <f t="shared" si="246"/>
        <v>28.510000000000019</v>
      </c>
      <c r="F261" s="69">
        <f t="shared" si="246"/>
        <v>25.749999999999972</v>
      </c>
      <c r="G261" s="69">
        <f t="shared" si="246"/>
        <v>21.910000000000011</v>
      </c>
      <c r="H261" s="70">
        <f t="shared" si="246"/>
        <v>14.703999999999994</v>
      </c>
      <c r="I261" s="70">
        <f t="shared" si="246"/>
        <v>7.4619699999999796</v>
      </c>
      <c r="J261" s="70">
        <f t="shared" si="246"/>
        <v>0.18372984999993491</v>
      </c>
      <c r="K261" s="70">
        <f t="shared" si="246"/>
        <v>-7.1309015007500705</v>
      </c>
      <c r="L261" s="70">
        <f t="shared" si="246"/>
        <v>-14.482106008253766</v>
      </c>
      <c r="M261" s="70">
        <f t="shared" si="246"/>
        <v>-21.870066538295021</v>
      </c>
      <c r="N261" s="70">
        <f t="shared" si="246"/>
        <v>-29.294966870986485</v>
      </c>
      <c r="O261" s="70">
        <f t="shared" si="246"/>
        <v>-36.75699170534142</v>
      </c>
      <c r="P261" s="70">
        <f t="shared" si="246"/>
        <v>-44.256326663868066</v>
      </c>
      <c r="Q261" s="70">
        <f t="shared" si="246"/>
        <v>-51.79315829718746</v>
      </c>
      <c r="AD261" s="76"/>
      <c r="AE261" s="76"/>
      <c r="AF261" s="76"/>
    </row>
    <row r="262" spans="1:34" ht="15" thickTop="1" x14ac:dyDescent="0.15">
      <c r="B262" s="38"/>
      <c r="G262" s="72"/>
      <c r="H262" s="68"/>
      <c r="I262" s="68"/>
      <c r="J262" s="68"/>
      <c r="K262" s="68"/>
      <c r="L262" s="68"/>
      <c r="M262" s="68"/>
      <c r="N262" s="68"/>
      <c r="O262" s="68"/>
      <c r="P262" s="68"/>
      <c r="Q262" s="68"/>
    </row>
    <row r="263" spans="1:34" x14ac:dyDescent="0.15">
      <c r="B263" s="403" t="s">
        <v>366</v>
      </c>
      <c r="C263" s="72"/>
      <c r="D263" s="72"/>
      <c r="E263" s="72"/>
      <c r="F263" s="72"/>
      <c r="G263" s="4"/>
      <c r="H263" s="231"/>
      <c r="I263" s="68"/>
      <c r="J263" s="68"/>
      <c r="K263" s="68"/>
      <c r="L263" s="68"/>
      <c r="M263" s="68"/>
      <c r="N263" s="68"/>
      <c r="O263" s="68"/>
      <c r="P263" s="68"/>
      <c r="Q263" s="68"/>
    </row>
    <row r="264" spans="1:34" x14ac:dyDescent="0.15">
      <c r="B264" s="48" t="s">
        <v>79</v>
      </c>
      <c r="C264" s="66">
        <v>0.1</v>
      </c>
      <c r="D264" s="66">
        <f>C266</f>
        <v>0.1</v>
      </c>
      <c r="E264" s="66">
        <f>D266</f>
        <v>0.1</v>
      </c>
      <c r="F264" s="66">
        <f t="shared" ref="F264" si="247">E266</f>
        <v>0.1</v>
      </c>
      <c r="G264" s="66">
        <f t="shared" ref="G264" si="248">F266</f>
        <v>0.1</v>
      </c>
      <c r="H264" s="67">
        <f t="shared" ref="H264" si="249">G266</f>
        <v>0.1</v>
      </c>
      <c r="I264" s="67">
        <f t="shared" ref="I264" si="250">H266</f>
        <v>0.1</v>
      </c>
      <c r="J264" s="67">
        <f t="shared" ref="J264" si="251">I266</f>
        <v>0.1</v>
      </c>
      <c r="K264" s="67">
        <f t="shared" ref="K264" si="252">J266</f>
        <v>0.1</v>
      </c>
      <c r="L264" s="67">
        <f t="shared" ref="L264" si="253">K266</f>
        <v>0.1</v>
      </c>
      <c r="M264" s="67">
        <f t="shared" ref="M264" si="254">L266</f>
        <v>0.1</v>
      </c>
      <c r="N264" s="67">
        <f t="shared" ref="N264" si="255">M266</f>
        <v>0.1</v>
      </c>
      <c r="O264" s="67">
        <f t="shared" ref="O264" si="256">N266</f>
        <v>0.1</v>
      </c>
      <c r="P264" s="67">
        <f t="shared" ref="P264" si="257">O266</f>
        <v>0.1</v>
      </c>
      <c r="Q264" s="67">
        <f t="shared" ref="Q264" si="258">P266</f>
        <v>0.1</v>
      </c>
    </row>
    <row r="265" spans="1:34" x14ac:dyDescent="0.15">
      <c r="B265" s="38" t="s">
        <v>80</v>
      </c>
      <c r="C265" s="21">
        <v>0</v>
      </c>
      <c r="D265" s="21">
        <v>0</v>
      </c>
      <c r="E265" s="21">
        <v>0</v>
      </c>
      <c r="F265" s="21">
        <v>0</v>
      </c>
      <c r="G265" s="21">
        <v>0</v>
      </c>
      <c r="H265" s="68">
        <f>AVERAGE(C265:G265)</f>
        <v>0</v>
      </c>
      <c r="I265" s="68">
        <f t="shared" ref="I265:Q265" si="259">H265*1.005</f>
        <v>0</v>
      </c>
      <c r="J265" s="68">
        <f t="shared" si="259"/>
        <v>0</v>
      </c>
      <c r="K265" s="68">
        <f t="shared" si="259"/>
        <v>0</v>
      </c>
      <c r="L265" s="68">
        <f t="shared" si="259"/>
        <v>0</v>
      </c>
      <c r="M265" s="68">
        <f t="shared" si="259"/>
        <v>0</v>
      </c>
      <c r="N265" s="68">
        <f t="shared" si="259"/>
        <v>0</v>
      </c>
      <c r="O265" s="68">
        <f t="shared" si="259"/>
        <v>0</v>
      </c>
      <c r="P265" s="68">
        <f t="shared" si="259"/>
        <v>0</v>
      </c>
      <c r="Q265" s="68">
        <f t="shared" si="259"/>
        <v>0</v>
      </c>
      <c r="W265" s="102"/>
      <c r="X265" s="102"/>
      <c r="Y265" s="102"/>
      <c r="Z265" s="102"/>
      <c r="AA265" s="102"/>
      <c r="AB265" s="76"/>
      <c r="AD265" s="76"/>
      <c r="AE265" s="76"/>
      <c r="AF265" s="76"/>
      <c r="AG265" s="45"/>
      <c r="AH265" s="45"/>
    </row>
    <row r="266" spans="1:34" x14ac:dyDescent="0.15">
      <c r="B266" s="48" t="s">
        <v>81</v>
      </c>
      <c r="C266" s="71">
        <f t="shared" ref="C266:Q266" si="260">SUM(C264:C265)</f>
        <v>0.1</v>
      </c>
      <c r="D266" s="71">
        <f t="shared" si="260"/>
        <v>0.1</v>
      </c>
      <c r="E266" s="71">
        <f t="shared" si="260"/>
        <v>0.1</v>
      </c>
      <c r="F266" s="71">
        <f t="shared" si="260"/>
        <v>0.1</v>
      </c>
      <c r="G266" s="71">
        <f t="shared" si="260"/>
        <v>0.1</v>
      </c>
      <c r="H266" s="67">
        <f t="shared" si="260"/>
        <v>0.1</v>
      </c>
      <c r="I266" s="67">
        <f t="shared" si="260"/>
        <v>0.1</v>
      </c>
      <c r="J266" s="67">
        <f t="shared" si="260"/>
        <v>0.1</v>
      </c>
      <c r="K266" s="67">
        <f t="shared" si="260"/>
        <v>0.1</v>
      </c>
      <c r="L266" s="67">
        <f t="shared" si="260"/>
        <v>0.1</v>
      </c>
      <c r="M266" s="67">
        <f t="shared" si="260"/>
        <v>0.1</v>
      </c>
      <c r="N266" s="67">
        <f t="shared" si="260"/>
        <v>0.1</v>
      </c>
      <c r="O266" s="67">
        <f t="shared" si="260"/>
        <v>0.1</v>
      </c>
      <c r="P266" s="67">
        <f t="shared" si="260"/>
        <v>0.1</v>
      </c>
      <c r="Q266" s="67">
        <f t="shared" si="260"/>
        <v>0.1</v>
      </c>
      <c r="W266" s="4"/>
      <c r="X266" s="4"/>
      <c r="Y266" s="4"/>
      <c r="Z266" s="4"/>
      <c r="AA266" s="4"/>
      <c r="AB266" s="4"/>
    </row>
    <row r="267" spans="1:34" x14ac:dyDescent="0.15">
      <c r="B267" s="38" t="s">
        <v>83</v>
      </c>
      <c r="C267" s="21">
        <v>0.1</v>
      </c>
      <c r="D267" s="21">
        <v>0.1</v>
      </c>
      <c r="E267" s="21">
        <v>0.1</v>
      </c>
      <c r="F267" s="21">
        <v>0.1</v>
      </c>
      <c r="G267" s="21">
        <v>0.1</v>
      </c>
      <c r="H267" s="68">
        <f>AVERAGE(C267:G267)</f>
        <v>0.1</v>
      </c>
      <c r="I267" s="68">
        <f t="shared" ref="I267:Q267" si="261">H267*1.005</f>
        <v>0.10049999999999999</v>
      </c>
      <c r="J267" s="68">
        <f t="shared" si="261"/>
        <v>0.10100249999999998</v>
      </c>
      <c r="K267" s="68">
        <f t="shared" si="261"/>
        <v>0.10150751249999997</v>
      </c>
      <c r="L267" s="68">
        <f t="shared" si="261"/>
        <v>0.10201505006249996</v>
      </c>
      <c r="M267" s="68">
        <f t="shared" si="261"/>
        <v>0.10252512531281245</v>
      </c>
      <c r="N267" s="68">
        <f t="shared" si="261"/>
        <v>0.1030377509393765</v>
      </c>
      <c r="O267" s="68">
        <f t="shared" si="261"/>
        <v>0.10355293969407338</v>
      </c>
      <c r="P267" s="68">
        <f t="shared" si="261"/>
        <v>0.10407070439254373</v>
      </c>
      <c r="Q267" s="68">
        <f t="shared" si="261"/>
        <v>0.10459105791450644</v>
      </c>
    </row>
    <row r="268" spans="1:34" ht="15" thickBot="1" x14ac:dyDescent="0.2">
      <c r="B268" s="48" t="s">
        <v>84</v>
      </c>
      <c r="C268" s="69">
        <f t="shared" ref="C268:Q268" si="262">C266-SUM(C267:C267)</f>
        <v>0</v>
      </c>
      <c r="D268" s="69">
        <f t="shared" si="262"/>
        <v>0</v>
      </c>
      <c r="E268" s="69">
        <f t="shared" si="262"/>
        <v>0</v>
      </c>
      <c r="F268" s="69">
        <f t="shared" si="262"/>
        <v>0</v>
      </c>
      <c r="G268" s="69">
        <f t="shared" si="262"/>
        <v>0</v>
      </c>
      <c r="H268" s="70">
        <f t="shared" si="262"/>
        <v>0</v>
      </c>
      <c r="I268" s="70">
        <f t="shared" si="262"/>
        <v>-4.9999999999998657E-4</v>
      </c>
      <c r="J268" s="70">
        <f t="shared" si="262"/>
        <v>-1.0024999999999756E-3</v>
      </c>
      <c r="K268" s="70">
        <f t="shared" si="262"/>
        <v>-1.5075124999999606E-3</v>
      </c>
      <c r="L268" s="70">
        <f t="shared" si="262"/>
        <v>-2.015050062499954E-3</v>
      </c>
      <c r="M268" s="70">
        <f t="shared" si="262"/>
        <v>-2.5251253128124457E-3</v>
      </c>
      <c r="N268" s="70">
        <f t="shared" si="262"/>
        <v>-3.037750939376499E-3</v>
      </c>
      <c r="O268" s="70">
        <f t="shared" si="262"/>
        <v>-3.5529396940733732E-3</v>
      </c>
      <c r="P268" s="70">
        <f t="shared" si="262"/>
        <v>-4.0707043925437281E-3</v>
      </c>
      <c r="Q268" s="70">
        <f t="shared" si="262"/>
        <v>-4.5910579145064384E-3</v>
      </c>
    </row>
    <row r="269" spans="1:34" ht="15" thickTop="1" x14ac:dyDescent="0.15">
      <c r="B269" s="38"/>
      <c r="C269" s="72"/>
      <c r="D269" s="72"/>
      <c r="E269" s="72"/>
      <c r="F269" s="72"/>
      <c r="G269" s="72"/>
      <c r="H269" s="68"/>
      <c r="I269" s="68"/>
      <c r="J269" s="68"/>
      <c r="K269" s="68"/>
      <c r="L269" s="68"/>
      <c r="M269" s="68"/>
      <c r="N269" s="68"/>
      <c r="O269" s="68"/>
      <c r="P269" s="68"/>
      <c r="Q269" s="68"/>
    </row>
    <row r="270" spans="1:34" x14ac:dyDescent="0.15">
      <c r="B270" s="38"/>
      <c r="C270" s="72"/>
      <c r="D270" s="72"/>
      <c r="E270" s="72"/>
      <c r="F270" s="72"/>
      <c r="G270" s="72"/>
      <c r="H270" s="68"/>
      <c r="I270" s="68"/>
      <c r="J270" s="68"/>
      <c r="K270" s="68"/>
      <c r="L270" s="68"/>
      <c r="M270" s="68"/>
      <c r="N270" s="68"/>
      <c r="O270" s="68"/>
      <c r="P270" s="68"/>
      <c r="Q270" s="68"/>
    </row>
    <row r="271" spans="1:34" s="4" customFormat="1" ht="15" thickBot="1" x14ac:dyDescent="0.2">
      <c r="B271" s="48" t="s">
        <v>257</v>
      </c>
      <c r="C271" s="78">
        <f>+C268+C261+C244</f>
        <v>2635.16</v>
      </c>
      <c r="D271" s="78">
        <f t="shared" ref="D271:Q271" si="263">+D268+D261+D244</f>
        <v>2473.5699999999997</v>
      </c>
      <c r="E271" s="78">
        <f t="shared" si="263"/>
        <v>2469.15</v>
      </c>
      <c r="F271" s="78">
        <f t="shared" si="263"/>
        <v>2577.34</v>
      </c>
      <c r="G271" s="78">
        <f t="shared" si="263"/>
        <v>3956.9000000000005</v>
      </c>
      <c r="H271" s="70">
        <f t="shared" si="263"/>
        <v>4236.3119999999999</v>
      </c>
      <c r="I271" s="70">
        <f t="shared" si="263"/>
        <v>4517.1205599999994</v>
      </c>
      <c r="J271" s="70">
        <f t="shared" si="263"/>
        <v>4799.3331627999996</v>
      </c>
      <c r="K271" s="70">
        <f t="shared" si="263"/>
        <v>5082.9568286139993</v>
      </c>
      <c r="L271" s="70">
        <f t="shared" si="263"/>
        <v>5367.9986127570683</v>
      </c>
      <c r="M271" s="70">
        <f t="shared" si="263"/>
        <v>5654.465605820852</v>
      </c>
      <c r="N271" s="70">
        <f t="shared" si="263"/>
        <v>5942.3649338499563</v>
      </c>
      <c r="O271" s="70">
        <f t="shared" si="263"/>
        <v>6231.7037585192056</v>
      </c>
      <c r="P271" s="70">
        <f t="shared" si="263"/>
        <v>6522.4892773118017</v>
      </c>
      <c r="Q271" s="70">
        <f t="shared" si="263"/>
        <v>6814.7287236983602</v>
      </c>
    </row>
    <row r="272" spans="1:34" x14ac:dyDescent="0.15">
      <c r="B272" s="38"/>
      <c r="H272" s="187"/>
      <c r="I272" s="187"/>
      <c r="J272" s="187"/>
      <c r="K272" s="187"/>
      <c r="L272" s="187"/>
      <c r="M272" s="187"/>
      <c r="N272" s="187"/>
      <c r="O272" s="187"/>
      <c r="P272" s="187"/>
      <c r="Q272" s="187"/>
    </row>
    <row r="273" spans="2:18" s="4" customFormat="1" x14ac:dyDescent="0.15">
      <c r="B273" s="48" t="s">
        <v>305</v>
      </c>
      <c r="C273" s="47">
        <f>C271+C226+C184</f>
        <v>3892.08</v>
      </c>
      <c r="D273" s="47">
        <f t="shared" ref="D273:Q273" si="264">D271+D226+D184</f>
        <v>3774.92</v>
      </c>
      <c r="E273" s="47">
        <f t="shared" si="264"/>
        <v>3842.51</v>
      </c>
      <c r="F273" s="47">
        <f t="shared" si="264"/>
        <v>4111.4100000000008</v>
      </c>
      <c r="G273" s="47">
        <f t="shared" si="264"/>
        <v>5403.2900000000009</v>
      </c>
      <c r="H273" s="187">
        <f t="shared" si="264"/>
        <v>5729.7588000000014</v>
      </c>
      <c r="I273" s="187">
        <f t="shared" si="264"/>
        <v>6058.9334000000008</v>
      </c>
      <c r="J273" s="187">
        <f t="shared" si="264"/>
        <v>6389.7293290000007</v>
      </c>
      <c r="K273" s="187">
        <f t="shared" si="264"/>
        <v>6717.8310456449999</v>
      </c>
      <c r="L273" s="187">
        <f t="shared" si="264"/>
        <v>7052.0903451132244</v>
      </c>
      <c r="M273" s="187">
        <f t="shared" si="264"/>
        <v>7387.9954153187882</v>
      </c>
      <c r="N273" s="187">
        <f t="shared" si="264"/>
        <v>7725.7586911953822</v>
      </c>
      <c r="O273" s="187">
        <f t="shared" si="264"/>
        <v>8065.1842366609599</v>
      </c>
      <c r="P273" s="187">
        <f t="shared" si="264"/>
        <v>8406.2803630634644</v>
      </c>
      <c r="Q273" s="187">
        <f t="shared" si="264"/>
        <v>8748.9377976307806</v>
      </c>
    </row>
    <row r="274" spans="2:18" s="4" customFormat="1" x14ac:dyDescent="0.15">
      <c r="B274" s="48" t="s">
        <v>83</v>
      </c>
      <c r="C274" s="71">
        <f>'P&amp;L Input'!C26</f>
        <v>197.28</v>
      </c>
      <c r="D274" s="71">
        <f>'P&amp;L Input'!D26</f>
        <v>203.85</v>
      </c>
      <c r="E274" s="71">
        <f>'P&amp;L Input'!E26</f>
        <v>209.93</v>
      </c>
      <c r="F274" s="71">
        <f>'P&amp;L Input'!F26</f>
        <v>236.29</v>
      </c>
      <c r="G274" s="71">
        <f>'P&amp;L Input'!G26</f>
        <v>240.96</v>
      </c>
      <c r="H274" s="67">
        <f ca="1">SUMIF($B$11:$Q$271,$B$274,H11:H267)</f>
        <v>144.85799999999998</v>
      </c>
      <c r="I274" s="67">
        <f t="shared" ref="I274:Q274" ca="1" si="265">SUMIF($B$11:$Q$271,$B$274,I11:I269)</f>
        <v>145.58229</v>
      </c>
      <c r="J274" s="67">
        <f t="shared" ca="1" si="265"/>
        <v>146.31020144999999</v>
      </c>
      <c r="K274" s="67">
        <f t="shared" ca="1" si="265"/>
        <v>147.04175245724991</v>
      </c>
      <c r="L274" s="67">
        <f t="shared" ca="1" si="265"/>
        <v>147.77696121953625</v>
      </c>
      <c r="M274" s="67">
        <f t="shared" ca="1" si="265"/>
        <v>148.51584602563389</v>
      </c>
      <c r="N274" s="67">
        <f t="shared" ca="1" si="265"/>
        <v>149.25842525576201</v>
      </c>
      <c r="O274" s="67">
        <f t="shared" ca="1" si="265"/>
        <v>150.00471738204084</v>
      </c>
      <c r="P274" s="67">
        <f t="shared" ca="1" si="265"/>
        <v>150.75474096895098</v>
      </c>
      <c r="Q274" s="67">
        <f t="shared" ca="1" si="265"/>
        <v>151.3985146737958</v>
      </c>
    </row>
    <row r="275" spans="2:18" s="5" customFormat="1" x14ac:dyDescent="0.15">
      <c r="B275" s="41" t="s">
        <v>307</v>
      </c>
      <c r="C275" s="16">
        <v>0</v>
      </c>
      <c r="D275" s="299">
        <f t="shared" ref="D275:Q275" si="266">D273+D274-C273</f>
        <v>86.690000000000055</v>
      </c>
      <c r="E275" s="299">
        <f t="shared" si="266"/>
        <v>277.52</v>
      </c>
      <c r="F275" s="299">
        <f t="shared" si="266"/>
        <v>505.19000000000051</v>
      </c>
      <c r="G275" s="204">
        <f t="shared" si="266"/>
        <v>1532.8400000000001</v>
      </c>
      <c r="H275" s="255">
        <f t="shared" ca="1" si="266"/>
        <v>471.32680000000073</v>
      </c>
      <c r="I275" s="255">
        <f t="shared" ca="1" si="266"/>
        <v>474.75688999999966</v>
      </c>
      <c r="J275" s="255">
        <f t="shared" ca="1" si="266"/>
        <v>477.10613044999991</v>
      </c>
      <c r="K275" s="255">
        <f t="shared" ca="1" si="266"/>
        <v>475.14346910224867</v>
      </c>
      <c r="L275" s="255">
        <f t="shared" ca="1" si="266"/>
        <v>482.03626068776066</v>
      </c>
      <c r="M275" s="255">
        <f t="shared" ca="1" si="266"/>
        <v>484.42091623119722</v>
      </c>
      <c r="N275" s="255">
        <f t="shared" ca="1" si="266"/>
        <v>487.0217011323557</v>
      </c>
      <c r="O275" s="255">
        <f t="shared" ca="1" si="266"/>
        <v>489.430262847618</v>
      </c>
      <c r="P275" s="255">
        <f t="shared" ca="1" si="266"/>
        <v>491.85086737145502</v>
      </c>
      <c r="Q275" s="255">
        <f t="shared" ca="1" si="266"/>
        <v>494.0559492411121</v>
      </c>
      <c r="R275" s="204"/>
    </row>
    <row r="276" spans="2:18" x14ac:dyDescent="0.15">
      <c r="B276" s="38"/>
      <c r="H276" s="35"/>
      <c r="I276" s="35"/>
      <c r="J276" s="35"/>
      <c r="K276" s="35"/>
      <c r="L276" s="35"/>
      <c r="M276" s="35"/>
      <c r="N276" s="35"/>
      <c r="O276" s="35"/>
      <c r="P276" s="35"/>
      <c r="Q276" s="265"/>
      <c r="R276" s="266"/>
    </row>
    <row r="277" spans="2:18" s="4" customFormat="1" x14ac:dyDescent="0.15">
      <c r="B277" s="48" t="s">
        <v>23</v>
      </c>
      <c r="C277" s="47">
        <f>'Balance Sheet'!D14</f>
        <v>55.67</v>
      </c>
      <c r="D277" s="47">
        <f>'Balance Sheet'!E14</f>
        <v>52.97</v>
      </c>
      <c r="E277" s="47">
        <f>'Balance Sheet'!F14</f>
        <v>114.75</v>
      </c>
      <c r="F277" s="47">
        <f>'Balance Sheet'!G14</f>
        <v>41.61</v>
      </c>
      <c r="G277" s="47">
        <f>'Balance Sheet'!H14</f>
        <v>88.73</v>
      </c>
      <c r="H277" s="256">
        <f>G277+H278</f>
        <v>95.341999999999999</v>
      </c>
      <c r="I277" s="256">
        <f t="shared" ref="I277:Q277" si="267">H277+I278</f>
        <v>101.98706</v>
      </c>
      <c r="J277" s="256">
        <f t="shared" si="267"/>
        <v>108.6653453</v>
      </c>
      <c r="K277" s="256">
        <f t="shared" si="267"/>
        <v>115.3770220265</v>
      </c>
      <c r="L277" s="256">
        <f t="shared" si="267"/>
        <v>122.1222571366325</v>
      </c>
      <c r="M277" s="256">
        <f t="shared" si="267"/>
        <v>128.90121842231565</v>
      </c>
      <c r="N277" s="256">
        <f t="shared" si="267"/>
        <v>135.71407451442724</v>
      </c>
      <c r="O277" s="256">
        <f t="shared" si="267"/>
        <v>142.56099488699937</v>
      </c>
      <c r="P277" s="256">
        <f t="shared" si="267"/>
        <v>149.44214986143436</v>
      </c>
      <c r="Q277" s="256">
        <f t="shared" si="267"/>
        <v>156.35771061074152</v>
      </c>
    </row>
    <row r="278" spans="2:18" s="5" customFormat="1" x14ac:dyDescent="0.15">
      <c r="B278" s="41" t="s">
        <v>306</v>
      </c>
      <c r="C278" s="16">
        <v>0</v>
      </c>
      <c r="D278" s="204">
        <f>D277-C277</f>
        <v>-2.7000000000000028</v>
      </c>
      <c r="E278" s="204">
        <f t="shared" ref="E278:G278" si="268">E277-D277</f>
        <v>61.78</v>
      </c>
      <c r="F278" s="204">
        <f t="shared" si="268"/>
        <v>-73.14</v>
      </c>
      <c r="G278" s="204">
        <f t="shared" si="268"/>
        <v>47.120000000000005</v>
      </c>
      <c r="H278" s="255">
        <f>AVERAGE(C278:G278)</f>
        <v>6.6120000000000001</v>
      </c>
      <c r="I278" s="255">
        <f t="shared" ref="I278:Q278" si="269">H278*1.005</f>
        <v>6.6450599999999991</v>
      </c>
      <c r="J278" s="255">
        <f t="shared" si="269"/>
        <v>6.678285299999998</v>
      </c>
      <c r="K278" s="255">
        <f t="shared" si="269"/>
        <v>6.7116767264999977</v>
      </c>
      <c r="L278" s="255">
        <f t="shared" si="269"/>
        <v>6.745235110132497</v>
      </c>
      <c r="M278" s="255">
        <f t="shared" si="269"/>
        <v>6.7789612856831587</v>
      </c>
      <c r="N278" s="255">
        <f t="shared" si="269"/>
        <v>6.8128560921115735</v>
      </c>
      <c r="O278" s="255">
        <f t="shared" si="269"/>
        <v>6.8469203725721304</v>
      </c>
      <c r="P278" s="255">
        <f t="shared" si="269"/>
        <v>6.88115497443499</v>
      </c>
      <c r="Q278" s="255">
        <f t="shared" si="269"/>
        <v>6.915560749307164</v>
      </c>
    </row>
    <row r="279" spans="2:18" x14ac:dyDescent="0.15">
      <c r="B279" s="38"/>
      <c r="H279" s="34"/>
      <c r="I279" s="34"/>
      <c r="J279" s="34"/>
      <c r="K279" s="34"/>
      <c r="L279" s="34"/>
      <c r="M279" s="34"/>
      <c r="N279" s="34"/>
      <c r="O279" s="34"/>
      <c r="P279" s="34"/>
      <c r="Q279" s="264"/>
    </row>
    <row r="280" spans="2:18" x14ac:dyDescent="0.15">
      <c r="B280" s="38"/>
      <c r="H280" s="34"/>
      <c r="I280" s="34"/>
      <c r="J280" s="34"/>
      <c r="K280" s="34"/>
      <c r="L280" s="34"/>
      <c r="M280" s="34"/>
      <c r="N280" s="34"/>
      <c r="O280" s="34"/>
      <c r="P280" s="34"/>
      <c r="Q280" s="34"/>
    </row>
    <row r="281" spans="2:18" s="4" customFormat="1" ht="15" thickBot="1" x14ac:dyDescent="0.2">
      <c r="B281" s="48" t="s">
        <v>308</v>
      </c>
      <c r="C281" s="257">
        <v>0</v>
      </c>
      <c r="D281" s="50">
        <f>D275+D278</f>
        <v>83.990000000000052</v>
      </c>
      <c r="E281" s="50">
        <f t="shared" ref="E281:Q281" si="270">E275+E278</f>
        <v>339.29999999999995</v>
      </c>
      <c r="F281" s="50">
        <f t="shared" si="270"/>
        <v>432.05000000000052</v>
      </c>
      <c r="G281" s="50">
        <f t="shared" si="270"/>
        <v>1579.96</v>
      </c>
      <c r="H281" s="52">
        <f ca="1">H275+H278</f>
        <v>477.93880000000075</v>
      </c>
      <c r="I281" s="52">
        <f t="shared" ca="1" si="270"/>
        <v>481.40194999999966</v>
      </c>
      <c r="J281" s="52">
        <f t="shared" ca="1" si="270"/>
        <v>483.78441574999988</v>
      </c>
      <c r="K281" s="52">
        <f t="shared" ca="1" si="270"/>
        <v>481.85514582874868</v>
      </c>
      <c r="L281" s="52">
        <f t="shared" ca="1" si="270"/>
        <v>488.78149579789317</v>
      </c>
      <c r="M281" s="52">
        <f t="shared" ca="1" si="270"/>
        <v>491.19987751688041</v>
      </c>
      <c r="N281" s="52">
        <f t="shared" ca="1" si="270"/>
        <v>493.83455722446729</v>
      </c>
      <c r="O281" s="52">
        <f t="shared" ca="1" si="270"/>
        <v>496.27718322019012</v>
      </c>
      <c r="P281" s="52">
        <f t="shared" ca="1" si="270"/>
        <v>498.73202234589002</v>
      </c>
      <c r="Q281" s="52">
        <f t="shared" ca="1" si="270"/>
        <v>500.97150999041929</v>
      </c>
    </row>
    <row r="282" spans="2:18" ht="15" thickTop="1" x14ac:dyDescent="0.15">
      <c r="H282" s="42"/>
      <c r="I282" s="185"/>
      <c r="J282" s="185"/>
      <c r="K282" s="185"/>
      <c r="L282" s="185"/>
      <c r="M282" s="185"/>
      <c r="N282" s="185"/>
      <c r="O282" s="185"/>
      <c r="P282" s="185"/>
      <c r="Q282" s="185"/>
    </row>
    <row r="283" spans="2:18" x14ac:dyDescent="0.15">
      <c r="C283" s="45"/>
      <c r="D283" s="45"/>
      <c r="E283" s="45"/>
      <c r="F283" s="45"/>
      <c r="G283" s="45"/>
      <c r="I283" s="45"/>
      <c r="L283" s="45"/>
      <c r="O283" s="45"/>
    </row>
    <row r="285" spans="2:18" x14ac:dyDescent="0.15">
      <c r="F285" s="45"/>
    </row>
  </sheetData>
  <mergeCells count="6">
    <mergeCell ref="B8:B9"/>
    <mergeCell ref="B228:Q228"/>
    <mergeCell ref="B10:Q10"/>
    <mergeCell ref="P6:Q6"/>
    <mergeCell ref="B7:Q7"/>
    <mergeCell ref="B186:Q186"/>
  </mergeCells>
  <pageMargins left="0.7" right="0.7" top="0.75" bottom="0.75" header="0.3" footer="0.3"/>
  <pageSetup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theme="9" tint="0.39997558519241921"/>
  </sheetPr>
  <dimension ref="B6:R60"/>
  <sheetViews>
    <sheetView showGridLines="0" topLeftCell="C1" zoomScale="109" zoomScaleNormal="100" workbookViewId="0">
      <selection activeCell="I59" sqref="I59"/>
    </sheetView>
  </sheetViews>
  <sheetFormatPr baseColWidth="10" defaultColWidth="8.83203125" defaultRowHeight="14" x14ac:dyDescent="0.15"/>
  <cols>
    <col min="1" max="1" width="4.33203125" style="2" customWidth="1"/>
    <col min="2" max="2" width="3.1640625" style="2" customWidth="1"/>
    <col min="3" max="3" width="33.5" style="2" bestFit="1" customWidth="1"/>
    <col min="4" max="12" width="10.5" style="2" bestFit="1" customWidth="1"/>
    <col min="13" max="13" width="12.5" style="2" customWidth="1"/>
    <col min="14" max="18" width="12.1640625" style="2" bestFit="1" customWidth="1"/>
    <col min="19" max="16384" width="8.83203125" style="2"/>
  </cols>
  <sheetData>
    <row r="6" spans="2:18" ht="15" customHeight="1" x14ac:dyDescent="0.15">
      <c r="B6" s="385"/>
      <c r="C6" s="385"/>
      <c r="D6" s="385"/>
      <c r="E6" s="385"/>
      <c r="G6" s="120"/>
      <c r="H6" s="120"/>
      <c r="M6" s="129" t="s">
        <v>101</v>
      </c>
      <c r="N6" s="56"/>
      <c r="O6" s="56"/>
      <c r="Q6" s="362" t="s">
        <v>76</v>
      </c>
      <c r="R6" s="362"/>
    </row>
    <row r="7" spans="2:18" ht="15" customHeight="1" x14ac:dyDescent="0.2">
      <c r="B7" s="377" t="s">
        <v>183</v>
      </c>
      <c r="C7" s="378"/>
      <c r="D7" s="378"/>
      <c r="E7" s="378"/>
      <c r="F7" s="378"/>
      <c r="G7" s="378"/>
      <c r="H7" s="378"/>
      <c r="I7" s="378"/>
      <c r="J7" s="378"/>
      <c r="K7" s="378"/>
      <c r="L7" s="378"/>
      <c r="M7" s="378"/>
      <c r="N7" s="378"/>
      <c r="O7" s="378"/>
      <c r="P7" s="378"/>
      <c r="Q7" s="378"/>
      <c r="R7" s="379"/>
    </row>
    <row r="8" spans="2:18" x14ac:dyDescent="0.15">
      <c r="B8" s="360" t="s">
        <v>0</v>
      </c>
      <c r="C8" s="386"/>
      <c r="D8" s="234">
        <v>2020</v>
      </c>
      <c r="E8" s="234">
        <v>2021</v>
      </c>
      <c r="F8" s="234">
        <v>2022</v>
      </c>
      <c r="G8" s="234">
        <v>2023</v>
      </c>
      <c r="H8" s="234">
        <v>2024</v>
      </c>
      <c r="I8" s="263">
        <v>2025</v>
      </c>
      <c r="J8" s="263">
        <v>2026</v>
      </c>
      <c r="K8" s="263">
        <v>2027</v>
      </c>
      <c r="L8" s="263">
        <v>2028</v>
      </c>
      <c r="M8" s="263">
        <v>2029</v>
      </c>
      <c r="N8" s="263">
        <v>2030</v>
      </c>
      <c r="O8" s="263">
        <v>2031</v>
      </c>
      <c r="P8" s="263">
        <v>2032</v>
      </c>
      <c r="Q8" s="263">
        <v>2033</v>
      </c>
      <c r="R8" s="263">
        <v>2034</v>
      </c>
    </row>
    <row r="9" spans="2:18" x14ac:dyDescent="0.15">
      <c r="B9" s="361"/>
      <c r="C9" s="387"/>
      <c r="D9" s="13" t="s">
        <v>2</v>
      </c>
      <c r="E9" s="13" t="s">
        <v>2</v>
      </c>
      <c r="F9" s="13" t="s">
        <v>2</v>
      </c>
      <c r="G9" s="13" t="s">
        <v>2</v>
      </c>
      <c r="H9" s="13" t="s">
        <v>2</v>
      </c>
      <c r="I9" s="119" t="s">
        <v>60</v>
      </c>
      <c r="J9" s="119" t="s">
        <v>61</v>
      </c>
      <c r="K9" s="119" t="s">
        <v>61</v>
      </c>
      <c r="L9" s="119" t="s">
        <v>61</v>
      </c>
      <c r="M9" s="119" t="s">
        <v>61</v>
      </c>
      <c r="N9" s="119" t="s">
        <v>61</v>
      </c>
      <c r="O9" s="119" t="s">
        <v>61</v>
      </c>
      <c r="P9" s="119" t="s">
        <v>61</v>
      </c>
      <c r="Q9" s="119" t="s">
        <v>61</v>
      </c>
      <c r="R9" s="119" t="s">
        <v>61</v>
      </c>
    </row>
    <row r="10" spans="2:18" x14ac:dyDescent="0.15">
      <c r="B10" s="367" t="s">
        <v>20</v>
      </c>
      <c r="C10" s="388"/>
      <c r="D10" s="116"/>
      <c r="I10" s="34"/>
      <c r="J10" s="34"/>
      <c r="K10" s="34"/>
      <c r="L10" s="34"/>
      <c r="M10" s="34"/>
      <c r="N10" s="34"/>
      <c r="O10" s="34"/>
      <c r="P10" s="34"/>
      <c r="Q10" s="34"/>
      <c r="R10" s="34"/>
    </row>
    <row r="11" spans="2:18" x14ac:dyDescent="0.15">
      <c r="B11" s="116"/>
      <c r="C11" s="117"/>
      <c r="D11" s="116"/>
      <c r="I11" s="34"/>
      <c r="J11" s="34"/>
      <c r="K11" s="34"/>
      <c r="L11" s="34"/>
      <c r="M11" s="34"/>
      <c r="N11" s="34"/>
      <c r="O11" s="34"/>
      <c r="P11" s="34"/>
      <c r="Q11" s="34"/>
      <c r="R11" s="34"/>
    </row>
    <row r="12" spans="2:18" x14ac:dyDescent="0.15">
      <c r="B12" s="115" t="str">
        <f>'Balance Sheet'!B12:C12</f>
        <v>Non-Current Assets</v>
      </c>
      <c r="C12" s="96"/>
      <c r="D12" s="10"/>
      <c r="I12" s="34"/>
      <c r="J12" s="34"/>
      <c r="K12" s="34"/>
      <c r="L12" s="34"/>
      <c r="M12" s="34"/>
      <c r="N12" s="34"/>
      <c r="O12" s="34"/>
      <c r="P12" s="34"/>
      <c r="Q12" s="34"/>
      <c r="R12" s="34"/>
    </row>
    <row r="13" spans="2:18" x14ac:dyDescent="0.15">
      <c r="C13" s="38" t="str">
        <f>'BS Input'!C18</f>
        <v>Investments in JV &amp; Associates</v>
      </c>
      <c r="D13" s="6">
        <f>'BS Input'!D18</f>
        <v>34.799999999999997</v>
      </c>
      <c r="E13" s="6">
        <f>'BS Input'!E18</f>
        <v>19.420000000000002</v>
      </c>
      <c r="F13" s="6">
        <f>'BS Input'!F18</f>
        <v>0</v>
      </c>
      <c r="G13" s="6">
        <f>'BS Input'!G18</f>
        <v>0</v>
      </c>
      <c r="H13" s="6">
        <f>'BS Input'!H18</f>
        <v>0</v>
      </c>
      <c r="I13" s="36">
        <f>'Revenue Buildup'!H$15*'BS items '!I14</f>
        <v>0</v>
      </c>
      <c r="J13" s="36">
        <f>'Revenue Buildup'!I$15*'BS items '!J14</f>
        <v>0</v>
      </c>
      <c r="K13" s="36">
        <f>'Revenue Buildup'!J$15*'BS items '!K14</f>
        <v>0</v>
      </c>
      <c r="L13" s="36">
        <f>'Revenue Buildup'!K$15*'BS items '!L14</f>
        <v>0</v>
      </c>
      <c r="M13" s="36">
        <f>'Revenue Buildup'!L$15*'BS items '!M14*0.9</f>
        <v>0</v>
      </c>
      <c r="N13" s="36">
        <f>'Revenue Buildup'!M$15*'BS items '!N14</f>
        <v>0</v>
      </c>
      <c r="O13" s="36">
        <f>'Revenue Buildup'!N$15*'BS items '!O14</f>
        <v>0</v>
      </c>
      <c r="P13" s="36">
        <f>'Revenue Buildup'!O$15*'BS items '!P14</f>
        <v>0</v>
      </c>
      <c r="Q13" s="36">
        <f>'Revenue Buildup'!P$15*'BS items '!Q14</f>
        <v>0</v>
      </c>
      <c r="R13" s="36">
        <f>'Revenue Buildup'!Q$15*'BS items '!R14</f>
        <v>0</v>
      </c>
    </row>
    <row r="14" spans="2:18" x14ac:dyDescent="0.15">
      <c r="C14" s="121"/>
      <c r="D14" s="18">
        <f>D13/'P&amp;L Input'!C$11</f>
        <v>3.5113209831698754E-3</v>
      </c>
      <c r="E14" s="18">
        <f>E13/'P&amp;L Input'!D$11</f>
        <v>1.7608730738750632E-3</v>
      </c>
      <c r="F14" s="18">
        <f>F13/'P&amp;L Input'!E$11</f>
        <v>0</v>
      </c>
      <c r="G14" s="18">
        <f>G13/'P&amp;L Input'!F$11</f>
        <v>0</v>
      </c>
      <c r="H14" s="18">
        <f>H13/'P&amp;L Input'!G$11</f>
        <v>0</v>
      </c>
      <c r="I14" s="62">
        <f>H14</f>
        <v>0</v>
      </c>
      <c r="J14" s="62">
        <f t="shared" ref="J14:R22" si="0">I14</f>
        <v>0</v>
      </c>
      <c r="K14" s="62">
        <f t="shared" si="0"/>
        <v>0</v>
      </c>
      <c r="L14" s="62">
        <f t="shared" si="0"/>
        <v>0</v>
      </c>
      <c r="M14" s="62">
        <f t="shared" si="0"/>
        <v>0</v>
      </c>
      <c r="N14" s="62">
        <f t="shared" si="0"/>
        <v>0</v>
      </c>
      <c r="O14" s="62">
        <f t="shared" si="0"/>
        <v>0</v>
      </c>
      <c r="P14" s="62">
        <f t="shared" si="0"/>
        <v>0</v>
      </c>
      <c r="Q14" s="62">
        <f t="shared" si="0"/>
        <v>0</v>
      </c>
      <c r="R14" s="62">
        <f t="shared" si="0"/>
        <v>0</v>
      </c>
    </row>
    <row r="15" spans="2:18" x14ac:dyDescent="0.15">
      <c r="C15" s="38" t="s">
        <v>261</v>
      </c>
      <c r="D15" s="6">
        <f>'BS Input'!D20</f>
        <v>0</v>
      </c>
      <c r="E15" s="6">
        <f>'BS Input'!E20</f>
        <v>2.5099999999999998</v>
      </c>
      <c r="F15" s="6">
        <f>'BS Input'!F20</f>
        <v>171.12</v>
      </c>
      <c r="G15" s="6">
        <f>'BS Input'!G20</f>
        <v>839.33</v>
      </c>
      <c r="H15" s="6">
        <f>'BS Input'!H20</f>
        <v>1787.48</v>
      </c>
      <c r="I15" s="36">
        <f>'Revenue Buildup'!H$15*'BS items '!I16</f>
        <v>1928.3289006393229</v>
      </c>
      <c r="J15" s="36">
        <f>'Revenue Buildup'!I$15*'BS items '!J16</f>
        <v>2085.8869092146301</v>
      </c>
      <c r="K15" s="36">
        <f>'Revenue Buildup'!J$15*'BS items '!K16</f>
        <v>2262.6252792081755</v>
      </c>
      <c r="L15" s="36">
        <f>'Revenue Buildup'!K$15*'BS items '!L16</f>
        <v>2461.4466970330468</v>
      </c>
      <c r="M15" s="36">
        <f>'Revenue Buildup'!L$15*'BS items '!M16</f>
        <v>2685.7713018352674</v>
      </c>
      <c r="N15" s="36">
        <f>'Revenue Buildup'!M$15*'BS items '!N16</f>
        <v>2939.6418797480642</v>
      </c>
      <c r="O15" s="36">
        <f>'Revenue Buildup'!N$15*'BS items '!O16</f>
        <v>3227.8529407349556</v>
      </c>
      <c r="P15" s="36">
        <f>'Revenue Buildup'!O$15*'BS items '!P16</f>
        <v>3556.1096458000866</v>
      </c>
      <c r="Q15" s="36">
        <f>'Revenue Buildup'!P$15*'BS items '!Q16</f>
        <v>3931.2241761532805</v>
      </c>
      <c r="R15" s="36">
        <f>'Revenue Buildup'!Q$15*'BS items '!R16</f>
        <v>4361.3592369142352</v>
      </c>
    </row>
    <row r="16" spans="2:18" x14ac:dyDescent="0.15">
      <c r="C16" s="38"/>
      <c r="D16" s="18">
        <f>D15/'P&amp;L Input'!C$11</f>
        <v>0</v>
      </c>
      <c r="E16" s="18">
        <f>E15/'P&amp;L Input'!D$11</f>
        <v>2.2758967123719917E-4</v>
      </c>
      <c r="F16" s="18">
        <f>F15/'P&amp;L Input'!E$11</f>
        <v>1.3938826212682769E-2</v>
      </c>
      <c r="G16" s="18">
        <f>G15/'P&amp;L Input'!F$11</f>
        <v>6.3031833204790944E-2</v>
      </c>
      <c r="H16" s="18">
        <f>H15/'P&amp;L Input'!G$11</f>
        <v>0.12680661544213262</v>
      </c>
      <c r="I16" s="62">
        <f>H16</f>
        <v>0.12680661544213262</v>
      </c>
      <c r="J16" s="62">
        <f t="shared" si="0"/>
        <v>0.12680661544213262</v>
      </c>
      <c r="K16" s="62">
        <f t="shared" si="0"/>
        <v>0.12680661544213262</v>
      </c>
      <c r="L16" s="62">
        <f t="shared" si="0"/>
        <v>0.12680661544213262</v>
      </c>
      <c r="M16" s="62">
        <f t="shared" si="0"/>
        <v>0.12680661544213262</v>
      </c>
      <c r="N16" s="62">
        <f t="shared" si="0"/>
        <v>0.12680661544213262</v>
      </c>
      <c r="O16" s="62">
        <f t="shared" si="0"/>
        <v>0.12680661544213262</v>
      </c>
      <c r="P16" s="62">
        <f t="shared" si="0"/>
        <v>0.12680661544213262</v>
      </c>
      <c r="Q16" s="62">
        <f t="shared" si="0"/>
        <v>0.12680661544213262</v>
      </c>
      <c r="R16" s="62">
        <f t="shared" si="0"/>
        <v>0.12680661544213262</v>
      </c>
    </row>
    <row r="17" spans="2:18" x14ac:dyDescent="0.15">
      <c r="C17" s="38" t="s">
        <v>25</v>
      </c>
      <c r="D17" s="6">
        <f>'BS Input'!D22</f>
        <v>36.630000000000003</v>
      </c>
      <c r="E17" s="6">
        <f>'BS Input'!E22</f>
        <v>3.36</v>
      </c>
      <c r="F17" s="6">
        <f>'BS Input'!F22</f>
        <v>25.09</v>
      </c>
      <c r="G17" s="6">
        <f>'BS Input'!G22</f>
        <v>21.61</v>
      </c>
      <c r="H17" s="6">
        <f>'BS Input'!H22</f>
        <v>24.93</v>
      </c>
      <c r="I17" s="36">
        <f>'Revenue Buildup'!H$15*'BS items '!I18</f>
        <v>26.894420912647032</v>
      </c>
      <c r="J17" s="36">
        <f>'Revenue Buildup'!I$15*'BS items '!J18</f>
        <v>29.091883907356017</v>
      </c>
      <c r="K17" s="36">
        <f>'Revenue Buildup'!J$15*'BS items '!K18</f>
        <v>31.556855579172808</v>
      </c>
      <c r="L17" s="36">
        <f>'Revenue Buildup'!K$15*'BS items '!L18</f>
        <v>34.329819722197648</v>
      </c>
      <c r="M17" s="36">
        <f>'Revenue Buildup'!L$15*'BS items '!M18</f>
        <v>37.45847704855619</v>
      </c>
      <c r="N17" s="36">
        <f>'Revenue Buildup'!M$15*'BS items '!N18</f>
        <v>40.999212333631284</v>
      </c>
      <c r="O17" s="36">
        <f>'Revenue Buildup'!N$15*'BS items '!O18</f>
        <v>45.018894651980688</v>
      </c>
      <c r="P17" s="36">
        <f>'Revenue Buildup'!O$15*'BS items '!P18</f>
        <v>49.59709393660134</v>
      </c>
      <c r="Q17" s="36">
        <f>'Revenue Buildup'!P$15*'BS items '!Q18</f>
        <v>54.828819741480345</v>
      </c>
      <c r="R17" s="36">
        <f>'Revenue Buildup'!Q$15*'BS items '!R18</f>
        <v>60.827917389997026</v>
      </c>
    </row>
    <row r="18" spans="2:18" x14ac:dyDescent="0.15">
      <c r="C18" s="38"/>
      <c r="D18" s="18">
        <f>D17/'P&amp;L Input'!C$11</f>
        <v>3.6959680348710505E-3</v>
      </c>
      <c r="E18" s="18">
        <f>E17/'P&amp;L Input'!D$11</f>
        <v>3.046618706601551E-4</v>
      </c>
      <c r="F18" s="18">
        <f>F17/'P&amp;L Input'!E$11</f>
        <v>2.043742108907262E-3</v>
      </c>
      <c r="G18" s="18">
        <f>G17/'P&amp;L Input'!F$11</f>
        <v>1.6228633738285684E-3</v>
      </c>
      <c r="H18" s="18">
        <f>H17/'P&amp;L Input'!G$11</f>
        <v>1.7685730318506311E-3</v>
      </c>
      <c r="I18" s="62">
        <f>H18</f>
        <v>1.7685730318506311E-3</v>
      </c>
      <c r="J18" s="62">
        <f t="shared" si="0"/>
        <v>1.7685730318506311E-3</v>
      </c>
      <c r="K18" s="62">
        <f t="shared" si="0"/>
        <v>1.7685730318506311E-3</v>
      </c>
      <c r="L18" s="62">
        <f t="shared" si="0"/>
        <v>1.7685730318506311E-3</v>
      </c>
      <c r="M18" s="62">
        <f t="shared" si="0"/>
        <v>1.7685730318506311E-3</v>
      </c>
      <c r="N18" s="62">
        <f t="shared" si="0"/>
        <v>1.7685730318506311E-3</v>
      </c>
      <c r="O18" s="62">
        <f t="shared" si="0"/>
        <v>1.7685730318506311E-3</v>
      </c>
      <c r="P18" s="62">
        <f t="shared" si="0"/>
        <v>1.7685730318506311E-3</v>
      </c>
      <c r="Q18" s="62">
        <f t="shared" si="0"/>
        <v>1.7685730318506311E-3</v>
      </c>
      <c r="R18" s="62">
        <f t="shared" si="0"/>
        <v>1.7685730318506311E-3</v>
      </c>
    </row>
    <row r="19" spans="2:18" x14ac:dyDescent="0.15">
      <c r="C19" s="38" t="s">
        <v>371</v>
      </c>
      <c r="D19" s="6">
        <f>'BS Input'!D23</f>
        <v>646.79</v>
      </c>
      <c r="E19" s="6">
        <f>'BS Input'!E23</f>
        <v>676.79</v>
      </c>
      <c r="F19" s="6">
        <f>'BS Input'!F23</f>
        <v>731.51</v>
      </c>
      <c r="G19" s="6">
        <f>'BS Input'!G23</f>
        <v>702.75</v>
      </c>
      <c r="H19" s="6">
        <f>'BS Input'!H23</f>
        <v>384.17</v>
      </c>
      <c r="I19" s="36">
        <f>'Revenue Buildup'!H$15*'BS items '!I20</f>
        <v>414.44162382718054</v>
      </c>
      <c r="J19" s="36">
        <f>'Revenue Buildup'!I$15*'BS items '!J20</f>
        <v>448.30441398672127</v>
      </c>
      <c r="K19" s="36">
        <f>'Revenue Buildup'!J$15*'BS items '!K20</f>
        <v>486.28949891098347</v>
      </c>
      <c r="L19" s="36">
        <f>'Revenue Buildup'!K$15*'BS items '!L20</f>
        <v>529.02073175598366</v>
      </c>
      <c r="M19" s="36">
        <f>'Revenue Buildup'!L$15*'BS items '!M20</f>
        <v>577.2331780081762</v>
      </c>
      <c r="N19" s="36">
        <f>'Revenue Buildup'!M$15*'BS items '!N20</f>
        <v>631.79572411596996</v>
      </c>
      <c r="O19" s="36">
        <f>'Revenue Buildup'!N$15*'BS items '!O20</f>
        <v>693.73881903134463</v>
      </c>
      <c r="P19" s="36">
        <f>'Revenue Buildup'!O$15*'BS items '!P20</f>
        <v>764.28863127252862</v>
      </c>
      <c r="Q19" s="36">
        <f>'Revenue Buildup'!P$15*'BS items '!Q20</f>
        <v>844.90925311209401</v>
      </c>
      <c r="R19" s="36">
        <f>'Revenue Buildup'!Q$15*'BS items '!R20</f>
        <v>937.35503504673727</v>
      </c>
    </row>
    <row r="20" spans="2:18" x14ac:dyDescent="0.15">
      <c r="C20" s="38"/>
      <c r="D20" s="18">
        <f>D19/'P&amp;L Input'!C$11</f>
        <v>6.5261129273116197E-2</v>
      </c>
      <c r="E20" s="18">
        <f>E19/'P&amp;L Input'!D$11</f>
        <v>6.136669864407332E-2</v>
      </c>
      <c r="F20" s="18">
        <f>F19/'P&amp;L Input'!E$11</f>
        <v>5.9586201278866123E-2</v>
      </c>
      <c r="G20" s="18">
        <f>G19/'P&amp;L Input'!F$11</f>
        <v>5.2774976212773085E-2</v>
      </c>
      <c r="H20" s="18">
        <f>H19/'P&amp;L Input'!G$11</f>
        <v>2.7253618196793301E-2</v>
      </c>
      <c r="I20" s="62">
        <f t="shared" ref="I20:R20" si="1">H20</f>
        <v>2.7253618196793301E-2</v>
      </c>
      <c r="J20" s="62">
        <f t="shared" si="1"/>
        <v>2.7253618196793301E-2</v>
      </c>
      <c r="K20" s="62">
        <f t="shared" si="1"/>
        <v>2.7253618196793301E-2</v>
      </c>
      <c r="L20" s="62">
        <f t="shared" si="1"/>
        <v>2.7253618196793301E-2</v>
      </c>
      <c r="M20" s="62">
        <f t="shared" si="1"/>
        <v>2.7253618196793301E-2</v>
      </c>
      <c r="N20" s="62">
        <f t="shared" si="1"/>
        <v>2.7253618196793301E-2</v>
      </c>
      <c r="O20" s="62">
        <f t="shared" si="1"/>
        <v>2.7253618196793301E-2</v>
      </c>
      <c r="P20" s="62">
        <f t="shared" si="1"/>
        <v>2.7253618196793301E-2</v>
      </c>
      <c r="Q20" s="62">
        <f t="shared" si="1"/>
        <v>2.7253618196793301E-2</v>
      </c>
      <c r="R20" s="62">
        <f t="shared" si="1"/>
        <v>2.7253618196793301E-2</v>
      </c>
    </row>
    <row r="21" spans="2:18" x14ac:dyDescent="0.15">
      <c r="C21" s="38" t="s">
        <v>24</v>
      </c>
      <c r="D21" s="6">
        <f>'BS Input'!D24</f>
        <v>45.21</v>
      </c>
      <c r="E21" s="6">
        <f>'BS Input'!E24</f>
        <v>55.03</v>
      </c>
      <c r="F21" s="6">
        <f>'BS Input'!F24</f>
        <v>93.67</v>
      </c>
      <c r="G21" s="6">
        <f>'BS Input'!G24</f>
        <v>48.68</v>
      </c>
      <c r="H21" s="6">
        <f>'BS Input'!H24</f>
        <v>121.59</v>
      </c>
      <c r="I21" s="36">
        <f>'Revenue Buildup'!H$15*'BS items '!I22</f>
        <v>131.17098430680917</v>
      </c>
      <c r="J21" s="36">
        <f>'Revenue Buildup'!I$15*'BS items '!J22</f>
        <v>141.88857458064251</v>
      </c>
      <c r="K21" s="36">
        <f>'Revenue Buildup'!J$15*'BS items '!K22</f>
        <v>153.91087323993668</v>
      </c>
      <c r="L21" s="36">
        <f>'Revenue Buildup'!K$15*'BS items '!L22</f>
        <v>167.43533012523113</v>
      </c>
      <c r="M21" s="36">
        <f>'Revenue Buildup'!L$15*'BS items '!M22</f>
        <v>182.69459383609896</v>
      </c>
      <c r="N21" s="36">
        <f>'Revenue Buildup'!M$15*'BS items '!N22</f>
        <v>199.96366737449767</v>
      </c>
      <c r="O21" s="36">
        <f>'Revenue Buildup'!N$15*'BS items '!O22</f>
        <v>219.56868835677221</v>
      </c>
      <c r="P21" s="36">
        <f>'Revenue Buildup'!O$15*'BS items '!P22</f>
        <v>241.89773974132999</v>
      </c>
      <c r="Q21" s="36">
        <f>'Revenue Buildup'!P$15*'BS items '!Q22</f>
        <v>267.41420747559545</v>
      </c>
      <c r="R21" s="36">
        <f>'Revenue Buildup'!Q$15*'BS items '!R22</f>
        <v>296.67334438225987</v>
      </c>
    </row>
    <row r="22" spans="2:18" x14ac:dyDescent="0.15">
      <c r="C22" s="38"/>
      <c r="D22" s="18">
        <f>D21/'P&amp;L Input'!C$11</f>
        <v>4.5616902772732783E-3</v>
      </c>
      <c r="E22" s="18">
        <f>E21/'P&amp;L Input'!D$11</f>
        <v>4.9897448638179572E-3</v>
      </c>
      <c r="F22" s="18">
        <f>F21/'P&amp;L Input'!E$11</f>
        <v>7.6300248442145568E-3</v>
      </c>
      <c r="G22" s="18">
        <f>G21/'P&amp;L Input'!F$11</f>
        <v>3.6557607143903148E-3</v>
      </c>
      <c r="H22" s="18">
        <f>H21/'P&amp;L Input'!G$11</f>
        <v>8.6257839928888178E-3</v>
      </c>
      <c r="I22" s="62">
        <f>H22</f>
        <v>8.6257839928888178E-3</v>
      </c>
      <c r="J22" s="62">
        <f t="shared" si="0"/>
        <v>8.6257839928888178E-3</v>
      </c>
      <c r="K22" s="62">
        <f t="shared" si="0"/>
        <v>8.6257839928888178E-3</v>
      </c>
      <c r="L22" s="62">
        <f t="shared" si="0"/>
        <v>8.6257839928888178E-3</v>
      </c>
      <c r="M22" s="62">
        <f t="shared" si="0"/>
        <v>8.6257839928888178E-3</v>
      </c>
      <c r="N22" s="62">
        <f t="shared" si="0"/>
        <v>8.6257839928888178E-3</v>
      </c>
      <c r="O22" s="62">
        <f t="shared" si="0"/>
        <v>8.6257839928888178E-3</v>
      </c>
      <c r="P22" s="62">
        <f t="shared" si="0"/>
        <v>8.6257839928888178E-3</v>
      </c>
      <c r="Q22" s="62">
        <f t="shared" si="0"/>
        <v>8.6257839928888178E-3</v>
      </c>
      <c r="R22" s="62">
        <f t="shared" si="0"/>
        <v>8.6257839928888178E-3</v>
      </c>
    </row>
    <row r="23" spans="2:18" x14ac:dyDescent="0.15">
      <c r="C23" s="2" t="s">
        <v>342</v>
      </c>
      <c r="D23" s="304">
        <f>'BS Input'!D25</f>
        <v>74.17</v>
      </c>
      <c r="E23" s="6">
        <f>'BS Input'!E25</f>
        <v>69.319999999999993</v>
      </c>
      <c r="F23" s="6">
        <f>'BS Input'!F25</f>
        <v>89.63</v>
      </c>
      <c r="G23" s="6">
        <f>'BS Input'!G25</f>
        <v>101.32</v>
      </c>
      <c r="H23" s="6">
        <f>'BS Input'!H25</f>
        <v>92.88</v>
      </c>
      <c r="I23" s="36">
        <f>'Revenue Buildup'!H$15*'BS items '!I24</f>
        <v>100.19870895975356</v>
      </c>
      <c r="J23" s="36">
        <f>'Revenue Buildup'!I$15*'BS items '!J24</f>
        <v>108.3856469039401</v>
      </c>
      <c r="K23" s="36">
        <f>'Revenue Buildup'!J$15*'BS items '!K24</f>
        <v>117.56922367403008</v>
      </c>
      <c r="L23" s="36">
        <f>'Revenue Buildup'!K$15*'BS items '!L24</f>
        <v>127.90026697945116</v>
      </c>
      <c r="M23" s="36">
        <f>'Revenue Buildup'!L$15*'BS items '!M24</f>
        <v>139.5564921087003</v>
      </c>
      <c r="N23" s="36">
        <f>'Revenue Buildup'!M$15*'BS items '!N24</f>
        <v>152.74796797222916</v>
      </c>
      <c r="O23" s="36">
        <f>'Revenue Buildup'!N$15*'BS items '!O24</f>
        <v>167.72382411857063</v>
      </c>
      <c r="P23" s="36">
        <f>'Revenue Buildup'!O$15*'BS items '!P24</f>
        <v>184.78050881795153</v>
      </c>
      <c r="Q23" s="36">
        <f>'Revenue Buildup'!P$15*'BS items '!Q24</f>
        <v>204.27199268306032</v>
      </c>
      <c r="R23" s="36">
        <f>'Revenue Buildup'!Q$15*'BS items '!R24</f>
        <v>226.62242146742574</v>
      </c>
    </row>
    <row r="24" spans="2:18" x14ac:dyDescent="0.15">
      <c r="C24" s="38"/>
      <c r="D24" s="18">
        <f>'BS Input'!D$25/'P&amp;L Input'!C$11</f>
        <v>7.4837550954514271E-3</v>
      </c>
      <c r="E24" s="18">
        <f>'BS Input'!E$25/'P&amp;L Input'!D$11</f>
        <v>6.2854645458815328E-3</v>
      </c>
      <c r="F24" s="18">
        <f>'BS Input'!F$25/'P&amp;L Input'!E$11</f>
        <v>7.3009408218954906E-3</v>
      </c>
      <c r="G24" s="18">
        <f>'BS Input'!G$25/'P&amp;L Input'!F$11</f>
        <v>7.6089087013563412E-3</v>
      </c>
      <c r="H24" s="18">
        <f>'BS Input'!H$25/'P&amp;L Input'!G$11</f>
        <v>6.5890518731763579E-3</v>
      </c>
      <c r="I24" s="62">
        <f t="shared" ref="I24:R24" si="2">H24</f>
        <v>6.5890518731763579E-3</v>
      </c>
      <c r="J24" s="62">
        <f t="shared" si="2"/>
        <v>6.5890518731763579E-3</v>
      </c>
      <c r="K24" s="62">
        <f t="shared" si="2"/>
        <v>6.5890518731763579E-3</v>
      </c>
      <c r="L24" s="62">
        <f t="shared" si="2"/>
        <v>6.5890518731763579E-3</v>
      </c>
      <c r="M24" s="62">
        <f t="shared" si="2"/>
        <v>6.5890518731763579E-3</v>
      </c>
      <c r="N24" s="62">
        <f t="shared" si="2"/>
        <v>6.5890518731763579E-3</v>
      </c>
      <c r="O24" s="62">
        <f t="shared" si="2"/>
        <v>6.5890518731763579E-3</v>
      </c>
      <c r="P24" s="62">
        <f t="shared" si="2"/>
        <v>6.5890518731763579E-3</v>
      </c>
      <c r="Q24" s="62">
        <f t="shared" si="2"/>
        <v>6.5890518731763579E-3</v>
      </c>
      <c r="R24" s="62">
        <f t="shared" si="2"/>
        <v>6.5890518731763579E-3</v>
      </c>
    </row>
    <row r="25" spans="2:18" s="4" customFormat="1" x14ac:dyDescent="0.15">
      <c r="B25" s="4" t="str">
        <f>'Balance Sheet'!B29:C29</f>
        <v>Current Assets</v>
      </c>
      <c r="C25" s="48"/>
      <c r="I25" s="43"/>
      <c r="J25" s="43"/>
      <c r="K25" s="43"/>
      <c r="L25" s="43"/>
      <c r="M25" s="43"/>
      <c r="N25" s="43"/>
      <c r="O25" s="43"/>
      <c r="P25" s="43"/>
      <c r="Q25" s="43"/>
      <c r="R25" s="43"/>
    </row>
    <row r="26" spans="2:18" x14ac:dyDescent="0.15">
      <c r="C26" s="38" t="s">
        <v>370</v>
      </c>
      <c r="D26" s="6">
        <f>'BS Input'!D32</f>
        <v>637.17999999999995</v>
      </c>
      <c r="E26" s="6">
        <f>'BS Input'!E32</f>
        <v>657.17</v>
      </c>
      <c r="F26" s="6">
        <f>'BS Input'!F32</f>
        <v>844.31</v>
      </c>
      <c r="G26" s="6">
        <f>'BS Input'!G32</f>
        <v>2189.65</v>
      </c>
      <c r="H26" s="6">
        <f>'BS Input'!H32</f>
        <v>1716.19</v>
      </c>
      <c r="I26" s="36">
        <f>'Revenue Buildup'!H$15*'BS items '!I27</f>
        <v>1851.4214290443526</v>
      </c>
      <c r="J26" s="36">
        <f>'Revenue Buildup'!I$15*'BS items '!J27</f>
        <v>2002.6955572789941</v>
      </c>
      <c r="K26" s="36">
        <f>'Revenue Buildup'!J$15*'BS items '!K27</f>
        <v>2172.385077273188</v>
      </c>
      <c r="L26" s="36">
        <f>'Revenue Buildup'!K$15*'BS items '!L27</f>
        <v>2363.2769077031039</v>
      </c>
      <c r="M26" s="36">
        <f>'Revenue Buildup'!L$15*'BS items '!M27</f>
        <v>2578.6547824292679</v>
      </c>
      <c r="N26" s="36">
        <f>'Revenue Buildup'!M$15*'BS items '!N27</f>
        <v>2822.400249292205</v>
      </c>
      <c r="O26" s="36">
        <f>'Revenue Buildup'!N$15*'BS items '!O27</f>
        <v>3099.1165989884771</v>
      </c>
      <c r="P26" s="36">
        <f>'Revenue Buildup'!O$15*'BS items '!P27</f>
        <v>3414.2814537928539</v>
      </c>
      <c r="Q26" s="36">
        <f>'Revenue Buildup'!P$15*'BS items '!Q27</f>
        <v>3774.4353049390752</v>
      </c>
      <c r="R26" s="36">
        <f>'Revenue Buildup'!Q$15*'BS items '!R27</f>
        <v>4187.4153046746487</v>
      </c>
    </row>
    <row r="27" spans="2:18" x14ac:dyDescent="0.15">
      <c r="C27" s="38"/>
      <c r="D27" s="18">
        <f>D26/'P&amp;L Input'!C$11</f>
        <v>6.4291480001614401E-2</v>
      </c>
      <c r="E27" s="18">
        <f>E26/'P&amp;L Input'!D$11</f>
        <v>5.9587690935039912E-2</v>
      </c>
      <c r="F27" s="18">
        <f>F26/'P&amp;L Input'!E$11</f>
        <v>6.8774487842626145E-2</v>
      </c>
      <c r="G27" s="18">
        <f>G26/'P&amp;L Input'!F$11</f>
        <v>0.16443788924126446</v>
      </c>
      <c r="H27" s="18">
        <f>H26/'P&amp;L Input'!G$11</f>
        <v>0.12174919179830464</v>
      </c>
      <c r="I27" s="62">
        <f>H27</f>
        <v>0.12174919179830464</v>
      </c>
      <c r="J27" s="62">
        <f t="shared" ref="J27:R27" si="3">I27</f>
        <v>0.12174919179830464</v>
      </c>
      <c r="K27" s="62">
        <f t="shared" si="3"/>
        <v>0.12174919179830464</v>
      </c>
      <c r="L27" s="62">
        <f t="shared" si="3"/>
        <v>0.12174919179830464</v>
      </c>
      <c r="M27" s="62">
        <f t="shared" si="3"/>
        <v>0.12174919179830464</v>
      </c>
      <c r="N27" s="62">
        <f t="shared" si="3"/>
        <v>0.12174919179830464</v>
      </c>
      <c r="O27" s="62">
        <f t="shared" si="3"/>
        <v>0.12174919179830464</v>
      </c>
      <c r="P27" s="62">
        <f t="shared" si="3"/>
        <v>0.12174919179830464</v>
      </c>
      <c r="Q27" s="62">
        <f t="shared" si="3"/>
        <v>0.12174919179830464</v>
      </c>
      <c r="R27" s="62">
        <f t="shared" si="3"/>
        <v>0.12174919179830464</v>
      </c>
    </row>
    <row r="28" spans="2:18" x14ac:dyDescent="0.15">
      <c r="C28" s="38" t="s">
        <v>25</v>
      </c>
      <c r="D28" s="6">
        <f>'BS Input'!D37</f>
        <v>164.51</v>
      </c>
      <c r="E28" s="6">
        <f>'BS Input'!E37</f>
        <v>70.64</v>
      </c>
      <c r="F28" s="6">
        <f>'BS Input'!F37</f>
        <v>41.83</v>
      </c>
      <c r="G28" s="6">
        <f>'BS Input'!G37</f>
        <v>42.31</v>
      </c>
      <c r="H28" s="6">
        <f>'BS Input'!H37</f>
        <v>83.49</v>
      </c>
      <c r="I28" s="36">
        <f>'Revenue Buildup'!H$15*'BS items '!I29</f>
        <v>90.068800721897333</v>
      </c>
      <c r="J28" s="36">
        <f>'Revenue Buildup'!I$15*'BS items '!J29</f>
        <v>97.428054048341494</v>
      </c>
      <c r="K28" s="36">
        <f>'Revenue Buildup'!J$15*'BS items '!K29</f>
        <v>105.68318781809616</v>
      </c>
      <c r="L28" s="36">
        <f>'Revenue Buildup'!K$15*'BS items '!L29</f>
        <v>114.9697813319808</v>
      </c>
      <c r="M28" s="36">
        <f>'Revenue Buildup'!L$15*'BS items '!M29</f>
        <v>125.44758318427421</v>
      </c>
      <c r="N28" s="36">
        <f>'Revenue Buildup'!M$15*'BS items '!N29</f>
        <v>137.30542469855095</v>
      </c>
      <c r="O28" s="36">
        <f>'Revenue Buildup'!N$15*'BS items '!O29</f>
        <v>150.76724887660919</v>
      </c>
      <c r="P28" s="36">
        <f>'Revenue Buildup'!O$15*'BS items '!P29</f>
        <v>166.09953360476715</v>
      </c>
      <c r="Q28" s="36">
        <f>'Revenue Buildup'!P$15*'BS items '!Q29</f>
        <v>183.6204637070274</v>
      </c>
      <c r="R28" s="36">
        <f>'Revenue Buildup'!Q$15*'BS items '!R29</f>
        <v>203.71130456842565</v>
      </c>
    </row>
    <row r="29" spans="2:18" x14ac:dyDescent="0.15">
      <c r="C29" s="38"/>
      <c r="D29" s="18">
        <f>D28/'P&amp;L Input'!C$11</f>
        <v>1.6599063647737822E-2</v>
      </c>
      <c r="E29" s="18">
        <f>E28/'P&amp;L Input'!D$11</f>
        <v>6.405153137926594E-3</v>
      </c>
      <c r="F29" s="18">
        <f>F28/'P&amp;L Input'!E$11</f>
        <v>3.4073229340610108E-3</v>
      </c>
      <c r="G29" s="18">
        <f>G28/'P&amp;L Input'!F$11</f>
        <v>3.1773877532016073E-3</v>
      </c>
      <c r="H29" s="18">
        <f>H28/'P&amp;L Input'!G$11</f>
        <v>5.9229106469799106E-3</v>
      </c>
      <c r="I29" s="62">
        <f>H29</f>
        <v>5.9229106469799106E-3</v>
      </c>
      <c r="J29" s="62">
        <f t="shared" ref="J29:R29" si="4">I29</f>
        <v>5.9229106469799106E-3</v>
      </c>
      <c r="K29" s="62">
        <f t="shared" si="4"/>
        <v>5.9229106469799106E-3</v>
      </c>
      <c r="L29" s="62">
        <f t="shared" si="4"/>
        <v>5.9229106469799106E-3</v>
      </c>
      <c r="M29" s="62">
        <f t="shared" si="4"/>
        <v>5.9229106469799106E-3</v>
      </c>
      <c r="N29" s="62">
        <f t="shared" si="4"/>
        <v>5.9229106469799106E-3</v>
      </c>
      <c r="O29" s="62">
        <f t="shared" si="4"/>
        <v>5.9229106469799106E-3</v>
      </c>
      <c r="P29" s="62">
        <f t="shared" si="4"/>
        <v>5.9229106469799106E-3</v>
      </c>
      <c r="Q29" s="62">
        <f t="shared" si="4"/>
        <v>5.9229106469799106E-3</v>
      </c>
      <c r="R29" s="62">
        <f t="shared" si="4"/>
        <v>5.9229106469799106E-3</v>
      </c>
    </row>
    <row r="30" spans="2:18" x14ac:dyDescent="0.15">
      <c r="C30" s="38" t="s">
        <v>315</v>
      </c>
      <c r="D30" s="6">
        <f>'BS Input'!D38</f>
        <v>372.85</v>
      </c>
      <c r="E30" s="6">
        <f>'BS Input'!E38</f>
        <v>347</v>
      </c>
      <c r="F30" s="6">
        <f>'BS Input'!F38</f>
        <v>447.14</v>
      </c>
      <c r="G30" s="6">
        <f>'BS Input'!G38</f>
        <v>400.81</v>
      </c>
      <c r="H30" s="6">
        <f>'BS Input'!H38</f>
        <v>400.57</v>
      </c>
      <c r="I30" s="36">
        <f>'Revenue Buildup'!H$15*'BS items '!I31</f>
        <v>432.13390232567275</v>
      </c>
      <c r="J30" s="36">
        <f>'Revenue Buildup'!I$15*'BS items '!J31</f>
        <v>467.44227584314478</v>
      </c>
      <c r="K30" s="36">
        <f>'Revenue Buildup'!J$15*'BS items '!K31</f>
        <v>507.04892255713003</v>
      </c>
      <c r="L30" s="36">
        <f>'Revenue Buildup'!K$15*'BS items '!L31</f>
        <v>551.60432756200214</v>
      </c>
      <c r="M30" s="36">
        <f>'Revenue Buildup'!L$15*'BS items '!M31</f>
        <v>601.87493587405345</v>
      </c>
      <c r="N30" s="36">
        <f>'Revenue Buildup'!M$15*'BS items '!N31</f>
        <v>658.76672621270291</v>
      </c>
      <c r="O30" s="36">
        <f>'Revenue Buildup'!N$15*'BS items '!O31</f>
        <v>723.35413681283205</v>
      </c>
      <c r="P30" s="36">
        <f>'Revenue Buildup'!O$15*'BS items '!P31</f>
        <v>796.91568063314878</v>
      </c>
      <c r="Q30" s="36">
        <f>'Revenue Buildup'!P$15*'BS items '!Q31</f>
        <v>880.97795121719935</v>
      </c>
      <c r="R30" s="36">
        <f>'Revenue Buildup'!Q$15*'BS items '!R31</f>
        <v>977.37019129206215</v>
      </c>
    </row>
    <row r="31" spans="2:18" x14ac:dyDescent="0.15">
      <c r="C31" s="38"/>
      <c r="D31" s="18">
        <f>D30/'P&amp;L Input'!C$11</f>
        <v>3.7620575533761157E-2</v>
      </c>
      <c r="E31" s="18">
        <f>E30/'P&amp;L Input'!D$11</f>
        <v>3.1463591999724351E-2</v>
      </c>
      <c r="F31" s="18">
        <f>F30/'P&amp;L Input'!E$11</f>
        <v>3.6422433103897686E-2</v>
      </c>
      <c r="G31" s="18">
        <f>G30/'P&amp;L Input'!F$11</f>
        <v>3.0099947656836115E-2</v>
      </c>
      <c r="H31" s="18">
        <f>H30/'P&amp;L Input'!G$11</f>
        <v>2.8417059742013931E-2</v>
      </c>
      <c r="I31" s="62">
        <f>H31</f>
        <v>2.8417059742013931E-2</v>
      </c>
      <c r="J31" s="62">
        <f t="shared" ref="J31:R31" si="5">I31</f>
        <v>2.8417059742013931E-2</v>
      </c>
      <c r="K31" s="62">
        <f t="shared" si="5"/>
        <v>2.8417059742013931E-2</v>
      </c>
      <c r="L31" s="62">
        <f t="shared" si="5"/>
        <v>2.8417059742013931E-2</v>
      </c>
      <c r="M31" s="62">
        <f t="shared" si="5"/>
        <v>2.8417059742013931E-2</v>
      </c>
      <c r="N31" s="62">
        <f t="shared" si="5"/>
        <v>2.8417059742013931E-2</v>
      </c>
      <c r="O31" s="62">
        <f t="shared" si="5"/>
        <v>2.8417059742013931E-2</v>
      </c>
      <c r="P31" s="62">
        <f t="shared" si="5"/>
        <v>2.8417059742013931E-2</v>
      </c>
      <c r="Q31" s="62">
        <f t="shared" si="5"/>
        <v>2.8417059742013931E-2</v>
      </c>
      <c r="R31" s="62">
        <f t="shared" si="5"/>
        <v>2.8417059742013931E-2</v>
      </c>
    </row>
    <row r="32" spans="2:18" x14ac:dyDescent="0.15">
      <c r="C32" s="38" t="s">
        <v>372</v>
      </c>
      <c r="D32" s="6">
        <f>'BS Input'!D39</f>
        <v>0</v>
      </c>
      <c r="E32" s="6">
        <f>'BS Input'!E39</f>
        <v>0</v>
      </c>
      <c r="F32" s="6">
        <f>'BS Input'!F39</f>
        <v>0</v>
      </c>
      <c r="G32" s="6">
        <f>'BS Input'!G39</f>
        <v>0</v>
      </c>
      <c r="H32" s="6">
        <f>'BS Input'!H39</f>
        <v>7.74</v>
      </c>
      <c r="I32" s="36">
        <f>'Revenue Buildup'!H$15*'BS items '!I33</f>
        <v>8.3498924133127961</v>
      </c>
      <c r="J32" s="36">
        <f>'Revenue Buildup'!I$15*'BS items '!J33</f>
        <v>9.0321372419950077</v>
      </c>
      <c r="K32" s="36">
        <f>'Revenue Buildup'!J$15*'BS items '!K33</f>
        <v>9.7974353061691737</v>
      </c>
      <c r="L32" s="36">
        <f>'Revenue Buildup'!K$15*'BS items '!L33</f>
        <v>10.658355581620929</v>
      </c>
      <c r="M32" s="36">
        <f>'Revenue Buildup'!L$15*'BS items '!M33</f>
        <v>11.629707675725026</v>
      </c>
      <c r="N32" s="36">
        <f>'Revenue Buildup'!M$15*'BS items '!N33</f>
        <v>12.728997331019096</v>
      </c>
      <c r="O32" s="36">
        <f>'Revenue Buildup'!N$15*'BS items '!O33</f>
        <v>13.976985343214219</v>
      </c>
      <c r="P32" s="36">
        <f>'Revenue Buildup'!O$15*'BS items '!P33</f>
        <v>15.398375734829296</v>
      </c>
      <c r="Q32" s="36">
        <f>'Revenue Buildup'!P$15*'BS items '!Q33</f>
        <v>17.022666056921693</v>
      </c>
      <c r="R32" s="36">
        <f>'Revenue Buildup'!Q$15*'BS items '!R33</f>
        <v>18.885201788952145</v>
      </c>
    </row>
    <row r="33" spans="2:18" x14ac:dyDescent="0.15">
      <c r="C33" s="38"/>
      <c r="D33" s="18">
        <f>D32/'P&amp;L Input'!C$11</f>
        <v>0</v>
      </c>
      <c r="E33" s="18">
        <f>E32/'P&amp;L Input'!D$11</f>
        <v>0</v>
      </c>
      <c r="F33" s="18">
        <f>F32/'P&amp;L Input'!E$11</f>
        <v>0</v>
      </c>
      <c r="G33" s="18">
        <f>G32/'P&amp;L Input'!F$11</f>
        <v>0</v>
      </c>
      <c r="H33" s="18">
        <f>H32/'P&amp;L Input'!G$11</f>
        <v>5.4908765609802982E-4</v>
      </c>
      <c r="I33" s="62">
        <f>H33</f>
        <v>5.4908765609802982E-4</v>
      </c>
      <c r="J33" s="62">
        <f t="shared" ref="J33" si="6">I33</f>
        <v>5.4908765609802982E-4</v>
      </c>
      <c r="K33" s="62">
        <f t="shared" ref="K33" si="7">J33</f>
        <v>5.4908765609802982E-4</v>
      </c>
      <c r="L33" s="62">
        <f t="shared" ref="L33" si="8">K33</f>
        <v>5.4908765609802982E-4</v>
      </c>
      <c r="M33" s="62">
        <f t="shared" ref="M33" si="9">L33</f>
        <v>5.4908765609802982E-4</v>
      </c>
      <c r="N33" s="62">
        <f t="shared" ref="N33" si="10">M33</f>
        <v>5.4908765609802982E-4</v>
      </c>
      <c r="O33" s="62">
        <f t="shared" ref="O33" si="11">N33</f>
        <v>5.4908765609802982E-4</v>
      </c>
      <c r="P33" s="62">
        <f t="shared" ref="P33" si="12">O33</f>
        <v>5.4908765609802982E-4</v>
      </c>
      <c r="Q33" s="62">
        <f t="shared" ref="Q33" si="13">P33</f>
        <v>5.4908765609802982E-4</v>
      </c>
      <c r="R33" s="62">
        <f t="shared" ref="R33" si="14">Q33</f>
        <v>5.4908765609802982E-4</v>
      </c>
    </row>
    <row r="34" spans="2:18" x14ac:dyDescent="0.15">
      <c r="C34" s="38"/>
      <c r="I34" s="34"/>
      <c r="J34" s="34"/>
      <c r="K34" s="34"/>
      <c r="L34" s="34"/>
      <c r="M34" s="34"/>
      <c r="N34" s="34"/>
      <c r="O34" s="34"/>
      <c r="P34" s="34"/>
      <c r="Q34" s="34"/>
      <c r="R34" s="34"/>
    </row>
    <row r="35" spans="2:18" x14ac:dyDescent="0.15">
      <c r="B35" s="367" t="s">
        <v>96</v>
      </c>
      <c r="C35" s="388"/>
      <c r="I35" s="34"/>
      <c r="J35" s="34"/>
      <c r="K35" s="34"/>
      <c r="L35" s="34"/>
      <c r="M35" s="34"/>
      <c r="N35" s="34"/>
      <c r="O35" s="34"/>
      <c r="P35" s="34"/>
      <c r="Q35" s="34"/>
      <c r="R35" s="34"/>
    </row>
    <row r="36" spans="2:18" x14ac:dyDescent="0.15">
      <c r="C36" s="38"/>
      <c r="I36" s="34"/>
      <c r="J36" s="34"/>
      <c r="K36" s="34"/>
      <c r="L36" s="34"/>
      <c r="M36" s="34"/>
      <c r="N36" s="34"/>
      <c r="O36" s="34"/>
      <c r="P36" s="34"/>
      <c r="Q36" s="34"/>
      <c r="R36" s="34"/>
    </row>
    <row r="37" spans="2:18" x14ac:dyDescent="0.15">
      <c r="B37" s="383" t="s">
        <v>34</v>
      </c>
      <c r="C37" s="384"/>
      <c r="D37" s="8"/>
      <c r="E37" s="8"/>
      <c r="F37" s="8"/>
      <c r="G37" s="8"/>
      <c r="H37" s="8"/>
      <c r="I37" s="34"/>
      <c r="J37" s="34"/>
      <c r="K37" s="34"/>
      <c r="L37" s="34"/>
      <c r="M37" s="34"/>
      <c r="N37" s="34"/>
      <c r="O37" s="34"/>
      <c r="P37" s="34"/>
      <c r="Q37" s="34"/>
      <c r="R37" s="34"/>
    </row>
    <row r="38" spans="2:18" x14ac:dyDescent="0.15">
      <c r="C38" s="38" t="s">
        <v>35</v>
      </c>
      <c r="D38" s="6">
        <f>'BS Input'!D55</f>
        <v>2145.04</v>
      </c>
      <c r="E38" s="6">
        <f>'BS Input'!E55</f>
        <v>480.11</v>
      </c>
      <c r="F38" s="6">
        <f>'BS Input'!F55</f>
        <v>380.85</v>
      </c>
      <c r="G38" s="6">
        <f>'BS Input'!G55</f>
        <v>189.12</v>
      </c>
      <c r="H38" s="6">
        <f>'BS Input'!H55</f>
        <v>0</v>
      </c>
      <c r="I38" s="36">
        <f>'Revenue Buildup'!H$15*'BS items '!I39</f>
        <v>662.0012019327022</v>
      </c>
      <c r="J38" s="36">
        <f>'Revenue Buildup'!I$15*'BS items '!J39</f>
        <v>787.7004823148983</v>
      </c>
      <c r="K38" s="36">
        <f>'Revenue Buildup'!J$15*'BS items '!K39</f>
        <v>854.44278683412165</v>
      </c>
      <c r="L38" s="36">
        <f>'Revenue Buildup'!K$15*'BS items '!L39</f>
        <v>976.00060625248989</v>
      </c>
      <c r="M38" s="36">
        <f>'Revenue Buildup'!L$15*'BS items '!M39</f>
        <v>958.45381490721365</v>
      </c>
      <c r="N38" s="36">
        <f>'Revenue Buildup'!M$15*'BS items '!N39</f>
        <v>944.14586787870962</v>
      </c>
      <c r="O38" s="36">
        <f>'Revenue Buildup'!N$15*'BS items '!O39</f>
        <v>933.0414134454403</v>
      </c>
      <c r="P38" s="36">
        <f>'Revenue Buildup'!O$15*'BS items '!P39</f>
        <v>873.73805019118277</v>
      </c>
      <c r="Q38" s="36">
        <f>'Revenue Buildup'!P$15*'BS items '!Q39</f>
        <v>724.42791884805604</v>
      </c>
      <c r="R38" s="36">
        <f>'Revenue Buildup'!Q$15*'BS items '!R39</f>
        <v>642.95298436795838</v>
      </c>
    </row>
    <row r="39" spans="2:18" x14ac:dyDescent="0.15">
      <c r="C39" s="121"/>
      <c r="D39" s="18">
        <f>D38/'P&amp;L Input'!C$11</f>
        <v>0.21643459660168707</v>
      </c>
      <c r="E39" s="18">
        <f>E38/'P&amp;L Input'!D$11</f>
        <v>4.3533098429359249E-2</v>
      </c>
      <c r="F39" s="18">
        <f>F38/'P&amp;L Input'!E$11</f>
        <v>3.1022685618865314E-2</v>
      </c>
      <c r="G39" s="18">
        <f>G38/'P&amp;L Input'!F$11</f>
        <v>1.4202495199373385E-2</v>
      </c>
      <c r="H39" s="18">
        <f>H38/'P&amp;L Input'!G$11</f>
        <v>0</v>
      </c>
      <c r="I39" s="62">
        <f>_xlfn.IFS(Assumptions!$D$18=3,'BS items '!E39*0.9,Assumptions!$D$18=2,'BS items '!E39*1,Assumptions!$D$18=1,'BS items '!E39*1)</f>
        <v>4.3533098429359249E-2</v>
      </c>
      <c r="J39" s="62">
        <f>_xlfn.IFS(Assumptions!$D$18=3,'BS items '!I39*1.1,Assumptions!$D$18=2,'BS items '!I39*1.1,Assumptions!$D$18=1,'BS items '!I39*0.96)</f>
        <v>4.7886408272295178E-2</v>
      </c>
      <c r="K39" s="62">
        <f>_xlfn.IFS(Assumptions!$D$18=3,'BS items '!J39*1,Assumptions!$D$18=2,'BS items '!J39,Assumptions!$D$18=1,'BS items '!J39*1)</f>
        <v>4.7886408272295178E-2</v>
      </c>
      <c r="L39" s="62">
        <f>_xlfn.IFS(Assumptions!$D$18=3,'BS items '!K39*1,Assumptions!$D$18=2,'BS items '!K39*1.05,Assumptions!$D$18=1,'BS items '!K39)</f>
        <v>5.0280728685909937E-2</v>
      </c>
      <c r="M39" s="62">
        <f>_xlfn.IFS(Assumptions!$D$18=3,'BS items '!L39*1.05,Assumptions!$D$18=2,'BS items '!L39*0.9,Assumptions!$D$18=1,'BS items '!L39*0.95)</f>
        <v>4.5252655817318944E-2</v>
      </c>
      <c r="N39" s="62">
        <f>_xlfn.IFS(Assumptions!$D$18=3,'BS items '!M39*1,Assumptions!$D$18=2,'BS items '!M39*0.9,Assumptions!$D$18=1,'BS items '!M39*0.8)</f>
        <v>4.0727390235587052E-2</v>
      </c>
      <c r="O39" s="62">
        <f>_xlfn.IFS(Assumptions!$D$18=3,'BS items '!N39*1,Assumptions!$D$18=2,'BS items '!N39*0.9,Assumptions!$D$18=1,'BS items '!N39*0.8)</f>
        <v>3.665465121202835E-2</v>
      </c>
      <c r="P39" s="62">
        <f>_xlfn.IFS(Assumptions!$D$18=3,'BS items '!O39*0.9,Assumptions!$D$18=2,'BS items '!O39*0.85,Assumptions!$D$18=1,'BS items '!O39*0.8)</f>
        <v>3.1156453530224098E-2</v>
      </c>
      <c r="Q39" s="62">
        <f>_xlfn.IFS(Assumptions!$D$18=3,'BS items '!P39*0.9,Assumptions!$D$18=2,'BS items '!P39*0.75,Assumptions!$D$18=1,'BS items '!P39*0.8)</f>
        <v>2.3367340147668073E-2</v>
      </c>
      <c r="R39" s="62">
        <f>_xlfn.IFS(Assumptions!$D$18=3,'BS items '!Q39*0.85,Assumptions!$D$18=2,'BS items '!Q39*0.8,Assumptions!$D$18=1,'BS items '!Q39*0.8)</f>
        <v>1.8693872118134457E-2</v>
      </c>
    </row>
    <row r="40" spans="2:18" x14ac:dyDescent="0.15">
      <c r="C40" s="194" t="s">
        <v>263</v>
      </c>
      <c r="D40" s="192">
        <f>'BS Input'!D56</f>
        <v>34.19</v>
      </c>
      <c r="E40" s="192">
        <f>'BS Input'!E56</f>
        <v>67.489999999999995</v>
      </c>
      <c r="F40" s="192">
        <f>'BS Input'!F56</f>
        <v>64.44</v>
      </c>
      <c r="G40" s="192">
        <f>'BS Input'!G56</f>
        <v>57.61</v>
      </c>
      <c r="H40" s="192">
        <f>'BS Input'!H56</f>
        <v>35.83</v>
      </c>
      <c r="I40" s="36">
        <f>'Revenue Buildup'!H$15*'BS items '!I41</f>
        <v>38.653313329327844</v>
      </c>
      <c r="J40" s="36">
        <f>'Revenue Buildup'!I$15*'BS items '!J41</f>
        <v>41.811560385100918</v>
      </c>
      <c r="K40" s="36">
        <f>'Revenue Buildup'!J$15*'BS items '!K41</f>
        <v>45.354277392770221</v>
      </c>
      <c r="L40" s="36">
        <f>'Revenue Buildup'!K$15*'BS items '!L41</f>
        <v>49.339648642051408</v>
      </c>
      <c r="M40" s="36">
        <f>'Revenue Buildup'!L$15*'BS items '!M41</f>
        <v>53.836230752096597</v>
      </c>
      <c r="N40" s="36">
        <f>'Revenue Buildup'!M$15*'BS items '!N41</f>
        <v>58.925061288167214</v>
      </c>
      <c r="O40" s="36">
        <f>'Revenue Buildup'!N$15*'BS items '!O41</f>
        <v>64.702246104310788</v>
      </c>
      <c r="P40" s="36">
        <f>'Revenue Buildup'!O$15*'BS items '!P41</f>
        <v>71.282145036037932</v>
      </c>
      <c r="Q40" s="36">
        <f>'Revenue Buildup'!P$15*'BS items '!Q41</f>
        <v>78.801308116215026</v>
      </c>
      <c r="R40" s="36">
        <f>'Revenue Buildup'!Q$15*'BS items '!R41</f>
        <v>87.423356601828857</v>
      </c>
    </row>
    <row r="41" spans="2:18" x14ac:dyDescent="0.15">
      <c r="C41" s="121"/>
      <c r="D41" s="18">
        <f>D40/'P&amp;L Input'!C$11</f>
        <v>3.4497719659361504E-3</v>
      </c>
      <c r="E41" s="18">
        <f>E40/'P&amp;L Input'!D$11</f>
        <v>6.1195326341826981E-3</v>
      </c>
      <c r="F41" s="18">
        <f>F40/'P&amp;L Input'!E$11</f>
        <v>5.2490530688714208E-3</v>
      </c>
      <c r="G41" s="18">
        <f>G40/'P&amp;L Input'!F$11</f>
        <v>4.3263840336077658E-3</v>
      </c>
      <c r="H41" s="18">
        <f>H40/'P&amp;L Input'!G$11</f>
        <v>2.5418360100765386E-3</v>
      </c>
      <c r="I41" s="62">
        <f>H41</f>
        <v>2.5418360100765386E-3</v>
      </c>
      <c r="J41" s="62">
        <f t="shared" ref="J41:R41" si="15">I41</f>
        <v>2.5418360100765386E-3</v>
      </c>
      <c r="K41" s="62">
        <f t="shared" si="15"/>
        <v>2.5418360100765386E-3</v>
      </c>
      <c r="L41" s="62">
        <f t="shared" si="15"/>
        <v>2.5418360100765386E-3</v>
      </c>
      <c r="M41" s="62">
        <f t="shared" si="15"/>
        <v>2.5418360100765386E-3</v>
      </c>
      <c r="N41" s="62">
        <f t="shared" si="15"/>
        <v>2.5418360100765386E-3</v>
      </c>
      <c r="O41" s="62">
        <f t="shared" si="15"/>
        <v>2.5418360100765386E-3</v>
      </c>
      <c r="P41" s="62">
        <f t="shared" si="15"/>
        <v>2.5418360100765386E-3</v>
      </c>
      <c r="Q41" s="62">
        <f t="shared" si="15"/>
        <v>2.5418360100765386E-3</v>
      </c>
      <c r="R41" s="62">
        <f t="shared" si="15"/>
        <v>2.5418360100765386E-3</v>
      </c>
    </row>
    <row r="42" spans="2:18" x14ac:dyDescent="0.15">
      <c r="C42" s="38" t="s">
        <v>36</v>
      </c>
      <c r="D42" s="6">
        <f>'BS Input'!D58</f>
        <v>116.98</v>
      </c>
      <c r="E42" s="6">
        <f>'BS Input'!E58</f>
        <v>114.72</v>
      </c>
      <c r="F42" s="6">
        <f>'BS Input'!F58</f>
        <v>107</v>
      </c>
      <c r="G42" s="6">
        <f>'BS Input'!G58</f>
        <v>103.42</v>
      </c>
      <c r="H42" s="6">
        <f>'BS Input'!H58</f>
        <v>166.63</v>
      </c>
      <c r="I42" s="36">
        <f>'Revenue Buildup'!H$15*'BS items '!I43</f>
        <v>179.76002232949759</v>
      </c>
      <c r="J42" s="36">
        <f>'Revenue Buildup'!I$15*'BS items '!J43</f>
        <v>194.44767811803982</v>
      </c>
      <c r="K42" s="36">
        <f>'Revenue Buildup'!J$15*'BS items '!K43</f>
        <v>210.9233391559392</v>
      </c>
      <c r="L42" s="36">
        <f>'Revenue Buildup'!K$15*'BS items '!L43</f>
        <v>229.45759568029661</v>
      </c>
      <c r="M42" s="36">
        <f>'Revenue Buildup'!L$15*'BS items '!M43</f>
        <v>250.36927519458155</v>
      </c>
      <c r="N42" s="36">
        <f>'Revenue Buildup'!M$15*'BS items '!N43</f>
        <v>274.03524874259847</v>
      </c>
      <c r="O42" s="36">
        <f>'Revenue Buildup'!N$15*'BS items '!O43</f>
        <v>300.90246353227201</v>
      </c>
      <c r="P42" s="36">
        <f>'Revenue Buildup'!O$15*'BS items '!P43</f>
        <v>331.50275822927722</v>
      </c>
      <c r="Q42" s="36">
        <f>'Revenue Buildup'!P$15*'BS items '!Q43</f>
        <v>366.47116861303124</v>
      </c>
      <c r="R42" s="36">
        <f>'Revenue Buildup'!Q$15*'BS items '!R43</f>
        <v>406.56862714381083</v>
      </c>
    </row>
    <row r="43" spans="2:18" x14ac:dyDescent="0.15">
      <c r="C43" s="38"/>
      <c r="D43" s="18">
        <f>D42/'P&amp;L Input'!C$11</f>
        <v>1.1803285304919886E-2</v>
      </c>
      <c r="E43" s="18">
        <f>E42/'P&amp;L Input'!D$11</f>
        <v>1.0402026726825296E-2</v>
      </c>
      <c r="F43" s="18">
        <f>F42/'P&amp;L Input'!E$11</f>
        <v>8.7158392049851343E-3</v>
      </c>
      <c r="G43" s="18">
        <f>G42/'P&amp;L Input'!F$11</f>
        <v>7.7666140731767952E-3</v>
      </c>
      <c r="H43" s="18">
        <f>H42/'P&amp;L Input'!G$11</f>
        <v>1.1820991748787431E-2</v>
      </c>
      <c r="I43" s="62">
        <f>H43</f>
        <v>1.1820991748787431E-2</v>
      </c>
      <c r="J43" s="62">
        <f t="shared" ref="J43:R43" si="16">I43</f>
        <v>1.1820991748787431E-2</v>
      </c>
      <c r="K43" s="62">
        <f t="shared" si="16"/>
        <v>1.1820991748787431E-2</v>
      </c>
      <c r="L43" s="62">
        <f t="shared" si="16"/>
        <v>1.1820991748787431E-2</v>
      </c>
      <c r="M43" s="62">
        <f t="shared" si="16"/>
        <v>1.1820991748787431E-2</v>
      </c>
      <c r="N43" s="62">
        <f t="shared" si="16"/>
        <v>1.1820991748787431E-2</v>
      </c>
      <c r="O43" s="62">
        <f t="shared" si="16"/>
        <v>1.1820991748787431E-2</v>
      </c>
      <c r="P43" s="62">
        <f t="shared" si="16"/>
        <v>1.1820991748787431E-2</v>
      </c>
      <c r="Q43" s="62">
        <f t="shared" si="16"/>
        <v>1.1820991748787431E-2</v>
      </c>
      <c r="R43" s="62">
        <f t="shared" si="16"/>
        <v>1.1820991748787431E-2</v>
      </c>
    </row>
    <row r="44" spans="2:18" x14ac:dyDescent="0.15">
      <c r="C44" s="38" t="s">
        <v>38</v>
      </c>
      <c r="D44" s="6">
        <f>'BS Input'!D59</f>
        <v>76.73</v>
      </c>
      <c r="E44" s="6">
        <f>'BS Input'!E59</f>
        <v>39.03</v>
      </c>
      <c r="F44" s="6">
        <f>'BS Input'!F59</f>
        <v>51.94</v>
      </c>
      <c r="G44" s="6">
        <f>'BS Input'!G59</f>
        <v>61.51</v>
      </c>
      <c r="H44" s="6">
        <f>'BS Input'!H59</f>
        <v>103.81</v>
      </c>
      <c r="I44" s="36">
        <f>'Revenue Buildup'!H$15*'BS items '!I45</f>
        <v>111.98996530051699</v>
      </c>
      <c r="J44" s="36">
        <f>'Revenue Buildup'!I$15*'BS items '!J45</f>
        <v>121.14033166556872</v>
      </c>
      <c r="K44" s="36">
        <f>'Revenue Buildup'!J$15*'BS items '!K45</f>
        <v>131.40462004307778</v>
      </c>
      <c r="L44" s="36">
        <f>'Revenue Buildup'!K$15*'BS items '!L45</f>
        <v>142.95140735504765</v>
      </c>
      <c r="M44" s="36">
        <f>'Revenue Buildup'!L$15*'BS items '!M45</f>
        <v>155.97932219858075</v>
      </c>
      <c r="N44" s="36">
        <f>'Revenue Buildup'!M$15*'BS items '!N45</f>
        <v>170.72315412572257</v>
      </c>
      <c r="O44" s="36">
        <f>'Revenue Buildup'!N$15*'BS items '!O45</f>
        <v>187.46134993269615</v>
      </c>
      <c r="P44" s="36">
        <f>'Revenue Buildup'!O$15*'BS items '!P45</f>
        <v>206.52524354426737</v>
      </c>
      <c r="Q44" s="36">
        <f>'Revenue Buildup'!P$15*'BS items '!Q45</f>
        <v>228.31046038359705</v>
      </c>
      <c r="R44" s="36">
        <f>'Revenue Buildup'!Q$15*'BS items '!R45</f>
        <v>253.29105913580392</v>
      </c>
    </row>
    <row r="45" spans="2:18" x14ac:dyDescent="0.15">
      <c r="C45" s="38"/>
      <c r="D45" s="18">
        <f>D44/'P&amp;L Input'!C$11</f>
        <v>7.7420591677765677E-3</v>
      </c>
      <c r="E45" s="18">
        <f>E44/'P&amp;L Input'!D$11</f>
        <v>3.538974051150552E-3</v>
      </c>
      <c r="F45" s="18">
        <f>F44/'P&amp;L Input'!E$11</f>
        <v>4.2308475542703538E-3</v>
      </c>
      <c r="G45" s="18">
        <f>G44/'P&amp;L Input'!F$11</f>
        <v>4.6192654384171784E-3</v>
      </c>
      <c r="H45" s="18">
        <f>H44/'P&amp;L Input'!G$11</f>
        <v>7.3644430981313286E-3</v>
      </c>
      <c r="I45" s="62">
        <f>H45</f>
        <v>7.3644430981313286E-3</v>
      </c>
      <c r="J45" s="62">
        <f t="shared" ref="J45:R45" si="17">I45</f>
        <v>7.3644430981313286E-3</v>
      </c>
      <c r="K45" s="62">
        <f t="shared" si="17"/>
        <v>7.3644430981313286E-3</v>
      </c>
      <c r="L45" s="62">
        <f t="shared" si="17"/>
        <v>7.3644430981313286E-3</v>
      </c>
      <c r="M45" s="62">
        <f t="shared" si="17"/>
        <v>7.3644430981313286E-3</v>
      </c>
      <c r="N45" s="62">
        <f t="shared" si="17"/>
        <v>7.3644430981313286E-3</v>
      </c>
      <c r="O45" s="62">
        <f t="shared" si="17"/>
        <v>7.3644430981313286E-3</v>
      </c>
      <c r="P45" s="62">
        <f t="shared" si="17"/>
        <v>7.3644430981313286E-3</v>
      </c>
      <c r="Q45" s="62">
        <f t="shared" si="17"/>
        <v>7.3644430981313286E-3</v>
      </c>
      <c r="R45" s="62">
        <f t="shared" si="17"/>
        <v>7.3644430981313286E-3</v>
      </c>
    </row>
    <row r="46" spans="2:18" x14ac:dyDescent="0.15">
      <c r="C46" s="38" t="s">
        <v>39</v>
      </c>
      <c r="D46" s="6">
        <f>'BS Input'!D60</f>
        <v>7.17</v>
      </c>
      <c r="E46" s="6">
        <f>'BS Input'!E60</f>
        <v>6.88</v>
      </c>
      <c r="F46" s="6">
        <f>'BS Input'!F60</f>
        <v>2.29</v>
      </c>
      <c r="G46" s="6">
        <f>'BS Input'!G60</f>
        <v>1.57</v>
      </c>
      <c r="H46" s="6">
        <f>'BS Input'!H60</f>
        <v>0.71</v>
      </c>
      <c r="I46" s="36">
        <f>'Revenue Buildup'!H$15*'BS items '!I47</f>
        <v>0.76594620328838314</v>
      </c>
      <c r="J46" s="36">
        <f>'Revenue Buildup'!I$15*'BS items '!J47</f>
        <v>0.82852938524760411</v>
      </c>
      <c r="K46" s="36">
        <f>'Revenue Buildup'!J$15*'BS items '!K47</f>
        <v>0.89873114565634549</v>
      </c>
      <c r="L46" s="36">
        <f>'Revenue Buildup'!K$15*'BS items '!L47</f>
        <v>0.97770445257763061</v>
      </c>
      <c r="M46" s="36">
        <f>'Revenue Buildup'!L$15*'BS items '!M47</f>
        <v>1.0668078100471277</v>
      </c>
      <c r="N46" s="36">
        <f>'Revenue Buildup'!M$15*'BS items '!N47</f>
        <v>1.1676470419927079</v>
      </c>
      <c r="O46" s="36">
        <f>'Revenue Buildup'!N$15*'BS items '!O47</f>
        <v>1.282126562491227</v>
      </c>
      <c r="P46" s="36">
        <f>'Revenue Buildup'!O$15*'BS items '!P47</f>
        <v>1.4125125028073384</v>
      </c>
      <c r="Q46" s="36">
        <f>'Revenue Buildup'!P$15*'BS items '!Q47</f>
        <v>1.5615107106478556</v>
      </c>
      <c r="R46" s="36">
        <f>'Revenue Buildup'!Q$15*'BS items '!R47</f>
        <v>1.7323634715963854</v>
      </c>
    </row>
    <row r="47" spans="2:18" x14ac:dyDescent="0.15">
      <c r="C47" s="38"/>
      <c r="D47" s="18">
        <f>D46/'P&amp;L Input'!C$11</f>
        <v>7.2345320256689673E-4</v>
      </c>
      <c r="E47" s="18">
        <f>E46/'P&amp;L Input'!D$11</f>
        <v>6.2383144944698423E-4</v>
      </c>
      <c r="F47" s="18">
        <f>F46/'P&amp;L Input'!E$11</f>
        <v>1.865352502749155E-4</v>
      </c>
      <c r="G47" s="18">
        <f>G46/'P&amp;L Input'!F$11</f>
        <v>1.1790353988481501E-4</v>
      </c>
      <c r="H47" s="18">
        <f>H46/'P&amp;L Input'!G$11</f>
        <v>5.0368505921137106E-5</v>
      </c>
      <c r="I47" s="62">
        <f>H47</f>
        <v>5.0368505921137106E-5</v>
      </c>
      <c r="J47" s="62">
        <f t="shared" ref="J47:R47" si="18">I47</f>
        <v>5.0368505921137106E-5</v>
      </c>
      <c r="K47" s="62">
        <f t="shared" si="18"/>
        <v>5.0368505921137106E-5</v>
      </c>
      <c r="L47" s="62">
        <f t="shared" si="18"/>
        <v>5.0368505921137106E-5</v>
      </c>
      <c r="M47" s="62">
        <f t="shared" si="18"/>
        <v>5.0368505921137106E-5</v>
      </c>
      <c r="N47" s="62">
        <f t="shared" si="18"/>
        <v>5.0368505921137106E-5</v>
      </c>
      <c r="O47" s="62">
        <f t="shared" si="18"/>
        <v>5.0368505921137106E-5</v>
      </c>
      <c r="P47" s="62">
        <f t="shared" si="18"/>
        <v>5.0368505921137106E-5</v>
      </c>
      <c r="Q47" s="62">
        <f t="shared" si="18"/>
        <v>5.0368505921137106E-5</v>
      </c>
      <c r="R47" s="62">
        <f t="shared" si="18"/>
        <v>5.0368505921137106E-5</v>
      </c>
    </row>
    <row r="48" spans="2:18" x14ac:dyDescent="0.15">
      <c r="B48" s="383" t="s">
        <v>41</v>
      </c>
      <c r="C48" s="384"/>
      <c r="D48" s="8"/>
      <c r="E48" s="8"/>
      <c r="F48" s="8"/>
      <c r="G48" s="8"/>
      <c r="H48" s="8"/>
      <c r="I48" s="34"/>
      <c r="J48" s="34"/>
      <c r="K48" s="34"/>
      <c r="L48" s="34"/>
      <c r="M48" s="34"/>
      <c r="N48" s="34"/>
      <c r="O48" s="34"/>
      <c r="P48" s="34"/>
      <c r="Q48" s="34"/>
      <c r="R48" s="34"/>
    </row>
    <row r="49" spans="3:18" x14ac:dyDescent="0.15">
      <c r="C49" s="38" t="s">
        <v>35</v>
      </c>
      <c r="D49" s="6">
        <f>'BS Input'!D66</f>
        <v>518.70000000000005</v>
      </c>
      <c r="E49" s="6">
        <f>'BS Input'!E66</f>
        <v>279.41000000000003</v>
      </c>
      <c r="F49" s="6">
        <f>'BS Input'!F66</f>
        <v>1226.81</v>
      </c>
      <c r="G49" s="6">
        <f>'BS Input'!G66</f>
        <v>844.84</v>
      </c>
      <c r="H49" s="6">
        <f>'BS Input'!H66</f>
        <v>3154.64</v>
      </c>
      <c r="I49" s="36">
        <f>'Revenue Buildup'!H$15*'BS items '!I50</f>
        <v>3403.2176489319227</v>
      </c>
      <c r="J49" s="36">
        <f>'Revenue Buildup'!I$15*'BS items '!J50</f>
        <v>3681.2844223626785</v>
      </c>
      <c r="K49" s="36">
        <f>'Revenue Buildup'!J$15*'BS items '!K50</f>
        <v>3993.2017201877939</v>
      </c>
      <c r="L49" s="36">
        <f>'Revenue Buildup'!K$15*'BS items '!L50</f>
        <v>4561.2969760471433</v>
      </c>
      <c r="M49" s="36">
        <f>'Revenue Buildup'!L$15*'BS items '!M50</f>
        <v>4976.991999128767</v>
      </c>
      <c r="N49" s="36">
        <f>'Revenue Buildup'!M$15*'BS items '!N50</f>
        <v>5338.4897752449024</v>
      </c>
      <c r="O49" s="36">
        <f>'Revenue Buildup'!N$15*'BS items '!O50</f>
        <v>5744.6530606486249</v>
      </c>
      <c r="P49" s="36">
        <f>'Revenue Buildup'!O$15*'BS items '!P50</f>
        <v>5695.9703190463579</v>
      </c>
      <c r="Q49" s="36">
        <f>'Revenue Buildup'!P$15*'BS items '!Q50</f>
        <v>5667.1263289643894</v>
      </c>
      <c r="R49" s="36">
        <f>'Revenue Buildup'!Q$15*'BS items '!R50</f>
        <v>5658.4756779747941</v>
      </c>
    </row>
    <row r="50" spans="3:18" x14ac:dyDescent="0.15">
      <c r="C50" s="38"/>
      <c r="D50" s="18">
        <f>D49/'P&amp;L Input'!C$11</f>
        <v>5.2336844654316511E-2</v>
      </c>
      <c r="E50" s="18">
        <f>E49/'P&amp;L Input'!D$11</f>
        <v>2.5334992047962482E-2</v>
      </c>
      <c r="F50" s="18">
        <f>F49/'P&amp;L Input'!E$11</f>
        <v>9.99315765894188E-2</v>
      </c>
      <c r="G50" s="18">
        <f>G49/'P&amp;L Input'!F$11</f>
        <v>6.3445622061329365E-2</v>
      </c>
      <c r="H50" s="18">
        <f>H49/'P&amp;L Input'!G$11</f>
        <v>0.22379507537895205</v>
      </c>
      <c r="I50" s="62">
        <f>_xlfn.IFS(Assumptions!$D$18=3,'BS items '!H50*1.1,Assumptions!$D$18=2,'BS items '!H50*1,Assumptions!$D$18=1,'BS items '!H50*1)</f>
        <v>0.22379507537895205</v>
      </c>
      <c r="J50" s="62">
        <f>_xlfn.IFS(Assumptions!$D$18=3,'BS items '!I50*0.9,Assumptions!$D$18=2,'BS items '!I50*1,Assumptions!$D$18=1,'BS items '!I50*0.98)</f>
        <v>0.22379507537895205</v>
      </c>
      <c r="K50" s="62">
        <f>_xlfn.IFS(Assumptions!$D$18=3,'BS items '!J50*1,Assumptions!$D$18=2,'BS items '!J50*1,Assumptions!$D$18=1,'BS items '!J50*1.15)</f>
        <v>0.22379507537895205</v>
      </c>
      <c r="L50" s="62">
        <f>_xlfn.IFS(Assumptions!$D$18=3,'BS items '!K50*1,Assumptions!$D$18=2,'BS items '!K50*1.05,Assumptions!$D$18=1,'BS items '!K50*1.05)</f>
        <v>0.23498482914789967</v>
      </c>
      <c r="M50" s="62">
        <f>_xlfn.IFS(Assumptions!$D$18=3,'BS items '!L50*1,Assumptions!$D$18=2,'BS items '!L50*1,Assumptions!$D$18=1,'BS items '!L50*1)</f>
        <v>0.23498482914789967</v>
      </c>
      <c r="N50" s="62">
        <f>_xlfn.IFS(Assumptions!$D$18=3,'BS items '!M50*1,Assumptions!$D$18=2,'BS items '!M50*0.98,Assumptions!$D$18=1,'BS items '!M50*1)</f>
        <v>0.23028513256494168</v>
      </c>
      <c r="O50" s="62">
        <f>_xlfn.IFS(Assumptions!$D$18=3,'BS items '!N50*0.9,Assumptions!$D$18=2,'BS items '!N50*0.98,Assumptions!$D$18=1,'BS items '!N50*0.9)</f>
        <v>0.22567942991364284</v>
      </c>
      <c r="P50" s="62">
        <f>_xlfn.IFS(Assumptions!$D$18=3,'BS items '!O50*1.1,Assumptions!$D$18=2,'BS items '!O50*0.9,Assumptions!$D$18=1,'BS items '!O50*0.8)</f>
        <v>0.20311148692227857</v>
      </c>
      <c r="Q50" s="62">
        <f>_xlfn.IFS(Assumptions!$D$18=3,'BS items '!P50*1.1,Assumptions!$D$18=2,'BS items '!P50*0.9,Assumptions!$D$18=1,'BS items '!P50*0.8)</f>
        <v>0.18280033823005071</v>
      </c>
      <c r="R50" s="62">
        <f>_xlfn.IFS(Assumptions!$D$18=3,'BS items '!Q50*1.05,Assumptions!$D$18=2,'BS items '!Q50*0.9,Assumptions!$D$18=1,'BS items '!Q50*0.8)</f>
        <v>0.16452030440704565</v>
      </c>
    </row>
    <row r="51" spans="3:18" x14ac:dyDescent="0.15">
      <c r="C51" s="38" t="s">
        <v>263</v>
      </c>
      <c r="D51" s="192">
        <f>'BS Input'!D67</f>
        <v>22.43</v>
      </c>
      <c r="E51" s="192">
        <f>'BS Input'!E67</f>
        <v>28.16</v>
      </c>
      <c r="F51" s="192">
        <f>'BS Input'!F67</f>
        <v>32.24</v>
      </c>
      <c r="G51" s="192">
        <f>'BS Input'!G67</f>
        <v>38.01</v>
      </c>
      <c r="H51" s="192">
        <f>'BS Input'!H67</f>
        <v>31.73</v>
      </c>
      <c r="I51" s="36">
        <f>'Revenue Buildup'!H$15*'BS items '!I52</f>
        <v>34.23024370470479</v>
      </c>
      <c r="J51" s="36">
        <f>'Revenue Buildup'!I$15*'BS items '!J52</f>
        <v>37.027094920995047</v>
      </c>
      <c r="K51" s="36">
        <f>'Revenue Buildup'!J$15*'BS items '!K52</f>
        <v>40.164421481233582</v>
      </c>
      <c r="L51" s="36">
        <f>'Revenue Buildup'!K$15*'BS items '!L52</f>
        <v>43.693749690546788</v>
      </c>
      <c r="M51" s="36">
        <f>'Revenue Buildup'!L$15*'BS items '!M52</f>
        <v>47.675791285627277</v>
      </c>
      <c r="N51" s="36">
        <f>'Revenue Buildup'!M$15*'BS items '!N52</f>
        <v>52.182310763983978</v>
      </c>
      <c r="O51" s="36">
        <f>'Revenue Buildup'!N$15*'BS items '!O52</f>
        <v>57.298416658938919</v>
      </c>
      <c r="P51" s="36">
        <f>'Revenue Buildup'!O$15*'BS items '!P52</f>
        <v>63.125382695882898</v>
      </c>
      <c r="Q51" s="36">
        <f>'Revenue Buildup'!P$15*'BS items '!Q52</f>
        <v>69.784133589938676</v>
      </c>
      <c r="R51" s="36">
        <f>'Revenue Buildup'!Q$15*'BS items '!R52</f>
        <v>77.419567540497624</v>
      </c>
    </row>
    <row r="52" spans="3:18" x14ac:dyDescent="0.15">
      <c r="C52" s="38"/>
      <c r="D52" s="18">
        <f>D51/'P&amp;L Input'!C$11</f>
        <v>2.2631876336925375E-3</v>
      </c>
      <c r="E52" s="18">
        <f>E51/'P&amp;L Input'!D$11</f>
        <v>2.5533566302946334E-3</v>
      </c>
      <c r="F52" s="18">
        <f>F51/'P&amp;L Input'!E$11</f>
        <v>2.6261556632590725E-3</v>
      </c>
      <c r="G52" s="18">
        <f>G51/'P&amp;L Input'!F$11</f>
        <v>2.8544672299502028E-3</v>
      </c>
      <c r="H52" s="18">
        <f>H51/'P&amp;L Input'!G$11</f>
        <v>2.250975623771381E-3</v>
      </c>
      <c r="I52" s="62">
        <f>H52</f>
        <v>2.250975623771381E-3</v>
      </c>
      <c r="J52" s="62">
        <f t="shared" ref="J52:R52" si="19">I52</f>
        <v>2.250975623771381E-3</v>
      </c>
      <c r="K52" s="62">
        <f t="shared" si="19"/>
        <v>2.250975623771381E-3</v>
      </c>
      <c r="L52" s="62">
        <f t="shared" si="19"/>
        <v>2.250975623771381E-3</v>
      </c>
      <c r="M52" s="62">
        <f t="shared" si="19"/>
        <v>2.250975623771381E-3</v>
      </c>
      <c r="N52" s="62">
        <f t="shared" si="19"/>
        <v>2.250975623771381E-3</v>
      </c>
      <c r="O52" s="62">
        <f t="shared" si="19"/>
        <v>2.250975623771381E-3</v>
      </c>
      <c r="P52" s="62">
        <f t="shared" si="19"/>
        <v>2.250975623771381E-3</v>
      </c>
      <c r="Q52" s="62">
        <f t="shared" si="19"/>
        <v>2.250975623771381E-3</v>
      </c>
      <c r="R52" s="62">
        <f t="shared" si="19"/>
        <v>2.250975623771381E-3</v>
      </c>
    </row>
    <row r="53" spans="3:18" x14ac:dyDescent="0.15">
      <c r="C53" s="38" t="s">
        <v>37</v>
      </c>
      <c r="D53" s="192">
        <f>'BS Input'!D69</f>
        <v>1336.04</v>
      </c>
      <c r="E53" s="192">
        <f>'BS Input'!E69</f>
        <v>1462.23</v>
      </c>
      <c r="F53" s="192">
        <f>'BS Input'!F69</f>
        <v>227.23</v>
      </c>
      <c r="G53" s="192">
        <f>'BS Input'!G69</f>
        <v>266.39</v>
      </c>
      <c r="H53" s="192">
        <f>'BS Input'!H69</f>
        <v>344.02</v>
      </c>
      <c r="I53" s="36">
        <f>'Revenue Buildup'!H$15*'BS items '!I54</f>
        <v>445.35348651594853</v>
      </c>
      <c r="J53" s="36">
        <f>'Revenue Buildup'!I$15*'BS items '!J54</f>
        <v>481.74199286684063</v>
      </c>
      <c r="K53" s="36">
        <f>'Revenue Buildup'!J$15*'BS items '!K54</f>
        <v>522.56026264004947</v>
      </c>
      <c r="L53" s="36">
        <f>'Revenue Buildup'!K$15*'BS items '!L54</f>
        <v>568.47868018437703</v>
      </c>
      <c r="M53" s="36">
        <f>'Revenue Buildup'!L$15*'BS items '!M54</f>
        <v>607.88139440478517</v>
      </c>
      <c r="N53" s="36">
        <f>'Revenue Buildup'!M$15*'BS items '!N54</f>
        <v>652.03412204794245</v>
      </c>
      <c r="O53" s="36">
        <f>'Revenue Buildup'!N$15*'BS items '!O54</f>
        <v>701.64221953543358</v>
      </c>
      <c r="P53" s="36">
        <f>'Revenue Buildup'!O$15*'BS items '!P54</f>
        <v>757.53585320958621</v>
      </c>
      <c r="Q53" s="36">
        <f>'Revenue Buildup'!P$15*'BS items '!Q54</f>
        <v>921.18857762256664</v>
      </c>
      <c r="R53" s="36">
        <f>'Revenue Buildup'!Q$15*'BS items '!R54</f>
        <v>1124.1785116090414</v>
      </c>
    </row>
    <row r="54" spans="3:18" x14ac:dyDescent="0.15">
      <c r="C54" s="38"/>
      <c r="D54" s="18">
        <f>D53/'P&amp;L Input'!C$11</f>
        <v>0.13480647374581264</v>
      </c>
      <c r="E54" s="18">
        <f>E53/'P&amp;L Input'!D$11</f>
        <v>0.13258503783791625</v>
      </c>
      <c r="F54" s="18">
        <f>F53/'P&amp;L Input'!E$11</f>
        <v>1.8509347126624037E-2</v>
      </c>
      <c r="G54" s="18">
        <f>G53/'P&amp;L Input'!F$11</f>
        <v>2.0005301904405012E-2</v>
      </c>
      <c r="H54" s="18">
        <f>H53/'P&amp;L Input'!G$11</f>
        <v>2.4405314657731811E-2</v>
      </c>
      <c r="I54" s="62">
        <f>_xlfn.IFS(Assumptions!$D$18=3,'BS items '!H54*1.25,Assumptions!$D$18=2,'BS items '!H54*1.2,Assumptions!$D$18=1,'BS items '!H54*1.05)</f>
        <v>2.928637758927817E-2</v>
      </c>
      <c r="J54" s="62">
        <f>_xlfn.IFS(Assumptions!$D$18=3,'BS items '!I54*1.1,Assumptions!$D$18=2,'BS items '!I54*1,Assumptions!$D$18=1,'BS items '!I54*1.25)</f>
        <v>2.928637758927817E-2</v>
      </c>
      <c r="K54" s="62">
        <f>_xlfn.IFS(Assumptions!$D$18=3,'BS items '!J54*1.1,Assumptions!$D$18=2,'BS items '!J54*1,Assumptions!$D$18=1,'BS items '!J54*0.85)</f>
        <v>2.928637758927817E-2</v>
      </c>
      <c r="L54" s="62">
        <f>_xlfn.IFS(Assumptions!$D$18=3,'BS items '!K54*1.1,Assumptions!$D$18=2,'BS items '!K54*1,Assumptions!$D$18=1,'BS items '!K54*0.85)</f>
        <v>2.928637758927817E-2</v>
      </c>
      <c r="M54" s="62">
        <f>_xlfn.IFS(Assumptions!$D$18=3,'BS items '!L54*1.03,Assumptions!$D$18=2,'BS items '!L54*0.98,Assumptions!$D$18=1,'BS items '!L54*0.85)</f>
        <v>2.8700650037492607E-2</v>
      </c>
      <c r="N54" s="62">
        <f>_xlfn.IFS(Assumptions!$D$18=3,'BS items '!M54,Assumptions!$D$18=2,'BS items '!M54*0.98,Assumptions!$D$18=1,'BS items '!M54*0.8)</f>
        <v>2.8126637036742754E-2</v>
      </c>
      <c r="O54" s="62">
        <f>_xlfn.IFS(Assumptions!$D$18=3,'BS items '!N54*1.03,Assumptions!$D$18=2,'BS items '!N54*0.98,Assumptions!$D$18=1,'BS items '!N54*0.75)</f>
        <v>2.7564104296007898E-2</v>
      </c>
      <c r="P54" s="62">
        <f>_xlfn.IFS(Assumptions!$D$18=3,'BS items '!O54*1.02,Assumptions!$D$18=2,'BS items '!O54*0.98,Assumptions!$D$18=1,'BS items '!O54*0.75)</f>
        <v>2.7012822210087738E-2</v>
      </c>
      <c r="Q54" s="62">
        <f>_xlfn.IFS(Assumptions!$D$18=3,'BS items '!P54*1,Assumptions!$D$18=2,'BS items '!P54*1.1,Assumptions!$D$18=1,'BS items '!P54*0.9)</f>
        <v>2.9714104431096514E-2</v>
      </c>
      <c r="R54" s="62">
        <f>_xlfn.IFS(Assumptions!$D$18=3,'BS items '!Q54*1,Assumptions!$D$18=2,'BS items '!Q54*1.1,Assumptions!$D$18=1,'BS items '!Q54*0.9)</f>
        <v>3.2685514874206172E-2</v>
      </c>
    </row>
    <row r="55" spans="3:18" x14ac:dyDescent="0.15">
      <c r="C55" s="305" t="s">
        <v>318</v>
      </c>
      <c r="D55" s="268">
        <f>VLOOKUP($C55,'BS Input'!$C$66:$H$72,COUNTBLANK('BS items '!$C$36:D$36),1)</f>
        <v>84.71</v>
      </c>
      <c r="E55" s="268">
        <f>VLOOKUP($C55,'BS Input'!$C$66:$H$72,COUNTBLANK('BS items '!$C$36:E$36),1)</f>
        <v>80.55</v>
      </c>
      <c r="F55" s="268">
        <f>VLOOKUP($C55,'BS Input'!$C$66:$H$72,COUNTBLANK('BS items '!$C$36:F$36),1)</f>
        <v>223.84</v>
      </c>
      <c r="G55" s="268">
        <f>VLOOKUP($C55,'BS Input'!$C$66:$H$72,COUNTBLANK('BS items '!$C$36:G$36),1)</f>
        <v>229.03</v>
      </c>
      <c r="H55" s="268">
        <f>VLOOKUP($C55,'BS Input'!$C$66:$H$72,COUNTBLANK('BS items '!$C$36:H$36),1)</f>
        <v>235.04</v>
      </c>
      <c r="I55" s="36">
        <f>'Revenue Buildup'!H$15*'BS items '!I56</f>
        <v>304.27266865504492</v>
      </c>
      <c r="J55" s="36">
        <f>'Revenue Buildup'!I$15*'BS items '!J56</f>
        <v>394.96065811321051</v>
      </c>
      <c r="K55" s="36">
        <f>'Revenue Buildup'!J$15*'BS items '!K56</f>
        <v>514.11107595058661</v>
      </c>
      <c r="L55" s="36">
        <f>'Revenue Buildup'!K$15*'BS items '!L56</f>
        <v>559.28704652744557</v>
      </c>
      <c r="M55" s="36">
        <f>'Revenue Buildup'!L$15*'BS items '!M56</f>
        <v>598.05266506277837</v>
      </c>
      <c r="N55" s="36">
        <f>'Revenue Buildup'!M$15*'BS items '!N56</f>
        <v>641.49149487370994</v>
      </c>
      <c r="O55" s="36">
        <f>'Revenue Buildup'!N$15*'BS items '!O56</f>
        <v>690.29748759559334</v>
      </c>
      <c r="P55" s="36">
        <f>'Revenue Buildup'!O$15*'BS items '!P56</f>
        <v>745.28738675445879</v>
      </c>
      <c r="Q55" s="36">
        <f>'Revenue Buildup'!P$15*'BS items '!Q56</f>
        <v>823.90367137626163</v>
      </c>
      <c r="R55" s="36">
        <f>'Revenue Buildup'!Q$15*'BS items '!R56</f>
        <v>914.05112669013636</v>
      </c>
    </row>
    <row r="56" spans="3:18" x14ac:dyDescent="0.15">
      <c r="C56" s="305"/>
      <c r="D56" s="18">
        <f>D55/'P&amp;L Input'!C$11</f>
        <v>8.5472413932275899E-3</v>
      </c>
      <c r="E56" s="18">
        <f>E55/'P&amp;L Input'!D$11</f>
        <v>7.3037243100224679E-3</v>
      </c>
      <c r="F56" s="18">
        <f>F55/'P&amp;L Input'!E$11</f>
        <v>1.8233209791064228E-2</v>
      </c>
      <c r="G56" s="18">
        <f>G55/'P&amp;L Input'!F$11</f>
        <v>1.7199648241923046E-2</v>
      </c>
      <c r="H56" s="18">
        <f>H55/'P&amp;L Input'!G$11</f>
        <v>1.6674103706625445E-2</v>
      </c>
      <c r="I56" s="62">
        <f>_xlfn.IFS(Assumptions!$D$18=3,'BS items '!H56*1.25,Assumptions!$D$18=2,'BS items '!H56*1.2,Assumptions!$D$18=1,'BS items '!H56*1.05)</f>
        <v>2.0008924447950532E-2</v>
      </c>
      <c r="J56" s="62">
        <f>_xlfn.IFS(Assumptions!$D$18=3,'BS items '!I56*1.1,Assumptions!$D$18=2,'BS items '!I56*1.2,Assumptions!$D$18=1,'BS items '!I56*1.25)</f>
        <v>2.4010709337540636E-2</v>
      </c>
      <c r="K56" s="62">
        <f>_xlfn.IFS(Assumptions!$D$18=3,'BS items '!J56*1.1,Assumptions!$D$18=2,'BS items '!J56*1.2,Assumptions!$D$18=1,'BS items '!J56*0.85)</f>
        <v>2.8812851205048763E-2</v>
      </c>
      <c r="L56" s="62">
        <f>_xlfn.IFS(Assumptions!$D$18=3,'BS items '!K56*1.1,Assumptions!$D$18=2,'BS items '!K56*1,Assumptions!$D$18=1,'BS items '!K56*0.85)</f>
        <v>2.8812851205048763E-2</v>
      </c>
      <c r="M56" s="62">
        <f>_xlfn.IFS(Assumptions!$D$18=3,'BS items '!L56*1.1,Assumptions!$D$18=2,'BS items '!L56*0.98,Assumptions!$D$18=1,'BS items '!L56*0.85)</f>
        <v>2.8236594180947788E-2</v>
      </c>
      <c r="N56" s="62">
        <f>_xlfn.IFS(Assumptions!$D$18=3,'BS items '!M56,Assumptions!$D$18=2,'BS items '!M56*0.98,Assumptions!$D$18=1,'BS items '!M56*0.8)</f>
        <v>2.7671862297328834E-2</v>
      </c>
      <c r="O56" s="62">
        <f>_xlfn.IFS(Assumptions!$D$18=3,'BS items '!N56*1.03,Assumptions!$D$18=2,'BS items '!N56*0.98,Assumptions!$D$18=1,'BS items '!N56*0.75)</f>
        <v>2.7118425051382258E-2</v>
      </c>
      <c r="P56" s="62">
        <f>_xlfn.IFS(Assumptions!$D$18=3,'BS items '!O56*1.1,Assumptions!$D$18=2,'BS items '!O56*0.98,Assumptions!$D$18=1,'BS items '!O56*1)</f>
        <v>2.6576056550354613E-2</v>
      </c>
      <c r="Q56" s="62">
        <f>_xlfn.IFS(Assumptions!$D$18=3,'BS items '!P56*1.1,Assumptions!$D$18=2,'BS items '!P56*1,Assumptions!$D$18=1,'BS items '!P56*1)</f>
        <v>2.6576056550354613E-2</v>
      </c>
      <c r="R56" s="62">
        <f>_xlfn.IFS(Assumptions!$D$18=3,'BS items '!Q56*1,Assumptions!$D$18=2,'BS items '!Q56*1,Assumptions!$D$18=1,'BS items '!Q56*0.9)</f>
        <v>2.6576056550354613E-2</v>
      </c>
    </row>
    <row r="57" spans="3:18" x14ac:dyDescent="0.15">
      <c r="C57" s="305" t="s">
        <v>36</v>
      </c>
      <c r="D57" s="268">
        <f>VLOOKUP($C57,'BS Input'!$C$66:$H$72,COUNTBLANK('BS items '!$C$36:D$36),0)</f>
        <v>55.96</v>
      </c>
      <c r="E57" s="268">
        <f>VLOOKUP($C57,'BS Input'!$C$66:$H$72,COUNTBLANK('BS items '!$C$36:E$36),0)</f>
        <v>72.400000000000006</v>
      </c>
      <c r="F57" s="268">
        <f>VLOOKUP($C57,'BS Input'!$C$66:$H$72,COUNTBLANK('BS items '!$C$36:F$36),0)</f>
        <v>76.209999999999994</v>
      </c>
      <c r="G57" s="268">
        <f>VLOOKUP($C57,'BS Input'!$C$66:$H$72,COUNTBLANK('BS items '!$C$36:G$36),0)</f>
        <v>75.16</v>
      </c>
      <c r="H57" s="268">
        <f>VLOOKUP($C57,'BS Input'!$C$66:$H$72,COUNTBLANK('BS items '!$C$36:H$36),0)</f>
        <v>90.97</v>
      </c>
      <c r="I57" s="36">
        <f>'Revenue Buildup'!H$15*'BS items '!I58</f>
        <v>98.138205793160878</v>
      </c>
      <c r="J57" s="36">
        <f>'Revenue Buildup'!I$15*'BS items '!J58</f>
        <v>106.15678616334444</v>
      </c>
      <c r="K57" s="36">
        <f>'Revenue Buildup'!J$15*'BS items '!K58</f>
        <v>115.15151031036302</v>
      </c>
      <c r="L57" s="36">
        <f>'Revenue Buildup'!K$15*'BS items '!L58</f>
        <v>125.27010429716488</v>
      </c>
      <c r="M57" s="36">
        <f>'Revenue Buildup'!L$15*'BS items '!M58</f>
        <v>136.68662884505241</v>
      </c>
      <c r="N57" s="36">
        <f>'Revenue Buildup'!M$15*'BS items '!N58</f>
        <v>149.60683297193893</v>
      </c>
      <c r="O57" s="36">
        <f>'Revenue Buildup'!N$15*'BS items '!O58</f>
        <v>164.27472308426326</v>
      </c>
      <c r="P57" s="36">
        <f>'Revenue Buildup'!O$15*'BS items '!P58</f>
        <v>180.98065123997688</v>
      </c>
      <c r="Q57" s="36">
        <f>'Revenue Buildup'!P$15*'BS items '!Q58</f>
        <v>200.07130894033159</v>
      </c>
      <c r="R57" s="36">
        <f>'Revenue Buildup'!Q$15*'BS items '!R58</f>
        <v>221.96211973397632</v>
      </c>
    </row>
    <row r="58" spans="3:18" x14ac:dyDescent="0.15">
      <c r="C58" s="305"/>
      <c r="D58" s="18">
        <f>D57/'P&amp;L Input'!C$11</f>
        <v>5.6463655809823633E-3</v>
      </c>
      <c r="E58" s="18">
        <f>E57/'P&amp;L Input'!D$11</f>
        <v>6.5647379273200092E-3</v>
      </c>
      <c r="F58" s="18">
        <f>F57/'P&amp;L Input'!E$11</f>
        <v>6.207795381419785E-3</v>
      </c>
      <c r="G58" s="18">
        <f>G57/'P&amp;L Input'!F$11</f>
        <v>5.6443503552501247E-3</v>
      </c>
      <c r="H58" s="18">
        <f>H57/'P&amp;L Input'!G$11</f>
        <v>6.4535534980927362E-3</v>
      </c>
      <c r="I58" s="62">
        <f>H58</f>
        <v>6.4535534980927362E-3</v>
      </c>
      <c r="J58" s="62">
        <f t="shared" ref="J58:R58" si="20">I58</f>
        <v>6.4535534980927362E-3</v>
      </c>
      <c r="K58" s="62">
        <f t="shared" si="20"/>
        <v>6.4535534980927362E-3</v>
      </c>
      <c r="L58" s="62">
        <f t="shared" si="20"/>
        <v>6.4535534980927362E-3</v>
      </c>
      <c r="M58" s="62">
        <f t="shared" si="20"/>
        <v>6.4535534980927362E-3</v>
      </c>
      <c r="N58" s="62">
        <f t="shared" si="20"/>
        <v>6.4535534980927362E-3</v>
      </c>
      <c r="O58" s="62">
        <f t="shared" si="20"/>
        <v>6.4535534980927362E-3</v>
      </c>
      <c r="P58" s="62">
        <f t="shared" si="20"/>
        <v>6.4535534980927362E-3</v>
      </c>
      <c r="Q58" s="62">
        <f t="shared" si="20"/>
        <v>6.4535534980927362E-3</v>
      </c>
      <c r="R58" s="62">
        <f t="shared" si="20"/>
        <v>6.4535534980927362E-3</v>
      </c>
    </row>
    <row r="59" spans="3:18" x14ac:dyDescent="0.15">
      <c r="C59" s="305" t="str">
        <f>'BS Input'!C72</f>
        <v>Current Tax Liabiliites(net)</v>
      </c>
      <c r="D59" s="268">
        <f>VLOOKUP($C59,'BS Input'!$C$66:$H$72,COUNTBLANK('BS items '!$C$36:D$36),0)</f>
        <v>48.23</v>
      </c>
      <c r="E59" s="268">
        <f>VLOOKUP($C59,'BS Input'!$C$66:$H$72,COUNTBLANK('BS items '!$C$36:E$36),0)</f>
        <v>53.3</v>
      </c>
      <c r="F59" s="268">
        <f>VLOOKUP($C59,'BS Input'!$C$66:$H$72,COUNTBLANK('BS items '!$C$36:F$36),0)</f>
        <v>22.22</v>
      </c>
      <c r="G59" s="268">
        <f>VLOOKUP($C59,'BS Input'!$C$66:$H$72,COUNTBLANK('BS items '!$C$36:G$36),0)</f>
        <v>14.71</v>
      </c>
      <c r="H59" s="268">
        <f>VLOOKUP($C59,'BS Input'!$C$66:$H$72,COUNTBLANK('BS items '!$C$36:H$36),0)</f>
        <v>58.46</v>
      </c>
      <c r="I59" s="36">
        <f>'Revenue Buildup'!H$15*'BS items '!I60</f>
        <v>63.066500062308286</v>
      </c>
      <c r="J59" s="36">
        <f>'Revenue Buildup'!I$15*'BS items '!J60</f>
        <v>68.219475861373155</v>
      </c>
      <c r="K59" s="36">
        <f>'Revenue Buildup'!J$15*'BS items '!K60</f>
        <v>73.99975038742248</v>
      </c>
      <c r="L59" s="36">
        <f>'Revenue Buildup'!K$15*'BS items '!L60</f>
        <v>80.50225675730745</v>
      </c>
      <c r="M59" s="36">
        <f>'Revenue Buildup'!L$15*'BS items '!M60</f>
        <v>87.838851514584633</v>
      </c>
      <c r="N59" s="36">
        <f>'Revenue Buildup'!M$15*'BS items '!N60</f>
        <v>96.141755035061564</v>
      </c>
      <c r="O59" s="36">
        <f>'Revenue Buildup'!N$15*'BS items '!O60</f>
        <v>105.56777301864385</v>
      </c>
      <c r="P59" s="36">
        <f>'Revenue Buildup'!O$15*'BS items '!P60</f>
        <v>116.30349424523523</v>
      </c>
      <c r="Q59" s="36">
        <f>'Revenue Buildup'!P$15*'BS items '!Q60</f>
        <v>128.57171287954034</v>
      </c>
      <c r="R59" s="36">
        <f>'Revenue Buildup'!Q$15*'BS items '!R60</f>
        <v>142.63939232327422</v>
      </c>
    </row>
    <row r="60" spans="3:18" x14ac:dyDescent="0.15">
      <c r="C60" s="306"/>
      <c r="D60" s="18">
        <f>D59/'P&amp;L Input'!C$11</f>
        <v>4.8664083625943417E-3</v>
      </c>
      <c r="E60" s="18">
        <f>E59/'P&amp;L Input'!D$11</f>
        <v>4.8328802696982935E-3</v>
      </c>
      <c r="F60" s="18">
        <f>F59/'P&amp;L Input'!E$11</f>
        <v>1.8099621227548567E-3</v>
      </c>
      <c r="G60" s="18">
        <f>G59/'P&amp;L Input'!F$11</f>
        <v>1.1046885807042223E-3</v>
      </c>
      <c r="H60" s="18">
        <f>H59/'P&amp;L Input'!G$11</f>
        <v>4.14724345936574E-3</v>
      </c>
      <c r="I60" s="62">
        <f>H60</f>
        <v>4.14724345936574E-3</v>
      </c>
      <c r="J60" s="62">
        <f t="shared" ref="J60:R60" si="21">I60</f>
        <v>4.14724345936574E-3</v>
      </c>
      <c r="K60" s="62">
        <f t="shared" si="21"/>
        <v>4.14724345936574E-3</v>
      </c>
      <c r="L60" s="62">
        <f t="shared" si="21"/>
        <v>4.14724345936574E-3</v>
      </c>
      <c r="M60" s="62">
        <f t="shared" si="21"/>
        <v>4.14724345936574E-3</v>
      </c>
      <c r="N60" s="62">
        <f t="shared" si="21"/>
        <v>4.14724345936574E-3</v>
      </c>
      <c r="O60" s="62">
        <f t="shared" si="21"/>
        <v>4.14724345936574E-3</v>
      </c>
      <c r="P60" s="62">
        <f t="shared" si="21"/>
        <v>4.14724345936574E-3</v>
      </c>
      <c r="Q60" s="62">
        <f t="shared" si="21"/>
        <v>4.14724345936574E-3</v>
      </c>
      <c r="R60" s="62">
        <f t="shared" si="21"/>
        <v>4.14724345936574E-3</v>
      </c>
    </row>
  </sheetData>
  <mergeCells count="8">
    <mergeCell ref="B48:C48"/>
    <mergeCell ref="B6:E6"/>
    <mergeCell ref="Q6:R6"/>
    <mergeCell ref="B8:C9"/>
    <mergeCell ref="B10:C10"/>
    <mergeCell ref="B35:C35"/>
    <mergeCell ref="B37:C37"/>
    <mergeCell ref="B7:R7"/>
  </mergeCells>
  <pageMargins left="0.7" right="0.7" top="0.75" bottom="0.75" header="0.3" footer="0.3"/>
  <ignoredErrors>
    <ignoredError sqref="I15:R15 I17:R17 I21:R21 I28:R28 I30:R30" formula="1"/>
  </ignoredErrors>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theme="9" tint="0.39997558519241921"/>
  </sheetPr>
  <dimension ref="B6:Q26"/>
  <sheetViews>
    <sheetView showGridLines="0" zoomScale="117" workbookViewId="0">
      <selection activeCell="H13" sqref="H13"/>
    </sheetView>
  </sheetViews>
  <sheetFormatPr baseColWidth="10" defaultColWidth="8.83203125" defaultRowHeight="14" x14ac:dyDescent="0.15"/>
  <cols>
    <col min="1" max="1" width="6.33203125" style="2" customWidth="1"/>
    <col min="2" max="2" width="20" style="2" bestFit="1" customWidth="1"/>
    <col min="3" max="3" width="15.1640625" style="2" customWidth="1"/>
    <col min="4" max="11" width="11.33203125" style="2" bestFit="1" customWidth="1"/>
    <col min="12" max="15" width="12.1640625" style="2" bestFit="1" customWidth="1"/>
    <col min="16" max="17" width="13.1640625" style="2" bestFit="1" customWidth="1"/>
    <col min="18" max="16384" width="8.83203125" style="2"/>
  </cols>
  <sheetData>
    <row r="6" spans="2:17" x14ac:dyDescent="0.15">
      <c r="P6" s="362" t="s">
        <v>76</v>
      </c>
      <c r="Q6" s="362"/>
    </row>
    <row r="7" spans="2:17" ht="16" x14ac:dyDescent="0.2">
      <c r="B7" s="377" t="s">
        <v>179</v>
      </c>
      <c r="C7" s="378"/>
      <c r="D7" s="378"/>
      <c r="E7" s="378"/>
      <c r="F7" s="378"/>
      <c r="G7" s="378"/>
      <c r="H7" s="378"/>
      <c r="I7" s="378"/>
      <c r="J7" s="378"/>
      <c r="K7" s="378"/>
      <c r="L7" s="378"/>
      <c r="M7" s="378"/>
      <c r="N7" s="378"/>
      <c r="O7" s="378"/>
      <c r="P7" s="378"/>
      <c r="Q7" s="379"/>
    </row>
    <row r="8" spans="2:17" ht="15" x14ac:dyDescent="0.15">
      <c r="B8" s="375" t="s">
        <v>0</v>
      </c>
      <c r="C8" s="234" t="s">
        <v>1</v>
      </c>
      <c r="D8" s="10" t="s">
        <v>3</v>
      </c>
      <c r="E8" s="10" t="s">
        <v>4</v>
      </c>
      <c r="F8" s="10" t="s">
        <v>5</v>
      </c>
      <c r="G8" s="10" t="s">
        <v>50</v>
      </c>
      <c r="H8" s="128" t="s">
        <v>51</v>
      </c>
      <c r="I8" s="128" t="s">
        <v>52</v>
      </c>
      <c r="J8" s="128" t="s">
        <v>53</v>
      </c>
      <c r="K8" s="128" t="s">
        <v>54</v>
      </c>
      <c r="L8" s="128" t="s">
        <v>55</v>
      </c>
      <c r="M8" s="128" t="s">
        <v>56</v>
      </c>
      <c r="N8" s="128" t="s">
        <v>57</v>
      </c>
      <c r="O8" s="128" t="s">
        <v>58</v>
      </c>
      <c r="P8" s="128" t="s">
        <v>59</v>
      </c>
      <c r="Q8" s="128" t="s">
        <v>361</v>
      </c>
    </row>
    <row r="9" spans="2:17" x14ac:dyDescent="0.15">
      <c r="B9" s="376"/>
      <c r="C9" s="13" t="s">
        <v>2</v>
      </c>
      <c r="D9" s="13" t="s">
        <v>2</v>
      </c>
      <c r="E9" s="13" t="s">
        <v>2</v>
      </c>
      <c r="F9" s="13" t="s">
        <v>2</v>
      </c>
      <c r="G9" s="13" t="s">
        <v>2</v>
      </c>
      <c r="H9" s="119" t="s">
        <v>60</v>
      </c>
      <c r="I9" s="119" t="s">
        <v>61</v>
      </c>
      <c r="J9" s="119" t="s">
        <v>61</v>
      </c>
      <c r="K9" s="119" t="s">
        <v>61</v>
      </c>
      <c r="L9" s="119" t="s">
        <v>61</v>
      </c>
      <c r="M9" s="119" t="s">
        <v>61</v>
      </c>
      <c r="N9" s="119" t="s">
        <v>61</v>
      </c>
      <c r="O9" s="119" t="s">
        <v>61</v>
      </c>
      <c r="P9" s="119" t="s">
        <v>61</v>
      </c>
      <c r="Q9" s="119" t="s">
        <v>61</v>
      </c>
    </row>
    <row r="10" spans="2:17" x14ac:dyDescent="0.15">
      <c r="B10" s="38"/>
      <c r="H10" s="34"/>
      <c r="I10" s="34"/>
      <c r="J10" s="34"/>
      <c r="K10" s="34"/>
      <c r="L10" s="34"/>
      <c r="M10" s="34"/>
      <c r="N10" s="34"/>
      <c r="O10" s="34"/>
      <c r="P10" s="34"/>
      <c r="Q10" s="34"/>
    </row>
    <row r="11" spans="2:17" x14ac:dyDescent="0.15">
      <c r="B11" s="38" t="s">
        <v>265</v>
      </c>
      <c r="C11" s="49">
        <f>'BS Input'!D33</f>
        <v>1157.25</v>
      </c>
      <c r="D11" s="49">
        <f>'BS Input'!E33</f>
        <v>1004.5</v>
      </c>
      <c r="E11" s="49">
        <f>'BS Input'!F33</f>
        <v>1116.32</v>
      </c>
      <c r="F11" s="49">
        <f>'BS Input'!G33</f>
        <v>1245.28</v>
      </c>
      <c r="G11" s="49">
        <f>'BS Input'!H33</f>
        <v>1535.37</v>
      </c>
      <c r="H11" s="35">
        <f>G11*1.05</f>
        <v>1612.1385</v>
      </c>
      <c r="I11" s="35">
        <f t="shared" ref="I11:Q11" si="0">H11*1.05</f>
        <v>1692.7454250000001</v>
      </c>
      <c r="J11" s="35">
        <f t="shared" si="0"/>
        <v>1777.3826962500002</v>
      </c>
      <c r="K11" s="35">
        <f t="shared" si="0"/>
        <v>1866.2518310625003</v>
      </c>
      <c r="L11" s="35">
        <f t="shared" si="0"/>
        <v>1959.5644226156253</v>
      </c>
      <c r="M11" s="35">
        <f t="shared" si="0"/>
        <v>2057.5426437464066</v>
      </c>
      <c r="N11" s="35">
        <f t="shared" si="0"/>
        <v>2160.4197759337271</v>
      </c>
      <c r="O11" s="35">
        <f t="shared" si="0"/>
        <v>2268.4407647304138</v>
      </c>
      <c r="P11" s="35">
        <f t="shared" si="0"/>
        <v>2381.8628029669344</v>
      </c>
      <c r="Q11" s="35">
        <f t="shared" si="0"/>
        <v>2500.9559431152811</v>
      </c>
    </row>
    <row r="12" spans="2:17" x14ac:dyDescent="0.15">
      <c r="B12" s="38" t="str">
        <f>'BS Input'!C30</f>
        <v>Inventories</v>
      </c>
      <c r="C12" s="49">
        <f>'BS Input'!D30</f>
        <v>1703.12</v>
      </c>
      <c r="D12" s="49">
        <f>'BS Input'!E30</f>
        <v>1716.25</v>
      </c>
      <c r="E12" s="49">
        <f>'BS Input'!F30</f>
        <v>2129.85</v>
      </c>
      <c r="F12" s="49">
        <f>'BS Input'!G30</f>
        <v>1537.15</v>
      </c>
      <c r="G12" s="49">
        <f>'BS Input'!H30</f>
        <v>1270.92</v>
      </c>
      <c r="H12" s="35">
        <f t="shared" ref="H12:Q12" si="1">G12*1.05</f>
        <v>1334.4660000000001</v>
      </c>
      <c r="I12" s="35">
        <f t="shared" si="1"/>
        <v>1401.1893000000002</v>
      </c>
      <c r="J12" s="35">
        <f t="shared" si="1"/>
        <v>1471.2487650000003</v>
      </c>
      <c r="K12" s="35">
        <f t="shared" si="1"/>
        <v>1544.8112032500003</v>
      </c>
      <c r="L12" s="35">
        <f t="shared" si="1"/>
        <v>1622.0517634125003</v>
      </c>
      <c r="M12" s="35">
        <f t="shared" si="1"/>
        <v>1703.1543515831254</v>
      </c>
      <c r="N12" s="35">
        <f t="shared" si="1"/>
        <v>1788.3120691622817</v>
      </c>
      <c r="O12" s="35">
        <f t="shared" si="1"/>
        <v>1877.7276726203959</v>
      </c>
      <c r="P12" s="35">
        <f t="shared" si="1"/>
        <v>1971.6140562514158</v>
      </c>
      <c r="Q12" s="35">
        <f t="shared" si="1"/>
        <v>2070.1947590639866</v>
      </c>
    </row>
    <row r="13" spans="2:17" x14ac:dyDescent="0.15">
      <c r="B13" s="38" t="s">
        <v>42</v>
      </c>
      <c r="C13" s="49">
        <f>'BS Input'!D68</f>
        <v>2480.4900000000002</v>
      </c>
      <c r="D13" s="49">
        <f>'BS Input'!E68</f>
        <v>2159.6400000000003</v>
      </c>
      <c r="E13" s="49">
        <f>'BS Input'!F68</f>
        <v>2163.06</v>
      </c>
      <c r="F13" s="49">
        <f>'BS Input'!G68</f>
        <v>1823.17</v>
      </c>
      <c r="G13" s="49">
        <f>'BS Input'!H68</f>
        <v>1675.48</v>
      </c>
      <c r="H13" s="35">
        <f t="shared" ref="H13:Q13" si="2">G13*1.05</f>
        <v>1759.2540000000001</v>
      </c>
      <c r="I13" s="35">
        <f t="shared" si="2"/>
        <v>1847.2167000000002</v>
      </c>
      <c r="J13" s="35">
        <f t="shared" si="2"/>
        <v>1939.5775350000004</v>
      </c>
      <c r="K13" s="35">
        <f t="shared" si="2"/>
        <v>2036.5564117500005</v>
      </c>
      <c r="L13" s="35">
        <f t="shared" si="2"/>
        <v>2138.3842323375006</v>
      </c>
      <c r="M13" s="35">
        <f t="shared" si="2"/>
        <v>2245.3034439543758</v>
      </c>
      <c r="N13" s="35">
        <f t="shared" si="2"/>
        <v>2357.5686161520948</v>
      </c>
      <c r="O13" s="35">
        <f t="shared" si="2"/>
        <v>2475.4470469596995</v>
      </c>
      <c r="P13" s="35">
        <f t="shared" si="2"/>
        <v>2599.2193993076844</v>
      </c>
      <c r="Q13" s="35">
        <f t="shared" si="2"/>
        <v>2729.1803692730687</v>
      </c>
    </row>
    <row r="14" spans="2:17" x14ac:dyDescent="0.15">
      <c r="B14" s="38"/>
      <c r="H14" s="34"/>
      <c r="I14" s="34"/>
      <c r="J14" s="34"/>
      <c r="K14" s="34"/>
      <c r="L14" s="34"/>
      <c r="M14" s="34"/>
      <c r="N14" s="34"/>
      <c r="O14" s="34"/>
      <c r="P14" s="34"/>
      <c r="Q14" s="34"/>
    </row>
    <row r="15" spans="2:17" s="4" customFormat="1" x14ac:dyDescent="0.15">
      <c r="B15" s="48" t="s">
        <v>89</v>
      </c>
      <c r="C15" s="46">
        <f>C11+C12-C13</f>
        <v>379.87999999999965</v>
      </c>
      <c r="D15" s="46">
        <f>D11+D12-D13</f>
        <v>561.10999999999967</v>
      </c>
      <c r="E15" s="46">
        <f t="shared" ref="E15:G15" si="3">E11+E12-E13</f>
        <v>1083.1100000000001</v>
      </c>
      <c r="F15" s="46">
        <f t="shared" si="3"/>
        <v>959.26000000000022</v>
      </c>
      <c r="G15" s="46">
        <f t="shared" si="3"/>
        <v>1130.81</v>
      </c>
      <c r="H15" s="51">
        <f>H11+H12-H13</f>
        <v>1187.3505000000002</v>
      </c>
      <c r="I15" s="51">
        <f t="shared" ref="I15:Q15" si="4">I11+I12-I13</f>
        <v>1246.7180249999999</v>
      </c>
      <c r="J15" s="51">
        <f t="shared" si="4"/>
        <v>1309.0539262500001</v>
      </c>
      <c r="K15" s="51">
        <f t="shared" si="4"/>
        <v>1374.5066225624998</v>
      </c>
      <c r="L15" s="51">
        <f t="shared" si="4"/>
        <v>1443.2319536906248</v>
      </c>
      <c r="M15" s="51">
        <f t="shared" si="4"/>
        <v>1515.3935513751562</v>
      </c>
      <c r="N15" s="51">
        <f t="shared" si="4"/>
        <v>1591.163228943914</v>
      </c>
      <c r="O15" s="51">
        <f t="shared" si="4"/>
        <v>1670.7213903911102</v>
      </c>
      <c r="P15" s="51">
        <f t="shared" si="4"/>
        <v>1754.2574599106656</v>
      </c>
      <c r="Q15" s="51">
        <f t="shared" si="4"/>
        <v>1841.970332906199</v>
      </c>
    </row>
    <row r="16" spans="2:17" s="42" customFormat="1" x14ac:dyDescent="0.15">
      <c r="B16" s="122"/>
      <c r="C16" s="60"/>
      <c r="D16" s="60"/>
      <c r="E16" s="60"/>
      <c r="F16" s="60"/>
      <c r="G16" s="60"/>
      <c r="H16" s="61"/>
      <c r="I16" s="61"/>
      <c r="J16" s="61"/>
      <c r="K16" s="61"/>
      <c r="L16" s="61"/>
      <c r="M16" s="61"/>
      <c r="N16" s="61"/>
      <c r="O16" s="61"/>
      <c r="P16" s="61"/>
      <c r="Q16" s="61"/>
    </row>
    <row r="17" spans="2:17" x14ac:dyDescent="0.15">
      <c r="B17" s="38"/>
      <c r="H17" s="34"/>
      <c r="I17" s="34"/>
      <c r="J17" s="34"/>
      <c r="K17" s="34"/>
      <c r="L17" s="34"/>
      <c r="M17" s="34"/>
      <c r="N17" s="34"/>
      <c r="O17" s="34"/>
      <c r="P17" s="34"/>
      <c r="Q17" s="34"/>
    </row>
    <row r="18" spans="2:17" x14ac:dyDescent="0.15">
      <c r="B18" s="123" t="s">
        <v>90</v>
      </c>
      <c r="C18" s="54">
        <f>C11/'P&amp;L Input'!C11*360</f>
        <v>42.035960770069018</v>
      </c>
      <c r="D18" s="54">
        <f>D11/'P&amp;L Input'!D11*360</f>
        <v>32.789233829799194</v>
      </c>
      <c r="E18" s="54">
        <f>E11/'P&amp;L Input'!E11*360</f>
        <v>32.735323585712543</v>
      </c>
      <c r="F18" s="54">
        <f>F11/'P&amp;L Input'!F11*360</f>
        <v>33.666402072098393</v>
      </c>
      <c r="G18" s="54">
        <f>G11/'P&amp;L Input'!G11*360</f>
        <v>39.211754164801491</v>
      </c>
      <c r="H18" s="53">
        <f>H11/'Income Statement'!H11*360</f>
        <v>38.165033790047211</v>
      </c>
      <c r="I18" s="53">
        <f>I11/'Income Statement'!I11*360</f>
        <v>37.046339469516418</v>
      </c>
      <c r="J18" s="53">
        <f>J11/'Income Statement'!J11*360</f>
        <v>35.860201424457635</v>
      </c>
      <c r="K18" s="53">
        <f>K11/'Income Statement'!K11*360</f>
        <v>34.61180300032099</v>
      </c>
      <c r="L18" s="53">
        <f>L11/'Income Statement'!L11*360</f>
        <v>33.306954885193072</v>
      </c>
      <c r="M18" s="53">
        <f>M11/'Income Statement'!M11*360</f>
        <v>31.952057632724998</v>
      </c>
      <c r="N18" s="53">
        <f>N11/'Income Statement'!N11*360</f>
        <v>30.554052154832817</v>
      </c>
      <c r="O18" s="53">
        <f>O11/'Income Statement'!O11*360</f>
        <v>29.120358135361951</v>
      </c>
      <c r="P18" s="53">
        <f>P11/'Income Statement'!P11*360</f>
        <v>27.658800644491603</v>
      </c>
      <c r="Q18" s="53">
        <f>Q11/'Income Statement'!Q11*360</f>
        <v>26.177525597881839</v>
      </c>
    </row>
    <row r="19" spans="2:17" x14ac:dyDescent="0.15">
      <c r="B19" s="123" t="s">
        <v>91</v>
      </c>
      <c r="C19" s="54">
        <f>C12/'Cost Buildup'!C21*360</f>
        <v>143.86889677310353</v>
      </c>
      <c r="D19" s="54">
        <f>D12/'Cost Buildup'!D21*360</f>
        <v>125.3392894093017</v>
      </c>
      <c r="E19" s="54">
        <f>E12/'Cost Buildup'!E21*360</f>
        <v>126.21146353387358</v>
      </c>
      <c r="F19" s="54">
        <f>F12/'Cost Buildup'!F21*360</f>
        <v>82.558755383952061</v>
      </c>
      <c r="G19" s="54">
        <f>G12/'Cost Buildup'!G21*360</f>
        <v>72.390740945841188</v>
      </c>
      <c r="H19" s="53">
        <f>H12/'Income Statement'!H20*360</f>
        <v>70.972353105968992</v>
      </c>
      <c r="I19" s="53">
        <f>I12/'Income Statement'!I20*360</f>
        <v>68.873057583307784</v>
      </c>
      <c r="J19" s="53">
        <f>J12/'Income Statement'!J20*360</f>
        <v>66.648461179172713</v>
      </c>
      <c r="K19" s="53">
        <f>K12/'Income Statement'!K20*360</f>
        <v>64.308496624978744</v>
      </c>
      <c r="L19" s="53">
        <f>L12/'Income Statement'!L20*360</f>
        <v>61.864258517553921</v>
      </c>
      <c r="M19" s="53">
        <f>M12/'Income Statement'!M20*360</f>
        <v>59.327926434652369</v>
      </c>
      <c r="N19" s="53">
        <f>N12/'Income Statement'!N20*360</f>
        <v>56.712665727189986</v>
      </c>
      <c r="O19" s="53">
        <f>O12/'Income Statement'!O20*360</f>
        <v>54.032506164161774</v>
      </c>
      <c r="P19" s="53">
        <f>P12/'Income Statement'!P20*360</f>
        <v>51.302199223965495</v>
      </c>
      <c r="Q19" s="53">
        <f>Q12/'Income Statement'!Q20*360</f>
        <v>48.537055496054819</v>
      </c>
    </row>
    <row r="20" spans="2:17" x14ac:dyDescent="0.15">
      <c r="B20" s="123" t="s">
        <v>92</v>
      </c>
      <c r="C20" s="54">
        <f>C13/'Cost Buildup'!C21*360</f>
        <v>209.53623922959957</v>
      </c>
      <c r="D20" s="54">
        <f>D13/'Cost Buildup'!D21*360</f>
        <v>157.72046204218753</v>
      </c>
      <c r="E20" s="54">
        <f>E13/'Cost Buildup'!E21*360</f>
        <v>128.17943437874996</v>
      </c>
      <c r="F20" s="54">
        <f>F13/'Cost Buildup'!F21*360</f>
        <v>97.920597243834294</v>
      </c>
      <c r="G20" s="54">
        <f>G13/'Cost Buildup'!G21*360</f>
        <v>95.434204072591498</v>
      </c>
      <c r="H20" s="53">
        <f>H13/'Income Statement'!H20*360</f>
        <v>93.564314183417466</v>
      </c>
      <c r="I20" s="53">
        <f>I13/'Income Statement'!I20*360</f>
        <v>90.796769678406605</v>
      </c>
      <c r="J20" s="53">
        <f>J13/'Income Statement'!J20*360</f>
        <v>87.864038441821904</v>
      </c>
      <c r="K20" s="53">
        <f>K13/'Income Statement'!K20*360</f>
        <v>84.77921499796949</v>
      </c>
      <c r="L20" s="53">
        <f>L13/'Income Statement'!L20*360</f>
        <v>81.556925582248496</v>
      </c>
      <c r="M20" s="53">
        <f>M13/'Income Statement'!M20*360</f>
        <v>78.213226782749004</v>
      </c>
      <c r="N20" s="53">
        <f>N13/'Income Statement'!N20*360</f>
        <v>74.765474752614097</v>
      </c>
      <c r="O20" s="53">
        <f>O13/'Income Statement'!O20*360</f>
        <v>71.232165225135958</v>
      </c>
      <c r="P20" s="53">
        <f>P13/'Income Statement'!P20*360</f>
        <v>67.632745377970068</v>
      </c>
      <c r="Q20" s="53">
        <f>Q13/'Income Statement'!Q20*360</f>
        <v>63.987399476387139</v>
      </c>
    </row>
    <row r="21" spans="2:17" x14ac:dyDescent="0.15">
      <c r="B21" s="38"/>
      <c r="H21" s="34"/>
      <c r="I21" s="34"/>
      <c r="J21" s="34"/>
      <c r="K21" s="34"/>
      <c r="L21" s="34"/>
      <c r="M21" s="34"/>
      <c r="N21" s="34"/>
      <c r="O21" s="34"/>
      <c r="P21" s="34"/>
      <c r="Q21" s="34"/>
    </row>
    <row r="22" spans="2:17" s="4" customFormat="1" ht="15" thickBot="1" x14ac:dyDescent="0.2">
      <c r="B22" s="48" t="s">
        <v>93</v>
      </c>
      <c r="C22" s="50">
        <f>C18+C19-C20</f>
        <v>-23.631381686427034</v>
      </c>
      <c r="D22" s="50">
        <f>D18+D19-D20</f>
        <v>0.40806119691336562</v>
      </c>
      <c r="E22" s="50">
        <f t="shared" ref="E22:Q22" si="5">E18+E19-E20</f>
        <v>30.767352740836174</v>
      </c>
      <c r="F22" s="50">
        <f t="shared" si="5"/>
        <v>18.30456021221616</v>
      </c>
      <c r="G22" s="50">
        <f t="shared" si="5"/>
        <v>16.16829103805118</v>
      </c>
      <c r="H22" s="52">
        <f t="shared" si="5"/>
        <v>15.573072712598744</v>
      </c>
      <c r="I22" s="52">
        <f t="shared" si="5"/>
        <v>15.12262737441759</v>
      </c>
      <c r="J22" s="52">
        <f t="shared" si="5"/>
        <v>14.644624161808437</v>
      </c>
      <c r="K22" s="52">
        <f t="shared" si="5"/>
        <v>14.141084627330244</v>
      </c>
      <c r="L22" s="52">
        <f t="shared" si="5"/>
        <v>13.61428782049849</v>
      </c>
      <c r="M22" s="52">
        <f t="shared" si="5"/>
        <v>13.066757284628366</v>
      </c>
      <c r="N22" s="52">
        <f t="shared" si="5"/>
        <v>12.501243129408707</v>
      </c>
      <c r="O22" s="52">
        <f t="shared" si="5"/>
        <v>11.92069907438777</v>
      </c>
      <c r="P22" s="52">
        <f t="shared" si="5"/>
        <v>11.328254490487026</v>
      </c>
      <c r="Q22" s="52">
        <f t="shared" si="5"/>
        <v>10.727181617549519</v>
      </c>
    </row>
    <row r="23" spans="2:17" ht="15" thickTop="1" x14ac:dyDescent="0.15"/>
    <row r="24" spans="2:17" x14ac:dyDescent="0.15">
      <c r="D24" s="45"/>
      <c r="E24" s="45"/>
      <c r="F24" s="45"/>
      <c r="G24" s="45"/>
      <c r="H24" s="45"/>
      <c r="I24" s="45"/>
      <c r="J24" s="45"/>
      <c r="K24" s="45"/>
      <c r="L24" s="45"/>
      <c r="M24" s="45"/>
      <c r="N24" s="45"/>
      <c r="O24" s="45"/>
      <c r="P24" s="45"/>
      <c r="Q24" s="45"/>
    </row>
    <row r="25" spans="2:17" x14ac:dyDescent="0.15">
      <c r="H25" s="45"/>
      <c r="I25" s="45"/>
      <c r="J25" s="45"/>
      <c r="K25" s="45"/>
      <c r="L25" s="45"/>
      <c r="M25" s="45"/>
      <c r="N25" s="45"/>
      <c r="O25" s="45"/>
      <c r="P25" s="45"/>
      <c r="Q25" s="45"/>
    </row>
    <row r="26" spans="2:17" x14ac:dyDescent="0.15">
      <c r="H26" s="45"/>
      <c r="I26" s="45"/>
      <c r="J26" s="45"/>
      <c r="K26" s="45"/>
      <c r="L26" s="45"/>
      <c r="M26" s="45"/>
      <c r="N26" s="45"/>
      <c r="O26" s="45"/>
      <c r="P26" s="45"/>
      <c r="Q26" s="45"/>
    </row>
  </sheetData>
  <mergeCells count="3">
    <mergeCell ref="B8:B9"/>
    <mergeCell ref="P6:Q6"/>
    <mergeCell ref="B7:Q7"/>
  </mergeCells>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rgb="FF92D050"/>
  </sheetPr>
  <dimension ref="B6:Q58"/>
  <sheetViews>
    <sheetView showGridLines="0" topLeftCell="A6" workbookViewId="0">
      <selection activeCell="C54" sqref="C54:G54"/>
    </sheetView>
  </sheetViews>
  <sheetFormatPr baseColWidth="10" defaultColWidth="8.83203125" defaultRowHeight="14" x14ac:dyDescent="0.15"/>
  <cols>
    <col min="1" max="1" width="5.5" style="2" customWidth="1"/>
    <col min="2" max="2" width="31.5" style="2" bestFit="1" customWidth="1"/>
    <col min="3" max="7" width="13.1640625" style="2" bestFit="1" customWidth="1"/>
    <col min="8" max="8" width="14.33203125" style="2" bestFit="1" customWidth="1"/>
    <col min="9" max="10" width="13.1640625" style="2" bestFit="1" customWidth="1"/>
    <col min="11" max="17" width="14.33203125" style="2" bestFit="1" customWidth="1"/>
    <col min="18" max="16384" width="8.83203125" style="2"/>
  </cols>
  <sheetData>
    <row r="6" spans="2:17" x14ac:dyDescent="0.15">
      <c r="B6" s="3"/>
      <c r="C6" s="3"/>
      <c r="F6" s="120"/>
      <c r="G6" s="120"/>
      <c r="P6" s="362" t="s">
        <v>76</v>
      </c>
      <c r="Q6" s="362"/>
    </row>
    <row r="7" spans="2:17" ht="16" x14ac:dyDescent="0.2">
      <c r="B7" s="363" t="s">
        <v>180</v>
      </c>
      <c r="C7" s="364"/>
      <c r="D7" s="364"/>
      <c r="E7" s="364"/>
      <c r="F7" s="364"/>
      <c r="G7" s="364"/>
      <c r="H7" s="364"/>
      <c r="I7" s="364"/>
      <c r="J7" s="364"/>
      <c r="K7" s="364"/>
      <c r="L7" s="364"/>
      <c r="M7" s="364"/>
      <c r="N7" s="364"/>
      <c r="O7" s="364"/>
      <c r="P7" s="364"/>
      <c r="Q7" s="365"/>
    </row>
    <row r="8" spans="2:17" x14ac:dyDescent="0.15">
      <c r="B8" s="389" t="s">
        <v>0</v>
      </c>
      <c r="C8" s="234">
        <v>2020</v>
      </c>
      <c r="D8" s="234">
        <v>2021</v>
      </c>
      <c r="E8" s="234">
        <v>2022</v>
      </c>
      <c r="F8" s="234">
        <v>2023</v>
      </c>
      <c r="G8" s="234">
        <v>2024</v>
      </c>
      <c r="H8" s="263">
        <v>2025</v>
      </c>
      <c r="I8" s="263">
        <v>2026</v>
      </c>
      <c r="J8" s="263">
        <v>2027</v>
      </c>
      <c r="K8" s="263">
        <v>2028</v>
      </c>
      <c r="L8" s="263">
        <v>2029</v>
      </c>
      <c r="M8" s="263">
        <v>2030</v>
      </c>
      <c r="N8" s="263">
        <v>2031</v>
      </c>
      <c r="O8" s="263">
        <v>2032</v>
      </c>
      <c r="P8" s="263">
        <v>2033</v>
      </c>
      <c r="Q8" s="263">
        <v>2034</v>
      </c>
    </row>
    <row r="9" spans="2:17" x14ac:dyDescent="0.15">
      <c r="B9" s="387"/>
      <c r="C9" s="13" t="s">
        <v>2</v>
      </c>
      <c r="D9" s="13" t="s">
        <v>2</v>
      </c>
      <c r="E9" s="13" t="s">
        <v>2</v>
      </c>
      <c r="F9" s="13" t="s">
        <v>2</v>
      </c>
      <c r="G9" s="13" t="s">
        <v>2</v>
      </c>
      <c r="H9" s="119" t="s">
        <v>60</v>
      </c>
      <c r="I9" s="119" t="s">
        <v>61</v>
      </c>
      <c r="J9" s="119" t="s">
        <v>61</v>
      </c>
      <c r="K9" s="119" t="s">
        <v>61</v>
      </c>
      <c r="L9" s="119" t="s">
        <v>61</v>
      </c>
      <c r="M9" s="119" t="s">
        <v>61</v>
      </c>
      <c r="N9" s="119" t="s">
        <v>61</v>
      </c>
      <c r="O9" s="119" t="s">
        <v>61</v>
      </c>
      <c r="P9" s="119" t="s">
        <v>61</v>
      </c>
      <c r="Q9" s="119" t="s">
        <v>61</v>
      </c>
    </row>
    <row r="10" spans="2:17" x14ac:dyDescent="0.15">
      <c r="B10" s="93"/>
      <c r="C10" s="24"/>
      <c r="D10" s="25"/>
      <c r="E10" s="25"/>
      <c r="F10" s="25"/>
      <c r="G10" s="25"/>
      <c r="H10" s="34"/>
      <c r="I10" s="34"/>
      <c r="J10" s="34"/>
      <c r="K10" s="34"/>
      <c r="L10" s="34"/>
      <c r="M10" s="34"/>
      <c r="N10" s="34"/>
      <c r="O10" s="34"/>
      <c r="P10" s="34"/>
      <c r="Q10" s="34"/>
    </row>
    <row r="11" spans="2:17" ht="15" x14ac:dyDescent="0.15">
      <c r="B11" s="39" t="s">
        <v>6</v>
      </c>
      <c r="C11" s="6">
        <f>'P&amp;L Input'!C11</f>
        <v>9910.7999999999993</v>
      </c>
      <c r="D11" s="6">
        <f>'P&amp;L Input'!D11</f>
        <v>11028.62</v>
      </c>
      <c r="E11" s="6">
        <f>'P&amp;L Input'!E11</f>
        <v>12276.5</v>
      </c>
      <c r="F11" s="6">
        <f>'P&amp;L Input'!F11</f>
        <v>13315.97</v>
      </c>
      <c r="G11" s="6">
        <f>'P&amp;L Input'!G11</f>
        <v>14096.11</v>
      </c>
      <c r="H11" s="36">
        <f>'Revenue Buildup'!H15</f>
        <v>15206.847796669594</v>
      </c>
      <c r="I11" s="36">
        <f>'Revenue Buildup'!I15</f>
        <v>16449.354017862825</v>
      </c>
      <c r="J11" s="36">
        <f>'Revenue Buildup'!J15</f>
        <v>17843.117027602631</v>
      </c>
      <c r="K11" s="36">
        <f>'Revenue Buildup'!K15</f>
        <v>19411.027480315584</v>
      </c>
      <c r="L11" s="36">
        <f>'Revenue Buildup'!L15</f>
        <v>21180.056675047068</v>
      </c>
      <c r="M11" s="36">
        <f>'Revenue Buildup'!M15</f>
        <v>23182.086119864551</v>
      </c>
      <c r="N11" s="36">
        <f>'Revenue Buildup'!N15</f>
        <v>25454.925434927056</v>
      </c>
      <c r="O11" s="36">
        <f>'Revenue Buildup'!O15</f>
        <v>28043.56565626416</v>
      </c>
      <c r="P11" s="36">
        <f>'Revenue Buildup'!P15</f>
        <v>31001.727807704712</v>
      </c>
      <c r="Q11" s="36">
        <f>'Revenue Buildup'!Q15</f>
        <v>34393.783176907782</v>
      </c>
    </row>
    <row r="12" spans="2:17" x14ac:dyDescent="0.15">
      <c r="B12" s="39"/>
      <c r="C12" s="9"/>
      <c r="D12" s="9"/>
      <c r="E12" s="9"/>
      <c r="F12" s="9"/>
      <c r="G12" s="9"/>
      <c r="H12" s="34"/>
      <c r="I12" s="34"/>
      <c r="J12" s="34"/>
      <c r="K12" s="34"/>
      <c r="L12" s="34"/>
      <c r="M12" s="34"/>
      <c r="N12" s="34"/>
      <c r="O12" s="34"/>
      <c r="P12" s="34"/>
      <c r="Q12" s="34"/>
    </row>
    <row r="13" spans="2:17" ht="15" x14ac:dyDescent="0.15">
      <c r="B13" s="111" t="s">
        <v>9</v>
      </c>
      <c r="C13" s="110">
        <f t="shared" ref="C13" si="0">SUM(C11:C12)</f>
        <v>9910.7999999999993</v>
      </c>
      <c r="D13" s="110">
        <f t="shared" ref="D13:Q13" si="1">SUM(D11:D12)</f>
        <v>11028.62</v>
      </c>
      <c r="E13" s="110">
        <f t="shared" si="1"/>
        <v>12276.5</v>
      </c>
      <c r="F13" s="110">
        <f t="shared" si="1"/>
        <v>13315.97</v>
      </c>
      <c r="G13" s="110">
        <f t="shared" si="1"/>
        <v>14096.11</v>
      </c>
      <c r="H13" s="110">
        <f t="shared" si="1"/>
        <v>15206.847796669594</v>
      </c>
      <c r="I13" s="110">
        <f t="shared" si="1"/>
        <v>16449.354017862825</v>
      </c>
      <c r="J13" s="110">
        <f t="shared" si="1"/>
        <v>17843.117027602631</v>
      </c>
      <c r="K13" s="110">
        <f t="shared" si="1"/>
        <v>19411.027480315584</v>
      </c>
      <c r="L13" s="110">
        <f t="shared" si="1"/>
        <v>21180.056675047068</v>
      </c>
      <c r="M13" s="110">
        <f t="shared" si="1"/>
        <v>23182.086119864551</v>
      </c>
      <c r="N13" s="110">
        <f t="shared" si="1"/>
        <v>25454.925434927056</v>
      </c>
      <c r="O13" s="110">
        <f t="shared" si="1"/>
        <v>28043.56565626416</v>
      </c>
      <c r="P13" s="110">
        <f t="shared" si="1"/>
        <v>31001.727807704712</v>
      </c>
      <c r="Q13" s="110">
        <f t="shared" si="1"/>
        <v>34393.783176907782</v>
      </c>
    </row>
    <row r="14" spans="2:17" x14ac:dyDescent="0.15">
      <c r="B14" s="39"/>
      <c r="C14" s="9"/>
      <c r="D14" s="9"/>
      <c r="E14" s="9"/>
      <c r="F14" s="9"/>
      <c r="G14" s="9"/>
      <c r="H14" s="34"/>
      <c r="I14" s="34"/>
      <c r="J14" s="34"/>
      <c r="K14" s="34"/>
      <c r="L14" s="34"/>
      <c r="M14" s="34"/>
      <c r="N14" s="34"/>
      <c r="O14" s="34"/>
      <c r="P14" s="34"/>
      <c r="Q14" s="34"/>
    </row>
    <row r="15" spans="2:17" ht="15" x14ac:dyDescent="0.15">
      <c r="B15" s="94" t="s">
        <v>8</v>
      </c>
      <c r="C15" s="8"/>
      <c r="D15" s="8"/>
      <c r="E15" s="8"/>
      <c r="F15" s="8"/>
      <c r="G15" s="8"/>
      <c r="H15" s="44"/>
      <c r="I15" s="34"/>
      <c r="J15" s="34"/>
      <c r="K15" s="34"/>
      <c r="L15" s="34"/>
      <c r="M15" s="34"/>
      <c r="N15" s="34"/>
      <c r="O15" s="34"/>
      <c r="P15" s="34"/>
      <c r="Q15" s="34"/>
    </row>
    <row r="16" spans="2:17" ht="15" x14ac:dyDescent="0.15">
      <c r="B16" s="39" t="s">
        <v>235</v>
      </c>
      <c r="C16" s="6">
        <f>'P&amp;L Input'!C16</f>
        <v>4121.75</v>
      </c>
      <c r="D16" s="6">
        <f>'P&amp;L Input'!D16</f>
        <v>4606.76</v>
      </c>
      <c r="E16" s="6">
        <f>'P&amp;L Input'!E16</f>
        <v>5782.98</v>
      </c>
      <c r="F16" s="6">
        <f>'P&amp;L Input'!F16</f>
        <v>6184.67</v>
      </c>
      <c r="G16" s="6">
        <f>'P&amp;L Input'!G16</f>
        <v>5677.89</v>
      </c>
      <c r="H16" s="36">
        <f>'Cost Buildup'!H13</f>
        <v>6125.2933636465887</v>
      </c>
      <c r="I16" s="36">
        <f>'Cost Buildup'!I13</f>
        <v>6625.7728326810129</v>
      </c>
      <c r="J16" s="36">
        <f>'Cost Buildup'!J13</f>
        <v>7187.1782881840945</v>
      </c>
      <c r="K16" s="36">
        <f>'Cost Buildup'!K13</f>
        <v>7818.7300482338069</v>
      </c>
      <c r="L16" s="36">
        <f>'Cost Buildup'!L13</f>
        <v>8531.2921078711079</v>
      </c>
      <c r="M16" s="36">
        <f>'Cost Buildup'!M13</f>
        <v>9337.7062862816565</v>
      </c>
      <c r="N16" s="36">
        <f>'Cost Buildup'!N13</f>
        <v>10253.202236483539</v>
      </c>
      <c r="O16" s="36">
        <f>'Cost Buildup'!O13</f>
        <v>11295.902274034872</v>
      </c>
      <c r="P16" s="36">
        <f>'Cost Buildup'!P13</f>
        <v>12487.445139268104</v>
      </c>
      <c r="Q16" s="36">
        <f>'Cost Buildup'!Q13</f>
        <v>13853.759481327324</v>
      </c>
    </row>
    <row r="17" spans="2:17" ht="15" x14ac:dyDescent="0.15">
      <c r="B17" s="39" t="s">
        <v>236</v>
      </c>
      <c r="C17" s="6">
        <f>'P&amp;L Input'!C17</f>
        <v>313.08</v>
      </c>
      <c r="D17" s="6">
        <f>'P&amp;L Input'!D17</f>
        <v>365.01</v>
      </c>
      <c r="E17" s="6">
        <f>'P&amp;L Input'!E17</f>
        <v>353.65</v>
      </c>
      <c r="F17" s="6">
        <f>'P&amp;L Input'!F17</f>
        <v>305.18</v>
      </c>
      <c r="G17" s="6">
        <f>'P&amp;L Input'!G17</f>
        <v>655.54</v>
      </c>
      <c r="H17" s="36">
        <f>'Cost Buildup'!H16</f>
        <v>707.19489310375593</v>
      </c>
      <c r="I17" s="36">
        <f>'Cost Buildup'!I16</f>
        <v>764.97768057072449</v>
      </c>
      <c r="J17" s="36">
        <f>'Cost Buildup'!J16</f>
        <v>829.79466932895866</v>
      </c>
      <c r="K17" s="36">
        <f>'Cost Buildup'!K16</f>
        <v>902.710389919352</v>
      </c>
      <c r="L17" s="36">
        <f>'Cost Buildup'!L16</f>
        <v>984.97914337787904</v>
      </c>
      <c r="M17" s="36">
        <f>'Cost Buildup'!M16</f>
        <v>1078.0835801519715</v>
      </c>
      <c r="N17" s="36">
        <f>'Cost Buildup'!N16</f>
        <v>1183.7820377119701</v>
      </c>
      <c r="O17" s="36">
        <f>'Cost Buildup'!O16</f>
        <v>1304.1668254793276</v>
      </c>
      <c r="P17" s="36">
        <f>'Cost Buildup'!P16</f>
        <v>1441.7362412085849</v>
      </c>
      <c r="Q17" s="36">
        <f>'Cost Buildup'!Q16</f>
        <v>1599.4838734792879</v>
      </c>
    </row>
    <row r="18" spans="2:17" ht="15" x14ac:dyDescent="0.15">
      <c r="B18" s="39" t="s">
        <v>45</v>
      </c>
      <c r="C18" s="21">
        <f>'P&amp;L Input'!C18</f>
        <v>-173.15</v>
      </c>
      <c r="D18" s="21">
        <f>'P&amp;L Input'!D18</f>
        <v>-42.35</v>
      </c>
      <c r="E18" s="21">
        <f>'P&amp;L Input'!E18</f>
        <v>-61.54</v>
      </c>
      <c r="F18" s="21">
        <f>'P&amp;L Input'!F18</f>
        <v>212.94</v>
      </c>
      <c r="G18" s="21">
        <f>'P&amp;L Input'!G18</f>
        <v>-13.13</v>
      </c>
      <c r="H18" s="80">
        <f>'Cost Buildup'!H19</f>
        <v>-63.546000000000049</v>
      </c>
      <c r="I18" s="80">
        <f>'Cost Buildup'!I19</f>
        <v>-66.723300000000108</v>
      </c>
      <c r="J18" s="80">
        <f>'Cost Buildup'!J19</f>
        <v>-70.059465000000046</v>
      </c>
      <c r="K18" s="80">
        <f>'Cost Buildup'!K19</f>
        <v>-73.562438250000014</v>
      </c>
      <c r="L18" s="80">
        <f>'Cost Buildup'!L19</f>
        <v>-77.24056016250006</v>
      </c>
      <c r="M18" s="80">
        <f>'Cost Buildup'!M19</f>
        <v>-81.10258817062504</v>
      </c>
      <c r="N18" s="80">
        <f>'Cost Buildup'!N19</f>
        <v>-85.157717579156269</v>
      </c>
      <c r="O18" s="80">
        <f>'Cost Buildup'!O19</f>
        <v>-89.415603458114219</v>
      </c>
      <c r="P18" s="80">
        <f>'Cost Buildup'!P19</f>
        <v>-93.886383631019953</v>
      </c>
      <c r="Q18" s="80">
        <f>'Cost Buildup'!Q19</f>
        <v>-98.580702812570735</v>
      </c>
    </row>
    <row r="19" spans="2:17" x14ac:dyDescent="0.15">
      <c r="B19" s="39"/>
      <c r="C19" s="6"/>
      <c r="D19" s="6"/>
      <c r="E19" s="6"/>
      <c r="F19" s="6"/>
      <c r="G19" s="6"/>
      <c r="H19" s="80"/>
      <c r="I19" s="80"/>
      <c r="J19" s="80"/>
      <c r="K19" s="80"/>
      <c r="L19" s="80"/>
      <c r="M19" s="80"/>
      <c r="N19" s="80"/>
      <c r="O19" s="80"/>
      <c r="P19" s="80"/>
      <c r="Q19" s="80"/>
    </row>
    <row r="20" spans="2:17" s="4" customFormat="1" ht="15" x14ac:dyDescent="0.15">
      <c r="B20" s="111" t="s">
        <v>94</v>
      </c>
      <c r="C20" s="110">
        <f t="shared" ref="C20:Q20" si="2">SUM(C16:C19)</f>
        <v>4261.68</v>
      </c>
      <c r="D20" s="110">
        <f t="shared" si="2"/>
        <v>4929.42</v>
      </c>
      <c r="E20" s="110">
        <f t="shared" si="2"/>
        <v>6075.0899999999992</v>
      </c>
      <c r="F20" s="110">
        <f t="shared" si="2"/>
        <v>6702.79</v>
      </c>
      <c r="G20" s="110">
        <f t="shared" si="2"/>
        <v>6320.3</v>
      </c>
      <c r="H20" s="110">
        <f t="shared" si="2"/>
        <v>6768.9422567503443</v>
      </c>
      <c r="I20" s="110">
        <f t="shared" si="2"/>
        <v>7324.0272132517366</v>
      </c>
      <c r="J20" s="110">
        <f t="shared" si="2"/>
        <v>7946.9134925130529</v>
      </c>
      <c r="K20" s="110">
        <f t="shared" si="2"/>
        <v>8647.8779999031576</v>
      </c>
      <c r="L20" s="110">
        <f t="shared" si="2"/>
        <v>9439.0306910864874</v>
      </c>
      <c r="M20" s="110">
        <f t="shared" si="2"/>
        <v>10334.687278263003</v>
      </c>
      <c r="N20" s="110">
        <f t="shared" si="2"/>
        <v>11351.826556616354</v>
      </c>
      <c r="O20" s="110">
        <f t="shared" si="2"/>
        <v>12510.653496056086</v>
      </c>
      <c r="P20" s="110">
        <f t="shared" si="2"/>
        <v>13835.294996845671</v>
      </c>
      <c r="Q20" s="110">
        <f t="shared" si="2"/>
        <v>15354.662651994042</v>
      </c>
    </row>
    <row r="21" spans="2:17" x14ac:dyDescent="0.15">
      <c r="B21" s="39"/>
      <c r="C21" s="6"/>
      <c r="D21" s="6"/>
      <c r="E21" s="6"/>
      <c r="F21" s="6"/>
      <c r="G21" s="6"/>
      <c r="H21" s="80"/>
      <c r="I21" s="80"/>
      <c r="J21" s="80"/>
      <c r="K21" s="80"/>
      <c r="L21" s="80"/>
      <c r="M21" s="80"/>
      <c r="N21" s="80"/>
      <c r="O21" s="80"/>
      <c r="P21" s="80"/>
      <c r="Q21" s="80"/>
    </row>
    <row r="22" spans="2:17" s="4" customFormat="1" ht="15" x14ac:dyDescent="0.15">
      <c r="B22" s="94" t="s">
        <v>275</v>
      </c>
      <c r="C22" s="8">
        <f t="shared" ref="C22:Q22" si="3">C13-C20</f>
        <v>5649.119999999999</v>
      </c>
      <c r="D22" s="8">
        <f t="shared" si="3"/>
        <v>6099.2000000000007</v>
      </c>
      <c r="E22" s="8">
        <f t="shared" si="3"/>
        <v>6201.4100000000008</v>
      </c>
      <c r="F22" s="8">
        <f t="shared" si="3"/>
        <v>6613.1799999999994</v>
      </c>
      <c r="G22" s="8">
        <f t="shared" si="3"/>
        <v>7775.81</v>
      </c>
      <c r="H22" s="206">
        <f t="shared" si="3"/>
        <v>8437.9055399192493</v>
      </c>
      <c r="I22" s="206">
        <f t="shared" si="3"/>
        <v>9125.3268046110879</v>
      </c>
      <c r="J22" s="206">
        <f t="shared" si="3"/>
        <v>9896.2035350895785</v>
      </c>
      <c r="K22" s="206">
        <f t="shared" si="3"/>
        <v>10763.149480412427</v>
      </c>
      <c r="L22" s="206">
        <f t="shared" si="3"/>
        <v>11741.025983960581</v>
      </c>
      <c r="M22" s="206">
        <f t="shared" si="3"/>
        <v>12847.398841601547</v>
      </c>
      <c r="N22" s="206">
        <f t="shared" si="3"/>
        <v>14103.098878310702</v>
      </c>
      <c r="O22" s="206">
        <f t="shared" si="3"/>
        <v>15532.912160208074</v>
      </c>
      <c r="P22" s="206">
        <f t="shared" si="3"/>
        <v>17166.432810859042</v>
      </c>
      <c r="Q22" s="206">
        <f t="shared" si="3"/>
        <v>19039.120524913742</v>
      </c>
    </row>
    <row r="23" spans="2:17" x14ac:dyDescent="0.15">
      <c r="B23" s="39"/>
      <c r="C23" s="6"/>
      <c r="D23" s="6"/>
      <c r="E23" s="6"/>
      <c r="F23" s="6"/>
      <c r="G23" s="6"/>
      <c r="H23" s="80"/>
      <c r="I23" s="80"/>
      <c r="J23" s="80"/>
      <c r="K23" s="80"/>
      <c r="L23" s="80"/>
      <c r="M23" s="80"/>
      <c r="N23" s="80"/>
      <c r="O23" s="80"/>
      <c r="P23" s="80"/>
      <c r="Q23" s="80"/>
    </row>
    <row r="24" spans="2:17" ht="15" x14ac:dyDescent="0.15">
      <c r="B24" s="39" t="s">
        <v>10</v>
      </c>
      <c r="C24" s="6">
        <f>'P&amp;L Input'!C19</f>
        <v>1018.82</v>
      </c>
      <c r="D24" s="6">
        <f>'P&amp;L Input'!D19</f>
        <v>1123.3399999999999</v>
      </c>
      <c r="E24" s="6">
        <f>'P&amp;L Input'!E19</f>
        <v>1104.1400000000001</v>
      </c>
      <c r="F24" s="6">
        <f>'P&amp;L Input'!F19</f>
        <v>1111.48</v>
      </c>
      <c r="G24" s="6">
        <f>'P&amp;L Input'!G19</f>
        <v>1249.3399999999999</v>
      </c>
      <c r="H24" s="36">
        <f>'Cost Buildup'!H25</f>
        <v>1347.7848304455051</v>
      </c>
      <c r="I24" s="36">
        <f>'Cost Buildup'!I25</f>
        <v>1457.908312908791</v>
      </c>
      <c r="J24" s="36">
        <f>'Cost Buildup'!J25</f>
        <v>1581.4377035412656</v>
      </c>
      <c r="K24" s="36">
        <f>'Cost Buildup'!K25</f>
        <v>1720.4018039201928</v>
      </c>
      <c r="L24" s="36">
        <f>'Cost Buildup'!L25</f>
        <v>1877.1910836679979</v>
      </c>
      <c r="M24" s="36">
        <f>'Cost Buildup'!M25</f>
        <v>2054.6312048495347</v>
      </c>
      <c r="N24" s="36">
        <f>'Cost Buildup'!N25</f>
        <v>2256.0732388489992</v>
      </c>
      <c r="O24" s="36">
        <f>'Cost Buildup'!O25</f>
        <v>2485.5047468412959</v>
      </c>
      <c r="P24" s="36">
        <f>'Cost Buildup'!P25</f>
        <v>2747.6870299166085</v>
      </c>
      <c r="Q24" s="36">
        <f>'Cost Buildup'!Q25</f>
        <v>3048.3253233862365</v>
      </c>
    </row>
    <row r="25" spans="2:17" ht="15" x14ac:dyDescent="0.15">
      <c r="B25" s="39" t="s">
        <v>13</v>
      </c>
      <c r="C25" s="6">
        <f>'P&amp;L Input'!C20</f>
        <v>2487.27</v>
      </c>
      <c r="D25" s="6">
        <f>'P&amp;L Input'!D20</f>
        <v>2587.61</v>
      </c>
      <c r="E25" s="6">
        <f>'P&amp;L Input'!E20</f>
        <v>2702.16</v>
      </c>
      <c r="F25" s="6">
        <f>'P&amp;L Input'!F20</f>
        <v>3071.24</v>
      </c>
      <c r="G25" s="6">
        <f>'P&amp;L Input'!G20</f>
        <v>3583</v>
      </c>
      <c r="H25" s="36">
        <f>'Cost Buildup'!H28</f>
        <v>3865.3313329327843</v>
      </c>
      <c r="I25" s="36">
        <f>'Cost Buildup'!I28</f>
        <v>4181.156038510092</v>
      </c>
      <c r="J25" s="36">
        <f>'Cost Buildup'!J28</f>
        <v>4535.4277392770218</v>
      </c>
      <c r="K25" s="36">
        <f>'Cost Buildup'!K28</f>
        <v>4933.9648642051416</v>
      </c>
      <c r="L25" s="36">
        <f>'Cost Buildup'!L28</f>
        <v>5383.6230752096599</v>
      </c>
      <c r="M25" s="36">
        <f>'Cost Buildup'!M28</f>
        <v>5892.5061288167217</v>
      </c>
      <c r="N25" s="36">
        <f>'Cost Buildup'!N28</f>
        <v>6470.2246104310789</v>
      </c>
      <c r="O25" s="36">
        <f>'Cost Buildup'!O28</f>
        <v>7128.2145036037937</v>
      </c>
      <c r="P25" s="36">
        <f>'Cost Buildup'!P28</f>
        <v>7880.1308116215023</v>
      </c>
      <c r="Q25" s="36">
        <f>'Cost Buildup'!Q28</f>
        <v>8742.3356601828855</v>
      </c>
    </row>
    <row r="26" spans="2:17" x14ac:dyDescent="0.15">
      <c r="B26" s="39"/>
      <c r="C26" s="9"/>
      <c r="D26" s="9"/>
      <c r="E26" s="9"/>
      <c r="F26" s="9"/>
      <c r="G26" s="9"/>
      <c r="H26" s="34"/>
      <c r="I26" s="34"/>
      <c r="J26" s="34"/>
      <c r="K26" s="34"/>
      <c r="L26" s="34"/>
      <c r="M26" s="34"/>
      <c r="N26" s="34"/>
      <c r="O26" s="34"/>
      <c r="P26" s="34"/>
      <c r="Q26" s="34"/>
    </row>
    <row r="27" spans="2:17" ht="15" x14ac:dyDescent="0.15">
      <c r="B27" s="94" t="s">
        <v>15</v>
      </c>
      <c r="C27" s="8">
        <f>C22-C24-C25</f>
        <v>2143.0299999999993</v>
      </c>
      <c r="D27" s="8">
        <f>D22-D24-D25</f>
        <v>2388.2500000000005</v>
      </c>
      <c r="E27" s="8">
        <f t="shared" ref="E27:Q27" si="4">E22-E24-E25</f>
        <v>2395.1100000000006</v>
      </c>
      <c r="F27" s="8">
        <f t="shared" si="4"/>
        <v>2430.4599999999991</v>
      </c>
      <c r="G27" s="71">
        <f t="shared" si="4"/>
        <v>2943.4700000000003</v>
      </c>
      <c r="H27" s="44">
        <f t="shared" si="4"/>
        <v>3224.7893765409594</v>
      </c>
      <c r="I27" s="44">
        <f t="shared" si="4"/>
        <v>3486.2624531922047</v>
      </c>
      <c r="J27" s="44">
        <f t="shared" si="4"/>
        <v>3779.3380922712913</v>
      </c>
      <c r="K27" s="44">
        <f t="shared" si="4"/>
        <v>4108.7828122870924</v>
      </c>
      <c r="L27" s="44">
        <f t="shared" si="4"/>
        <v>4480.2118250829226</v>
      </c>
      <c r="M27" s="44">
        <f t="shared" si="4"/>
        <v>4900.2615079352909</v>
      </c>
      <c r="N27" s="44">
        <f t="shared" si="4"/>
        <v>5376.8010290306238</v>
      </c>
      <c r="O27" s="44">
        <f t="shared" si="4"/>
        <v>5919.1929097629845</v>
      </c>
      <c r="P27" s="44">
        <f t="shared" si="4"/>
        <v>6538.6149693209318</v>
      </c>
      <c r="Q27" s="44">
        <f t="shared" si="4"/>
        <v>7248.4595413446204</v>
      </c>
    </row>
    <row r="28" spans="2:17" x14ac:dyDescent="0.15">
      <c r="B28" s="39"/>
      <c r="C28" s="9"/>
      <c r="D28" s="9"/>
      <c r="E28" s="9"/>
      <c r="F28" s="9"/>
      <c r="G28" s="9"/>
      <c r="H28" s="34"/>
      <c r="I28" s="34"/>
      <c r="J28" s="34"/>
      <c r="K28" s="34"/>
      <c r="L28" s="34"/>
      <c r="M28" s="34"/>
      <c r="N28" s="34"/>
      <c r="O28" s="34"/>
      <c r="P28" s="34"/>
      <c r="Q28" s="34"/>
    </row>
    <row r="29" spans="2:17" ht="15" x14ac:dyDescent="0.15">
      <c r="B29" s="39" t="s">
        <v>12</v>
      </c>
      <c r="C29" s="6">
        <f>'P&amp;L Input'!C26</f>
        <v>197.28</v>
      </c>
      <c r="D29" s="6">
        <f>'P&amp;L Input'!D26</f>
        <v>203.85</v>
      </c>
      <c r="E29" s="6">
        <f>'P&amp;L Input'!E26</f>
        <v>209.93</v>
      </c>
      <c r="F29" s="6">
        <f>'P&amp;L Input'!F26</f>
        <v>236.29</v>
      </c>
      <c r="G29" s="6">
        <f>'P&amp;L Input'!G26</f>
        <v>240.96</v>
      </c>
      <c r="H29" s="36">
        <f ca="1">FAS!H274</f>
        <v>144.85799999999998</v>
      </c>
      <c r="I29" s="36">
        <f ca="1">FAS!I274</f>
        <v>145.58229</v>
      </c>
      <c r="J29" s="36">
        <f ca="1">FAS!J274</f>
        <v>146.31020144999999</v>
      </c>
      <c r="K29" s="36">
        <f ca="1">FAS!K274</f>
        <v>147.04175245724991</v>
      </c>
      <c r="L29" s="36">
        <f ca="1">FAS!L274</f>
        <v>147.77696121953625</v>
      </c>
      <c r="M29" s="36">
        <f ca="1">FAS!M274</f>
        <v>148.51584602563389</v>
      </c>
      <c r="N29" s="36">
        <f ca="1">FAS!N274</f>
        <v>149.25842525576201</v>
      </c>
      <c r="O29" s="36">
        <f ca="1">FAS!O274</f>
        <v>150.00471738204084</v>
      </c>
      <c r="P29" s="36">
        <f ca="1">FAS!P274</f>
        <v>150.75474096895098</v>
      </c>
      <c r="Q29" s="36">
        <f ca="1">FAS!Q274</f>
        <v>151.3985146737958</v>
      </c>
    </row>
    <row r="30" spans="2:17" x14ac:dyDescent="0.15">
      <c r="B30" s="39"/>
      <c r="C30" s="9"/>
      <c r="D30" s="9"/>
      <c r="E30" s="9"/>
      <c r="F30" s="9"/>
      <c r="G30" s="9"/>
      <c r="H30" s="34"/>
      <c r="I30" s="34"/>
      <c r="J30" s="34"/>
      <c r="K30" s="34"/>
      <c r="L30" s="34"/>
      <c r="M30" s="34"/>
      <c r="N30" s="34"/>
      <c r="O30" s="34"/>
      <c r="P30" s="34"/>
      <c r="Q30" s="34"/>
    </row>
    <row r="31" spans="2:17" ht="15" x14ac:dyDescent="0.15">
      <c r="B31" s="94" t="s">
        <v>16</v>
      </c>
      <c r="C31" s="8">
        <f>C27-C29</f>
        <v>1945.7499999999993</v>
      </c>
      <c r="D31" s="8">
        <f>D27-D29</f>
        <v>2184.4000000000005</v>
      </c>
      <c r="E31" s="8">
        <f t="shared" ref="E31:Q31" si="5">E27-E29</f>
        <v>2185.1800000000007</v>
      </c>
      <c r="F31" s="8">
        <f t="shared" si="5"/>
        <v>2194.1699999999992</v>
      </c>
      <c r="G31" s="71">
        <f t="shared" si="5"/>
        <v>2702.51</v>
      </c>
      <c r="H31" s="44">
        <f t="shared" ca="1" si="5"/>
        <v>3079.9313765409593</v>
      </c>
      <c r="I31" s="44">
        <f t="shared" ca="1" si="5"/>
        <v>3340.6801631922049</v>
      </c>
      <c r="J31" s="44">
        <f t="shared" ca="1" si="5"/>
        <v>3633.0278908212913</v>
      </c>
      <c r="K31" s="44">
        <f t="shared" ca="1" si="5"/>
        <v>3961.7410598298425</v>
      </c>
      <c r="L31" s="44">
        <f t="shared" ca="1" si="5"/>
        <v>4332.4348638633865</v>
      </c>
      <c r="M31" s="44">
        <f t="shared" ca="1" si="5"/>
        <v>4751.7456619096574</v>
      </c>
      <c r="N31" s="44">
        <f t="shared" ca="1" si="5"/>
        <v>5227.5426037748621</v>
      </c>
      <c r="O31" s="44">
        <f t="shared" ca="1" si="5"/>
        <v>5769.1881923809433</v>
      </c>
      <c r="P31" s="44">
        <f t="shared" ca="1" si="5"/>
        <v>6387.8602283519804</v>
      </c>
      <c r="Q31" s="44">
        <f t="shared" ca="1" si="5"/>
        <v>7097.0610266708245</v>
      </c>
    </row>
    <row r="32" spans="2:17" x14ac:dyDescent="0.15">
      <c r="B32" s="39"/>
      <c r="C32" s="9"/>
      <c r="D32" s="9"/>
      <c r="E32" s="9"/>
      <c r="F32" s="9"/>
      <c r="G32" s="9"/>
      <c r="H32" s="34"/>
      <c r="I32" s="34"/>
      <c r="J32" s="34"/>
      <c r="K32" s="34"/>
      <c r="L32" s="34"/>
      <c r="M32" s="34"/>
      <c r="N32" s="34"/>
      <c r="O32" s="34"/>
      <c r="P32" s="34"/>
      <c r="Q32" s="34"/>
    </row>
    <row r="33" spans="2:17" ht="15" x14ac:dyDescent="0.15">
      <c r="B33" s="39" t="s">
        <v>7</v>
      </c>
      <c r="C33" s="174">
        <f>'P&amp;L Input'!C30</f>
        <v>112.3</v>
      </c>
      <c r="D33" s="174">
        <f>'P&amp;L Input'!D30</f>
        <v>67.069999999999993</v>
      </c>
      <c r="E33" s="174">
        <f>'P&amp;L Input'!E30</f>
        <v>89.71</v>
      </c>
      <c r="F33" s="174">
        <f>'P&amp;L Input'!F30</f>
        <v>168.41</v>
      </c>
      <c r="G33" s="174">
        <f>'P&amp;L Input'!G30</f>
        <v>268.95</v>
      </c>
      <c r="H33" s="36">
        <f>'Revenue Buildup'!H18</f>
        <v>290.12044632189799</v>
      </c>
      <c r="I33" s="36">
        <f>'Revenue Buildup'!I18</f>
        <v>313.8253235107959</v>
      </c>
      <c r="J33" s="36">
        <f>'Revenue Buildup'!J18</f>
        <v>340.41591952775758</v>
      </c>
      <c r="K33" s="36">
        <f>'Revenue Buildup'!K18</f>
        <v>370.32894860624111</v>
      </c>
      <c r="L33" s="36">
        <f>'Revenue Buildup'!L18</f>
        <v>404.07897664586994</v>
      </c>
      <c r="M33" s="36">
        <f>'Revenue Buildup'!M18</f>
        <v>442.27424787145782</v>
      </c>
      <c r="N33" s="36">
        <f>'Revenue Buildup'!N18</f>
        <v>485.63610466917652</v>
      </c>
      <c r="O33" s="36">
        <f>'Revenue Buildup'!O18</f>
        <v>535.02289846253689</v>
      </c>
      <c r="P33" s="36">
        <f>'Revenue Buildup'!P18</f>
        <v>591.45953379576065</v>
      </c>
      <c r="Q33" s="36">
        <f>'Revenue Buildup'!Q18</f>
        <v>656.17410389077475</v>
      </c>
    </row>
    <row r="34" spans="2:17" x14ac:dyDescent="0.15">
      <c r="B34" s="39"/>
      <c r="C34" s="9"/>
      <c r="D34" s="9"/>
      <c r="E34" s="9"/>
      <c r="F34" s="9"/>
      <c r="G34" s="9"/>
      <c r="H34" s="34"/>
      <c r="I34" s="34"/>
      <c r="J34" s="34"/>
      <c r="K34" s="34"/>
      <c r="L34" s="34"/>
      <c r="M34" s="34"/>
      <c r="N34" s="34"/>
      <c r="O34" s="34"/>
      <c r="P34" s="34"/>
      <c r="Q34" s="34"/>
    </row>
    <row r="35" spans="2:17" ht="15" x14ac:dyDescent="0.15">
      <c r="B35" s="39" t="s">
        <v>11</v>
      </c>
      <c r="C35" s="6">
        <f>'P&amp;L Input'!C32</f>
        <v>217.41</v>
      </c>
      <c r="D35" s="6">
        <f>'P&amp;L Input'!D32</f>
        <v>126.63</v>
      </c>
      <c r="E35" s="6">
        <f>'P&amp;L Input'!E32</f>
        <v>110.16</v>
      </c>
      <c r="F35" s="6">
        <f>'P&amp;L Input'!F32</f>
        <v>175.74</v>
      </c>
      <c r="G35" s="6">
        <f>'P&amp;L Input'!G32</f>
        <v>296.37</v>
      </c>
      <c r="H35" s="36">
        <f>'Cost Buildup'!H31</f>
        <v>201.07483958165233</v>
      </c>
      <c r="I35" s="36">
        <f>'Cost Buildup'!I31</f>
        <v>219.30823617296411</v>
      </c>
      <c r="J35" s="36">
        <f>'Cost Buildup'!J31</f>
        <v>232.09668740884771</v>
      </c>
      <c r="K35" s="36">
        <f>'Cost Buildup'!K31</f>
        <v>245.86156325250678</v>
      </c>
      <c r="L35" s="36">
        <f>'Cost Buildup'!L31</f>
        <v>260.70963870286175</v>
      </c>
      <c r="M35" s="36">
        <f>'Cost Buildup'!M31</f>
        <v>275.62307922755554</v>
      </c>
      <c r="N35" s="36">
        <f>'Cost Buildup'!N31</f>
        <v>291.69504099868135</v>
      </c>
      <c r="O35" s="36">
        <f>'Cost Buildup'!O31</f>
        <v>309.05492473768618</v>
      </c>
      <c r="P35" s="36">
        <f>'Cost Buildup'!P31</f>
        <v>327.85258971497183</v>
      </c>
      <c r="Q35" s="36">
        <f>'Cost Buildup'!Q31</f>
        <v>357.50554663418245</v>
      </c>
    </row>
    <row r="36" spans="2:17" x14ac:dyDescent="0.15">
      <c r="B36" s="39"/>
      <c r="C36" s="6"/>
      <c r="D36" s="6"/>
      <c r="E36" s="6"/>
      <c r="F36" s="6"/>
      <c r="G36" s="6"/>
      <c r="H36" s="36"/>
      <c r="I36" s="36"/>
      <c r="J36" s="36"/>
      <c r="K36" s="36"/>
      <c r="L36" s="36"/>
      <c r="M36" s="36"/>
      <c r="N36" s="36"/>
      <c r="O36" s="36"/>
      <c r="P36" s="36"/>
      <c r="Q36" s="36"/>
    </row>
    <row r="37" spans="2:17" s="132" customFormat="1" ht="30" x14ac:dyDescent="0.2">
      <c r="B37" s="199" t="s">
        <v>268</v>
      </c>
      <c r="C37" s="200">
        <f>C31+C33-C35</f>
        <v>1840.6399999999992</v>
      </c>
      <c r="D37" s="200">
        <f>D31+D33-D35</f>
        <v>2124.8400000000006</v>
      </c>
      <c r="E37" s="200">
        <f t="shared" ref="E37:Q37" si="6">E31+E33-E35</f>
        <v>2164.7300000000009</v>
      </c>
      <c r="F37" s="200">
        <f t="shared" si="6"/>
        <v>2186.8399999999992</v>
      </c>
      <c r="G37" s="202">
        <f t="shared" si="6"/>
        <v>2675.09</v>
      </c>
      <c r="H37" s="203">
        <f t="shared" ca="1" si="6"/>
        <v>3168.9769832812049</v>
      </c>
      <c r="I37" s="203">
        <f t="shared" ca="1" si="6"/>
        <v>3435.1972505300369</v>
      </c>
      <c r="J37" s="203">
        <f t="shared" ca="1" si="6"/>
        <v>3741.3471229402012</v>
      </c>
      <c r="K37" s="203">
        <f t="shared" ca="1" si="6"/>
        <v>4086.2084451835767</v>
      </c>
      <c r="L37" s="203">
        <f t="shared" ca="1" si="6"/>
        <v>4475.8042018063952</v>
      </c>
      <c r="M37" s="203">
        <f t="shared" ca="1" si="6"/>
        <v>4918.39683055356</v>
      </c>
      <c r="N37" s="203">
        <f t="shared" ca="1" si="6"/>
        <v>5421.4836674453572</v>
      </c>
      <c r="O37" s="203">
        <f t="shared" ca="1" si="6"/>
        <v>5995.1561661057949</v>
      </c>
      <c r="P37" s="203">
        <f t="shared" ca="1" si="6"/>
        <v>6651.4671724327691</v>
      </c>
      <c r="Q37" s="203">
        <f t="shared" ca="1" si="6"/>
        <v>7395.7295839274166</v>
      </c>
    </row>
    <row r="38" spans="2:17" x14ac:dyDescent="0.15">
      <c r="B38" s="39"/>
      <c r="C38" s="6"/>
      <c r="D38" s="6"/>
      <c r="E38" s="6"/>
      <c r="F38" s="6"/>
      <c r="G38" s="6"/>
      <c r="H38" s="36"/>
      <c r="I38" s="36"/>
      <c r="J38" s="36"/>
      <c r="K38" s="36"/>
      <c r="L38" s="36"/>
      <c r="M38" s="36"/>
      <c r="N38" s="36"/>
      <c r="O38" s="36"/>
      <c r="P38" s="36"/>
      <c r="Q38" s="36"/>
    </row>
    <row r="39" spans="2:17" ht="15" x14ac:dyDescent="0.15">
      <c r="B39" s="39" t="s">
        <v>269</v>
      </c>
      <c r="C39" s="21">
        <f>'P&amp;L Input'!C36</f>
        <v>0.81</v>
      </c>
      <c r="D39" s="21">
        <f>'P&amp;L Input'!D36</f>
        <v>-0.01</v>
      </c>
      <c r="E39" s="6">
        <f>'P&amp;L Input'!E36</f>
        <v>0.28000000000000003</v>
      </c>
      <c r="F39" s="6">
        <f>'P&amp;L Input'!F36</f>
        <v>0</v>
      </c>
      <c r="G39" s="6">
        <f>'P&amp;L Input'!G36</f>
        <v>0</v>
      </c>
      <c r="H39" s="36">
        <f>'Revenue Buildup'!H21</f>
        <v>1.5074030578653961</v>
      </c>
      <c r="I39" s="36">
        <f>'Revenue Buildup'!I21</f>
        <v>1.630568470072234</v>
      </c>
      <c r="J39" s="36">
        <f>'Revenue Buildup'!J21</f>
        <v>1.7687274528485062</v>
      </c>
      <c r="K39" s="36">
        <f>'Revenue Buildup'!K21</f>
        <v>1.924149078847567</v>
      </c>
      <c r="L39" s="36">
        <f>'Revenue Buildup'!L21</f>
        <v>2.0995069211332908</v>
      </c>
      <c r="M39" s="36">
        <f>'Revenue Buildup'!M21</f>
        <v>2.2979612850755253</v>
      </c>
      <c r="N39" s="36">
        <f>'Revenue Buildup'!N21</f>
        <v>2.5232601096164173</v>
      </c>
      <c r="O39" s="36">
        <f>'Revenue Buildup'!O21</f>
        <v>2.7798632030077708</v>
      </c>
      <c r="P39" s="36">
        <f>'Revenue Buildup'!P21</f>
        <v>3.0730957474749911</v>
      </c>
      <c r="Q39" s="36">
        <f>'Revenue Buildup'!Q21</f>
        <v>3.4093386496433991</v>
      </c>
    </row>
    <row r="40" spans="2:17" x14ac:dyDescent="0.15">
      <c r="B40" s="39"/>
      <c r="C40" s="6"/>
      <c r="D40" s="6"/>
      <c r="E40" s="6"/>
      <c r="F40" s="6"/>
      <c r="G40" s="6"/>
      <c r="H40" s="36"/>
      <c r="I40" s="36"/>
      <c r="J40" s="36"/>
      <c r="K40" s="36"/>
      <c r="L40" s="36"/>
      <c r="M40" s="36"/>
      <c r="N40" s="36"/>
      <c r="O40" s="36"/>
      <c r="P40" s="36"/>
      <c r="Q40" s="36"/>
    </row>
    <row r="41" spans="2:17" ht="15" x14ac:dyDescent="0.15">
      <c r="B41" s="39" t="s">
        <v>234</v>
      </c>
      <c r="C41" s="21">
        <f>'P&amp;L Input'!C38</f>
        <v>-81.05</v>
      </c>
      <c r="D41" s="21">
        <f>'P&amp;L Input'!D38</f>
        <v>-44.47</v>
      </c>
      <c r="E41" s="6">
        <f>'P&amp;L Input'!E38</f>
        <v>-9.75</v>
      </c>
      <c r="F41" s="6">
        <f>'P&amp;L Input'!F38</f>
        <v>-54.11</v>
      </c>
      <c r="G41" s="6">
        <f>'P&amp;L Input'!G38</f>
        <v>-2476.86</v>
      </c>
      <c r="H41" s="36">
        <f>'Revenue Buildup'!H24</f>
        <v>-586.26519242946551</v>
      </c>
      <c r="I41" s="36">
        <f>'Revenue Buildup'!I24</f>
        <v>-634.16717439197259</v>
      </c>
      <c r="J41" s="36">
        <f>'Revenue Buildup'!J24</f>
        <v>-687.9005154519873</v>
      </c>
      <c r="K41" s="36">
        <f>'Revenue Buildup'!K24</f>
        <v>-748.34771237028906</v>
      </c>
      <c r="L41" s="36">
        <f>'Revenue Buildup'!L24</f>
        <v>-816.5485818160746</v>
      </c>
      <c r="M41" s="36">
        <f>'Revenue Buildup'!M24</f>
        <v>-893.73224232278596</v>
      </c>
      <c r="N41" s="36">
        <f>'Revenue Buildup'!N24</f>
        <v>-981.35635720990922</v>
      </c>
      <c r="O41" s="36">
        <f>'Revenue Buildup'!O24</f>
        <v>-1081.1554528400518</v>
      </c>
      <c r="P41" s="36">
        <f>'Revenue Buildup'!P24</f>
        <v>-1195.2006202633538</v>
      </c>
      <c r="Q41" s="36">
        <f>'Revenue Buildup'!Q24</f>
        <v>-1325.9735470623427</v>
      </c>
    </row>
    <row r="42" spans="2:17" x14ac:dyDescent="0.15">
      <c r="B42" s="39"/>
      <c r="C42" s="9"/>
      <c r="D42" s="9"/>
      <c r="E42" s="9"/>
      <c r="F42" s="9"/>
      <c r="G42" s="9"/>
      <c r="H42" s="34"/>
      <c r="I42" s="34"/>
      <c r="J42" s="34"/>
      <c r="K42" s="34"/>
      <c r="L42" s="34"/>
      <c r="M42" s="34"/>
      <c r="N42" s="34"/>
      <c r="O42" s="34"/>
      <c r="P42" s="34"/>
      <c r="Q42" s="34"/>
    </row>
    <row r="43" spans="2:17" ht="15" x14ac:dyDescent="0.15">
      <c r="B43" s="94" t="s">
        <v>17</v>
      </c>
      <c r="C43" s="8">
        <f>C37+C39+C41</f>
        <v>1760.3999999999992</v>
      </c>
      <c r="D43" s="8">
        <f>D37+D39+D41</f>
        <v>2080.3600000000006</v>
      </c>
      <c r="E43" s="8">
        <f t="shared" ref="E43:G43" si="7">E37+E39+E41</f>
        <v>2155.2600000000011</v>
      </c>
      <c r="F43" s="8">
        <f t="shared" si="7"/>
        <v>2132.7299999999991</v>
      </c>
      <c r="G43" s="71">
        <f t="shared" si="7"/>
        <v>198.23000000000002</v>
      </c>
      <c r="H43" s="44">
        <f ca="1">H37+H39+H41</f>
        <v>2584.2191939096047</v>
      </c>
      <c r="I43" s="44">
        <f t="shared" ref="I43:Q43" ca="1" si="8">I37+I39+I41</f>
        <v>2802.6606446081369</v>
      </c>
      <c r="J43" s="44">
        <f t="shared" ca="1" si="8"/>
        <v>3055.2153349410623</v>
      </c>
      <c r="K43" s="44">
        <f t="shared" ca="1" si="8"/>
        <v>3339.7848818921352</v>
      </c>
      <c r="L43" s="44">
        <f t="shared" ca="1" si="8"/>
        <v>3661.3551269114537</v>
      </c>
      <c r="M43" s="44">
        <f t="shared" ca="1" si="8"/>
        <v>4026.9625495158498</v>
      </c>
      <c r="N43" s="44">
        <f t="shared" ca="1" si="8"/>
        <v>4442.6505703450648</v>
      </c>
      <c r="O43" s="44">
        <f t="shared" ca="1" si="8"/>
        <v>4916.780576468751</v>
      </c>
      <c r="P43" s="44">
        <f t="shared" ca="1" si="8"/>
        <v>5459.3396479168905</v>
      </c>
      <c r="Q43" s="44">
        <f t="shared" ca="1" si="8"/>
        <v>6073.1653755147172</v>
      </c>
    </row>
    <row r="44" spans="2:17" x14ac:dyDescent="0.15">
      <c r="B44" s="39"/>
      <c r="C44" s="9"/>
      <c r="D44" s="9"/>
      <c r="E44" s="9"/>
      <c r="F44" s="9"/>
      <c r="G44" s="9"/>
      <c r="H44" s="34"/>
      <c r="I44" s="34"/>
      <c r="J44" s="34"/>
      <c r="K44" s="34"/>
      <c r="L44" s="34"/>
      <c r="M44" s="34"/>
      <c r="N44" s="34"/>
      <c r="O44" s="34"/>
      <c r="P44" s="34"/>
      <c r="Q44" s="34"/>
    </row>
    <row r="45" spans="2:17" ht="15" x14ac:dyDescent="0.15">
      <c r="B45" s="39" t="s">
        <v>18</v>
      </c>
      <c r="C45" s="21">
        <f>'P&amp;L Input'!C42</f>
        <v>263.82000000000005</v>
      </c>
      <c r="D45" s="21">
        <f>'P&amp;L Input'!D42</f>
        <v>359.53999999999996</v>
      </c>
      <c r="E45" s="6">
        <f>'P&amp;L Input'!E42</f>
        <v>371.87</v>
      </c>
      <c r="F45" s="6">
        <f>'P&amp;L Input'!F42</f>
        <v>430.27</v>
      </c>
      <c r="G45" s="21">
        <f>'P&amp;L Input'!G42</f>
        <v>758.78</v>
      </c>
      <c r="H45" s="36">
        <f ca="1">H43*'Cost Buildup'!H34</f>
        <v>547.19838450143914</v>
      </c>
      <c r="I45" s="36">
        <f ca="1">I43*'Cost Buildup'!I34</f>
        <v>593.4525138771877</v>
      </c>
      <c r="J45" s="36">
        <f ca="1">J43*'Cost Buildup'!J34</f>
        <v>677.48214269545065</v>
      </c>
      <c r="K45" s="36">
        <f ca="1">K43*'Cost Buildup'!K34</f>
        <v>740.58433526742056</v>
      </c>
      <c r="L45" s="36">
        <f ca="1">L43*'Cost Buildup'!L34</f>
        <v>848.50484029892573</v>
      </c>
      <c r="M45" s="36">
        <f ca="1">M43*'Cost Buildup'!M34</f>
        <v>933.23294150082461</v>
      </c>
      <c r="N45" s="36">
        <f ca="1">N43*'Cost Buildup'!N34</f>
        <v>1073.9935326731716</v>
      </c>
      <c r="O45" s="36">
        <f ca="1">O43*'Cost Buildup'!O34</f>
        <v>1188.6126214716812</v>
      </c>
      <c r="P45" s="36">
        <f ca="1">P43*'Cost Buildup'!P34</f>
        <v>1374.3675677063161</v>
      </c>
      <c r="Q45" s="36">
        <f ca="1">Q43*'Cost Buildup'!Q34</f>
        <v>1528.8958122635279</v>
      </c>
    </row>
    <row r="46" spans="2:17" x14ac:dyDescent="0.15">
      <c r="B46" s="39"/>
      <c r="C46" s="9"/>
      <c r="D46" s="9"/>
      <c r="E46" s="9"/>
      <c r="F46" s="9"/>
      <c r="G46" s="9"/>
      <c r="H46" s="34"/>
      <c r="I46" s="34"/>
      <c r="J46" s="34"/>
      <c r="K46" s="34"/>
      <c r="L46" s="34"/>
      <c r="M46" s="34"/>
      <c r="N46" s="34"/>
      <c r="O46" s="34"/>
      <c r="P46" s="34"/>
      <c r="Q46" s="34"/>
    </row>
    <row r="47" spans="2:17" ht="16" thickBot="1" x14ac:dyDescent="0.2">
      <c r="B47" s="112" t="s">
        <v>19</v>
      </c>
      <c r="C47" s="113">
        <f>C43-C45</f>
        <v>1496.579999999999</v>
      </c>
      <c r="D47" s="113">
        <f>D43-D45</f>
        <v>1720.8200000000006</v>
      </c>
      <c r="E47" s="113">
        <f t="shared" ref="E47:Q47" si="9">E43-E45</f>
        <v>1783.3900000000012</v>
      </c>
      <c r="F47" s="113">
        <f t="shared" si="9"/>
        <v>1702.4599999999991</v>
      </c>
      <c r="G47" s="201">
        <f t="shared" si="9"/>
        <v>-560.54999999999995</v>
      </c>
      <c r="H47" s="113">
        <f t="shared" ca="1" si="9"/>
        <v>2037.0208094081654</v>
      </c>
      <c r="I47" s="113">
        <f t="shared" ca="1" si="9"/>
        <v>2209.2081307309491</v>
      </c>
      <c r="J47" s="113">
        <f t="shared" ca="1" si="9"/>
        <v>2377.7331922456115</v>
      </c>
      <c r="K47" s="113">
        <f t="shared" ca="1" si="9"/>
        <v>2599.2005466247147</v>
      </c>
      <c r="L47" s="113">
        <f t="shared" ca="1" si="9"/>
        <v>2812.8502866125282</v>
      </c>
      <c r="M47" s="113">
        <f t="shared" ca="1" si="9"/>
        <v>3093.7296080150254</v>
      </c>
      <c r="N47" s="113">
        <f t="shared" ca="1" si="9"/>
        <v>3368.6570376718932</v>
      </c>
      <c r="O47" s="113">
        <f t="shared" ca="1" si="9"/>
        <v>3728.1679549970695</v>
      </c>
      <c r="P47" s="113">
        <f t="shared" ca="1" si="9"/>
        <v>4084.9720802105744</v>
      </c>
      <c r="Q47" s="113">
        <f t="shared" ca="1" si="9"/>
        <v>4544.2695632511895</v>
      </c>
    </row>
    <row r="48" spans="2:17" ht="15" thickTop="1" x14ac:dyDescent="0.15">
      <c r="B48" s="242"/>
      <c r="C48" s="243"/>
      <c r="D48" s="243"/>
      <c r="E48" s="243"/>
      <c r="F48" s="243"/>
      <c r="G48" s="244"/>
      <c r="H48" s="59"/>
      <c r="I48" s="59"/>
      <c r="J48" s="59"/>
      <c r="K48" s="59"/>
      <c r="L48" s="59"/>
      <c r="M48" s="59"/>
      <c r="N48" s="59"/>
      <c r="O48" s="59"/>
      <c r="P48" s="59"/>
      <c r="Q48" s="59"/>
    </row>
    <row r="49" spans="2:17" s="5" customFormat="1" ht="15" x14ac:dyDescent="0.15">
      <c r="B49" s="241" t="s">
        <v>304</v>
      </c>
      <c r="C49" s="45">
        <f>(C47)/1022265738*10^7</f>
        <v>14.639833307217804</v>
      </c>
      <c r="D49" s="45">
        <f>(D47)/1022435634*10^7</f>
        <v>16.830594932101132</v>
      </c>
      <c r="E49" s="45">
        <f>(E47)/1022545027*10^7</f>
        <v>17.440698970804355</v>
      </c>
      <c r="F49" s="45">
        <f>(F47)/1022636084*10^7</f>
        <v>16.647759908303794</v>
      </c>
      <c r="G49" s="45">
        <f>(G47)/1022765649*10^7</f>
        <v>-5.4807276774310196</v>
      </c>
      <c r="H49" s="36">
        <f ca="1">(H47)/1418548345*10^7</f>
        <v>14.359896979106239</v>
      </c>
      <c r="I49" s="36">
        <f t="shared" ref="I49:Q49" ca="1" si="10">(I47)/1418548345*10^7</f>
        <v>15.573724635595335</v>
      </c>
      <c r="J49" s="36">
        <f t="shared" ca="1" si="10"/>
        <v>16.761735337582813</v>
      </c>
      <c r="K49" s="36">
        <f t="shared" ca="1" si="10"/>
        <v>18.322960622288235</v>
      </c>
      <c r="L49" s="36">
        <f t="shared" ca="1" si="10"/>
        <v>19.829075946033605</v>
      </c>
      <c r="M49" s="36">
        <f t="shared" ca="1" si="10"/>
        <v>21.809123523492076</v>
      </c>
      <c r="N49" s="36">
        <f t="shared" ca="1" si="10"/>
        <v>23.747213477393988</v>
      </c>
      <c r="O49" s="36">
        <f t="shared" ca="1" si="10"/>
        <v>26.281571355236888</v>
      </c>
      <c r="P49" s="36">
        <f t="shared" ca="1" si="10"/>
        <v>28.796847810009428</v>
      </c>
      <c r="Q49" s="36">
        <f t="shared" ca="1" si="10"/>
        <v>32.034647104333899</v>
      </c>
    </row>
    <row r="50" spans="2:17" x14ac:dyDescent="0.15">
      <c r="B50" s="94"/>
      <c r="C50" s="7"/>
      <c r="D50" s="58"/>
      <c r="E50" s="58"/>
      <c r="F50" s="58"/>
      <c r="G50" s="58"/>
      <c r="H50" s="59"/>
      <c r="I50" s="59"/>
      <c r="J50" s="59"/>
      <c r="K50" s="59"/>
      <c r="L50" s="59"/>
      <c r="M50" s="59"/>
      <c r="N50" s="59"/>
      <c r="O50" s="59"/>
      <c r="P50" s="59"/>
      <c r="Q50" s="59"/>
    </row>
    <row r="51" spans="2:17" ht="15" x14ac:dyDescent="0.15">
      <c r="B51" s="39" t="s">
        <v>296</v>
      </c>
      <c r="C51" s="1">
        <v>1719.78</v>
      </c>
      <c r="D51" s="219">
        <v>1557.19</v>
      </c>
      <c r="E51" s="219">
        <v>2159.9499999999998</v>
      </c>
      <c r="F51" s="219">
        <v>2255.5100000000002</v>
      </c>
      <c r="G51" s="219">
        <v>-694.89</v>
      </c>
      <c r="H51" s="220">
        <f t="shared" ref="H51:Q51" ca="1" si="11">H47*H52</f>
        <v>2525.2080817940237</v>
      </c>
      <c r="I51" s="220">
        <f t="shared" ca="1" si="11"/>
        <v>2738.6613825058052</v>
      </c>
      <c r="J51" s="220">
        <f t="shared" ca="1" si="11"/>
        <v>2947.574735455451</v>
      </c>
      <c r="K51" s="220">
        <f t="shared" ca="1" si="11"/>
        <v>3222.1183977237497</v>
      </c>
      <c r="L51" s="220">
        <f t="shared" ca="1" si="11"/>
        <v>3486.9708958419046</v>
      </c>
      <c r="M51" s="220">
        <f t="shared" ca="1" si="11"/>
        <v>3835.1650473883883</v>
      </c>
      <c r="N51" s="220">
        <f t="shared" ca="1" si="11"/>
        <v>4175.9808918166482</v>
      </c>
      <c r="O51" s="220">
        <f t="shared" ca="1" si="11"/>
        <v>4621.6512893549434</v>
      </c>
      <c r="P51" s="220">
        <f t="shared" ca="1" si="11"/>
        <v>5063.9661918071997</v>
      </c>
      <c r="Q51" s="220">
        <f t="shared" ca="1" si="11"/>
        <v>5633.3377518644529</v>
      </c>
    </row>
    <row r="52" spans="2:17" s="5" customFormat="1" ht="15" x14ac:dyDescent="0.15">
      <c r="B52" s="229" t="s">
        <v>295</v>
      </c>
      <c r="C52" s="193">
        <f>C51/C47</f>
        <v>1.149140039289581</v>
      </c>
      <c r="D52" s="193">
        <f>D51/D47</f>
        <v>0.90491161190595149</v>
      </c>
      <c r="E52" s="193">
        <f>E51/E47</f>
        <v>1.2111484307975251</v>
      </c>
      <c r="F52" s="193">
        <f>F51/F47</f>
        <v>1.3248534473644029</v>
      </c>
      <c r="G52" s="193">
        <f>G51/G47</f>
        <v>1.2396574792614397</v>
      </c>
      <c r="H52" s="62">
        <f>G52</f>
        <v>1.2396574792614397</v>
      </c>
      <c r="I52" s="62">
        <f t="shared" ref="I52:Q52" si="12">H52</f>
        <v>1.2396574792614397</v>
      </c>
      <c r="J52" s="62">
        <f t="shared" si="12"/>
        <v>1.2396574792614397</v>
      </c>
      <c r="K52" s="62">
        <f t="shared" si="12"/>
        <v>1.2396574792614397</v>
      </c>
      <c r="L52" s="62">
        <f t="shared" si="12"/>
        <v>1.2396574792614397</v>
      </c>
      <c r="M52" s="62">
        <f t="shared" si="12"/>
        <v>1.2396574792614397</v>
      </c>
      <c r="N52" s="62">
        <f t="shared" si="12"/>
        <v>1.2396574792614397</v>
      </c>
      <c r="O52" s="62">
        <f t="shared" si="12"/>
        <v>1.2396574792614397</v>
      </c>
      <c r="P52" s="62">
        <f t="shared" si="12"/>
        <v>1.2396574792614397</v>
      </c>
      <c r="Q52" s="62">
        <f t="shared" si="12"/>
        <v>1.2396574792614397</v>
      </c>
    </row>
    <row r="53" spans="2:17" s="5" customFormat="1" x14ac:dyDescent="0.15">
      <c r="B53" s="229"/>
      <c r="C53" s="193"/>
      <c r="D53" s="193"/>
      <c r="E53" s="193"/>
      <c r="F53" s="193"/>
      <c r="G53" s="193"/>
      <c r="H53" s="258"/>
      <c r="I53" s="240"/>
      <c r="J53" s="240"/>
      <c r="K53" s="240"/>
      <c r="L53" s="240"/>
      <c r="M53" s="240"/>
      <c r="N53" s="240"/>
      <c r="O53" s="240"/>
      <c r="P53" s="240"/>
      <c r="Q53" s="240"/>
    </row>
    <row r="54" spans="2:17" s="9" customFormat="1" ht="15" x14ac:dyDescent="0.15">
      <c r="B54" s="95" t="s">
        <v>102</v>
      </c>
      <c r="C54" s="239">
        <v>817.82</v>
      </c>
      <c r="D54" s="6">
        <v>0</v>
      </c>
      <c r="E54" s="6">
        <v>0</v>
      </c>
      <c r="F54" s="6">
        <v>0</v>
      </c>
      <c r="G54" s="6">
        <v>511.41</v>
      </c>
      <c r="H54" s="35">
        <f>Assumptions!$D$23*H55/10^7</f>
        <v>511.4373414528805</v>
      </c>
      <c r="I54" s="35">
        <f>Assumptions!$D$23*I55/10^7</f>
        <v>511.4373414528805</v>
      </c>
      <c r="J54" s="35">
        <f>Assumptions!$D$23*J55/10^7</f>
        <v>511.4373414528805</v>
      </c>
      <c r="K54" s="35">
        <f>Assumptions!$D$23*K55/10^7</f>
        <v>511.4373414528805</v>
      </c>
      <c r="L54" s="35">
        <f>Assumptions!$D$23*L55/10^7</f>
        <v>511.4373414528805</v>
      </c>
      <c r="M54" s="35">
        <f>Assumptions!$D$23*M55/10^7</f>
        <v>511.4373414528805</v>
      </c>
      <c r="N54" s="35">
        <f>Assumptions!$D$23*N55/10^7</f>
        <v>511.4373414528805</v>
      </c>
      <c r="O54" s="35">
        <f>Assumptions!$D$23*O55/10^7</f>
        <v>511.4373414528805</v>
      </c>
      <c r="P54" s="35">
        <f>Assumptions!$D$23*P55/10^7</f>
        <v>511.4373414528805</v>
      </c>
      <c r="Q54" s="35">
        <f>Assumptions!$D$23*Q55/10^7</f>
        <v>511.4373414528805</v>
      </c>
    </row>
    <row r="55" spans="2:17" s="249" customFormat="1" x14ac:dyDescent="0.15">
      <c r="B55" s="246" t="s">
        <v>103</v>
      </c>
      <c r="C55" s="247">
        <f>(C54)/1022265738*10^7</f>
        <v>8.0000724821318432</v>
      </c>
      <c r="D55" s="247">
        <v>0</v>
      </c>
      <c r="E55" s="247">
        <v>0</v>
      </c>
      <c r="F55" s="247">
        <v>0</v>
      </c>
      <c r="G55" s="247">
        <f>(G54)/1022765649*10^7</f>
        <v>5.0002657060297881</v>
      </c>
      <c r="H55" s="248">
        <f>G55</f>
        <v>5.0002657060297881</v>
      </c>
      <c r="I55" s="248">
        <f t="shared" ref="I55:Q55" si="13">H55</f>
        <v>5.0002657060297881</v>
      </c>
      <c r="J55" s="248">
        <f t="shared" si="13"/>
        <v>5.0002657060297881</v>
      </c>
      <c r="K55" s="248">
        <f t="shared" si="13"/>
        <v>5.0002657060297881</v>
      </c>
      <c r="L55" s="248">
        <f t="shared" si="13"/>
        <v>5.0002657060297881</v>
      </c>
      <c r="M55" s="248">
        <f t="shared" si="13"/>
        <v>5.0002657060297881</v>
      </c>
      <c r="N55" s="248">
        <f t="shared" si="13"/>
        <v>5.0002657060297881</v>
      </c>
      <c r="O55" s="248">
        <f t="shared" si="13"/>
        <v>5.0002657060297881</v>
      </c>
      <c r="P55" s="248">
        <f t="shared" si="13"/>
        <v>5.0002657060297881</v>
      </c>
      <c r="Q55" s="248">
        <f t="shared" si="13"/>
        <v>5.0002657060297881</v>
      </c>
    </row>
    <row r="57" spans="2:17" s="9" customFormat="1" x14ac:dyDescent="0.15"/>
    <row r="58" spans="2:17" x14ac:dyDescent="0.15">
      <c r="D58" s="14"/>
      <c r="E58" s="14"/>
      <c r="F58" s="14"/>
      <c r="G58" s="14"/>
    </row>
  </sheetData>
  <mergeCells count="3">
    <mergeCell ref="B8:B9"/>
    <mergeCell ref="P6:Q6"/>
    <mergeCell ref="B7:Q7"/>
  </mergeCells>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rgb="FF92D050"/>
  </sheetPr>
  <dimension ref="B6:R78"/>
  <sheetViews>
    <sheetView showGridLines="0" topLeftCell="C1" zoomScale="94" workbookViewId="0">
      <selection activeCell="I34" sqref="I34"/>
    </sheetView>
  </sheetViews>
  <sheetFormatPr baseColWidth="10" defaultColWidth="8.83203125" defaultRowHeight="15" x14ac:dyDescent="0.2"/>
  <cols>
    <col min="1" max="1" width="5.5" customWidth="1"/>
    <col min="2" max="2" width="3.1640625" customWidth="1"/>
    <col min="3" max="3" width="33.83203125" customWidth="1"/>
    <col min="4" max="17" width="13.1640625" bestFit="1" customWidth="1"/>
    <col min="18" max="18" width="14.33203125" bestFit="1" customWidth="1"/>
  </cols>
  <sheetData>
    <row r="6" spans="2:18" ht="10.75" customHeight="1" x14ac:dyDescent="0.2">
      <c r="C6" s="3"/>
      <c r="D6" s="3"/>
      <c r="E6" s="2"/>
      <c r="F6" s="2"/>
      <c r="G6" s="120"/>
      <c r="H6" s="120"/>
      <c r="Q6" s="362" t="s">
        <v>76</v>
      </c>
      <c r="R6" s="362"/>
    </row>
    <row r="7" spans="2:18" ht="16" x14ac:dyDescent="0.2">
      <c r="B7" s="377" t="s">
        <v>182</v>
      </c>
      <c r="C7" s="378"/>
      <c r="D7" s="378"/>
      <c r="E7" s="378"/>
      <c r="F7" s="378"/>
      <c r="G7" s="378"/>
      <c r="H7" s="378"/>
      <c r="I7" s="378"/>
      <c r="J7" s="378"/>
      <c r="K7" s="378"/>
      <c r="L7" s="378"/>
      <c r="M7" s="378"/>
      <c r="N7" s="378"/>
      <c r="O7" s="378"/>
      <c r="P7" s="378"/>
      <c r="Q7" s="378"/>
      <c r="R7" s="379"/>
    </row>
    <row r="8" spans="2:18" ht="14.5" customHeight="1" x14ac:dyDescent="0.2">
      <c r="B8" s="360" t="s">
        <v>0</v>
      </c>
      <c r="C8" s="386"/>
      <c r="D8" s="234">
        <v>2020</v>
      </c>
      <c r="E8" s="234">
        <v>2021</v>
      </c>
      <c r="F8" s="234">
        <v>2022</v>
      </c>
      <c r="G8" s="234">
        <v>2023</v>
      </c>
      <c r="H8" s="234">
        <v>2024</v>
      </c>
      <c r="I8" s="263">
        <v>2025</v>
      </c>
      <c r="J8" s="263">
        <v>2026</v>
      </c>
      <c r="K8" s="263">
        <v>2027</v>
      </c>
      <c r="L8" s="263">
        <v>2028</v>
      </c>
      <c r="M8" s="263">
        <v>2029</v>
      </c>
      <c r="N8" s="263">
        <v>2030</v>
      </c>
      <c r="O8" s="263">
        <v>2031</v>
      </c>
      <c r="P8" s="263">
        <v>2032</v>
      </c>
      <c r="Q8" s="263">
        <v>2033</v>
      </c>
      <c r="R8" s="263">
        <v>2034</v>
      </c>
    </row>
    <row r="9" spans="2:18" x14ac:dyDescent="0.2">
      <c r="B9" s="361"/>
      <c r="C9" s="387"/>
      <c r="D9" s="13" t="s">
        <v>2</v>
      </c>
      <c r="E9" s="13" t="s">
        <v>2</v>
      </c>
      <c r="F9" s="13" t="s">
        <v>2</v>
      </c>
      <c r="G9" s="13" t="s">
        <v>2</v>
      </c>
      <c r="H9" s="13" t="s">
        <v>2</v>
      </c>
      <c r="I9" s="119" t="s">
        <v>60</v>
      </c>
      <c r="J9" s="119" t="s">
        <v>61</v>
      </c>
      <c r="K9" s="119" t="s">
        <v>61</v>
      </c>
      <c r="L9" s="119" t="s">
        <v>61</v>
      </c>
      <c r="M9" s="119" t="s">
        <v>61</v>
      </c>
      <c r="N9" s="119" t="s">
        <v>61</v>
      </c>
      <c r="O9" s="119" t="s">
        <v>61</v>
      </c>
      <c r="P9" s="119" t="s">
        <v>61</v>
      </c>
      <c r="Q9" s="119" t="s">
        <v>61</v>
      </c>
      <c r="R9" s="119" t="s">
        <v>61</v>
      </c>
    </row>
    <row r="10" spans="2:18" x14ac:dyDescent="0.2">
      <c r="B10" s="367" t="s">
        <v>20</v>
      </c>
      <c r="C10" s="388"/>
      <c r="D10" s="116"/>
      <c r="E10" s="4"/>
      <c r="F10" s="4"/>
      <c r="G10" s="4"/>
      <c r="H10" s="4"/>
      <c r="I10" s="63"/>
      <c r="J10" s="63"/>
      <c r="K10" s="63"/>
      <c r="L10" s="63"/>
      <c r="M10" s="63"/>
      <c r="N10" s="63"/>
      <c r="O10" s="63"/>
      <c r="P10" s="63"/>
      <c r="Q10" s="63"/>
      <c r="R10" s="63"/>
    </row>
    <row r="11" spans="2:18" x14ac:dyDescent="0.2">
      <c r="B11" s="2"/>
      <c r="C11" s="38"/>
      <c r="D11" s="2"/>
      <c r="E11" s="2"/>
      <c r="F11" s="2"/>
      <c r="G11" s="2"/>
      <c r="H11" s="2"/>
      <c r="I11" s="63"/>
      <c r="J11" s="63"/>
      <c r="K11" s="63"/>
      <c r="L11" s="63"/>
      <c r="M11" s="63"/>
      <c r="N11" s="63"/>
      <c r="O11" s="63"/>
      <c r="P11" s="63"/>
      <c r="Q11" s="63"/>
      <c r="R11" s="63"/>
    </row>
    <row r="12" spans="2:18" x14ac:dyDescent="0.2">
      <c r="B12" s="383" t="s">
        <v>21</v>
      </c>
      <c r="C12" s="384"/>
      <c r="D12" s="115"/>
      <c r="E12" s="4"/>
      <c r="F12" s="47"/>
      <c r="G12" s="47"/>
      <c r="H12" s="4"/>
      <c r="I12" s="64"/>
      <c r="J12" s="64"/>
      <c r="K12" s="64"/>
      <c r="L12" s="64"/>
      <c r="M12" s="64"/>
      <c r="N12" s="64"/>
      <c r="O12" s="64"/>
      <c r="P12" s="64"/>
      <c r="Q12" s="64"/>
      <c r="R12" s="64"/>
    </row>
    <row r="13" spans="2:18" x14ac:dyDescent="0.2">
      <c r="B13" s="2"/>
      <c r="C13" s="38" t="s">
        <v>22</v>
      </c>
      <c r="D13" s="6">
        <f>VLOOKUP($C13,'BS Input'!$C$13:$H$25,COUNTBLANK('Balance Sheet'!$C$6:D$6),0)</f>
        <v>1205.02</v>
      </c>
      <c r="E13" s="6">
        <f>VLOOKUP($C13,'BS Input'!$C$13:$H$25,COUNTBLANK('Balance Sheet'!$C$6:E$6),0)</f>
        <v>1210.22</v>
      </c>
      <c r="F13" s="6">
        <f>VLOOKUP($C13,'BS Input'!$C$13:$H$25,COUNTBLANK('Balance Sheet'!$C$6:F$6),0)</f>
        <v>1274.9100000000001</v>
      </c>
      <c r="G13" s="6">
        <f>VLOOKUP($C13,'BS Input'!$C$13:$H$25,COUNTBLANK('Balance Sheet'!$C$6:G$6),0)</f>
        <v>1437.4</v>
      </c>
      <c r="H13" s="6">
        <f>VLOOKUP($C13,'BS Input'!$C$13:$H$25,COUNTBLANK('Balance Sheet'!$C$6:H$6),0)</f>
        <v>1281.25</v>
      </c>
      <c r="I13" s="35">
        <f>FAS!H184</f>
        <v>1322.0048000000013</v>
      </c>
      <c r="J13" s="35">
        <f>FAS!I184</f>
        <v>1364.0172300000013</v>
      </c>
      <c r="K13" s="35">
        <f>FAS!J184</f>
        <v>1406.2151781500006</v>
      </c>
      <c r="L13" s="35">
        <f>FAS!K184</f>
        <v>1444.2759240407509</v>
      </c>
      <c r="M13" s="35">
        <f>FAS!L184</f>
        <v>1487.0440479009546</v>
      </c>
      <c r="N13" s="35">
        <f>FAS!M184</f>
        <v>1530.0004866204595</v>
      </c>
      <c r="O13" s="35">
        <f>FAS!N184</f>
        <v>1573.3503878535612</v>
      </c>
      <c r="P13" s="35">
        <f>FAS!O184</f>
        <v>1616.8904918024298</v>
      </c>
      <c r="Q13" s="35">
        <f>FAS!P184</f>
        <v>1660.6217494806415</v>
      </c>
      <c r="R13" s="35">
        <f>FAS!Q184</f>
        <v>1704.4274909800445</v>
      </c>
    </row>
    <row r="14" spans="2:18" x14ac:dyDescent="0.2">
      <c r="B14" s="2"/>
      <c r="C14" s="38" t="s">
        <v>23</v>
      </c>
      <c r="D14" s="6">
        <f>VLOOKUP($C14,'BS Input'!$C$13:$H$25,COUNTBLANK('Balance Sheet'!$C$6:D$6),0)</f>
        <v>55.67</v>
      </c>
      <c r="E14" s="6">
        <f>VLOOKUP($C14,'BS Input'!$C$13:$H$25,COUNTBLANK('Balance Sheet'!$C$6:E$6),0)</f>
        <v>52.97</v>
      </c>
      <c r="F14" s="6">
        <f>VLOOKUP($C14,'BS Input'!$C$13:$H$25,COUNTBLANK('Balance Sheet'!$C$6:F$6),0)</f>
        <v>114.75</v>
      </c>
      <c r="G14" s="6">
        <f>VLOOKUP($C14,'BS Input'!$C$13:$H$25,COUNTBLANK('Balance Sheet'!$C$6:G$6),0)</f>
        <v>41.61</v>
      </c>
      <c r="H14" s="6">
        <f>VLOOKUP($C14,'BS Input'!$C$13:$H$25,COUNTBLANK('Balance Sheet'!$C$6:H$6),0)</f>
        <v>88.73</v>
      </c>
      <c r="I14" s="64">
        <f>FAS!H277</f>
        <v>95.341999999999999</v>
      </c>
      <c r="J14" s="64">
        <f>FAS!I277</f>
        <v>101.98706</v>
      </c>
      <c r="K14" s="64">
        <f>FAS!J277</f>
        <v>108.6653453</v>
      </c>
      <c r="L14" s="64">
        <f>FAS!K277</f>
        <v>115.3770220265</v>
      </c>
      <c r="M14" s="64">
        <f>FAS!L277</f>
        <v>122.1222571366325</v>
      </c>
      <c r="N14" s="64">
        <f>FAS!M277</f>
        <v>128.90121842231565</v>
      </c>
      <c r="O14" s="64">
        <f>FAS!N277</f>
        <v>135.71407451442724</v>
      </c>
      <c r="P14" s="64">
        <f>FAS!O277</f>
        <v>142.56099488699937</v>
      </c>
      <c r="Q14" s="64">
        <f>FAS!P277</f>
        <v>149.44214986143436</v>
      </c>
      <c r="R14" s="64">
        <f>FAS!Q277</f>
        <v>156.35771061074152</v>
      </c>
    </row>
    <row r="15" spans="2:18" x14ac:dyDescent="0.2">
      <c r="B15" s="2"/>
      <c r="C15" s="38" t="s">
        <v>258</v>
      </c>
      <c r="D15" s="6">
        <f>VLOOKUP($C15,'BS Input'!$C$13:$H$25,COUNTBLANK('Balance Sheet'!$C$6:D$6),0)</f>
        <v>51.9</v>
      </c>
      <c r="E15" s="6">
        <f>VLOOKUP($C15,'BS Input'!$C$13:$H$25,COUNTBLANK('Balance Sheet'!$C$6:E$6),0)</f>
        <v>91.13</v>
      </c>
      <c r="F15" s="6">
        <f>VLOOKUP($C15,'BS Input'!$C$13:$H$25,COUNTBLANK('Balance Sheet'!$C$6:F$6),0)</f>
        <v>98.45</v>
      </c>
      <c r="G15" s="6">
        <f>VLOOKUP($C15,'BS Input'!$C$13:$H$25,COUNTBLANK('Balance Sheet'!$C$6:G$6),0)</f>
        <v>96.67</v>
      </c>
      <c r="H15" s="6">
        <f>VLOOKUP($C15,'BS Input'!$C$13:$H$25,COUNTBLANK('Balance Sheet'!$C$6:H$6),0)</f>
        <v>165.12</v>
      </c>
      <c r="I15" s="64">
        <f>FAS!H226</f>
        <v>171.44200000000001</v>
      </c>
      <c r="J15" s="64">
        <f>FAS!I226</f>
        <v>177.79561000000004</v>
      </c>
      <c r="K15" s="64">
        <f>FAS!J226</f>
        <v>184.18098805000005</v>
      </c>
      <c r="L15" s="64">
        <f>FAS!K226</f>
        <v>190.59829299025003</v>
      </c>
      <c r="M15" s="64">
        <f>FAS!L226</f>
        <v>197.04768445520131</v>
      </c>
      <c r="N15" s="64">
        <f>FAS!M226</f>
        <v>203.52932287747737</v>
      </c>
      <c r="O15" s="64">
        <f>FAS!N226</f>
        <v>210.04336949186478</v>
      </c>
      <c r="P15" s="64">
        <f>FAS!O226</f>
        <v>216.58998633932413</v>
      </c>
      <c r="Q15" s="64">
        <f>FAS!P226</f>
        <v>223.16933627102077</v>
      </c>
      <c r="R15" s="64">
        <f>FAS!Q226</f>
        <v>229.78158295237589</v>
      </c>
    </row>
    <row r="16" spans="2:18" x14ac:dyDescent="0.2">
      <c r="B16" s="2"/>
      <c r="C16" s="38" t="s">
        <v>314</v>
      </c>
      <c r="D16" s="6">
        <f>VLOOKUP($C16,'BS Input'!$C$13:$H$25,COUNTBLANK('Balance Sheet'!$C$6:D$6),0)</f>
        <v>5339.32</v>
      </c>
      <c r="E16" s="6">
        <f>VLOOKUP($C16,'BS Input'!$C$13:$H$25,COUNTBLANK('Balance Sheet'!$C$6:E$6),0)</f>
        <v>5129.8500000000004</v>
      </c>
      <c r="F16" s="6">
        <f>VLOOKUP($C16,'BS Input'!$C$13:$H$25,COUNTBLANK('Balance Sheet'!$C$6:F$6),0)</f>
        <v>5376.79</v>
      </c>
      <c r="G16" s="6">
        <f>VLOOKUP($C16,'BS Input'!$C$13:$H$25,COUNTBLANK('Balance Sheet'!$C$6:G$6),0)</f>
        <v>5822.25</v>
      </c>
      <c r="H16" s="6">
        <f>VLOOKUP($C16,'BS Input'!$C$13:$H$25,COUNTBLANK('Balance Sheet'!$C$6:H$6),0)</f>
        <v>5026.3900000000003</v>
      </c>
      <c r="I16" s="64">
        <f>H16</f>
        <v>5026.3900000000003</v>
      </c>
      <c r="J16" s="64">
        <f t="shared" ref="J16:R16" si="0">I16</f>
        <v>5026.3900000000003</v>
      </c>
      <c r="K16" s="64">
        <f t="shared" si="0"/>
        <v>5026.3900000000003</v>
      </c>
      <c r="L16" s="64">
        <f t="shared" si="0"/>
        <v>5026.3900000000003</v>
      </c>
      <c r="M16" s="64">
        <f t="shared" si="0"/>
        <v>5026.3900000000003</v>
      </c>
      <c r="N16" s="64">
        <f t="shared" si="0"/>
        <v>5026.3900000000003</v>
      </c>
      <c r="O16" s="64">
        <f t="shared" si="0"/>
        <v>5026.3900000000003</v>
      </c>
      <c r="P16" s="64">
        <f t="shared" si="0"/>
        <v>5026.3900000000003</v>
      </c>
      <c r="Q16" s="64">
        <f t="shared" si="0"/>
        <v>5026.3900000000003</v>
      </c>
      <c r="R16" s="64">
        <f t="shared" si="0"/>
        <v>5026.3900000000003</v>
      </c>
    </row>
    <row r="17" spans="2:18" x14ac:dyDescent="0.2">
      <c r="B17" s="2"/>
      <c r="C17" s="38" t="s">
        <v>237</v>
      </c>
      <c r="D17" s="6">
        <f>VLOOKUP($C17,'BS Input'!$C$13:$H$25,COUNTBLANK('Balance Sheet'!$C$6:D$6),0)</f>
        <v>2636.5299999999997</v>
      </c>
      <c r="E17" s="6">
        <f>VLOOKUP($C17,'BS Input'!$C$13:$H$25,COUNTBLANK('Balance Sheet'!$C$6:E$6),0)</f>
        <v>2478.0300000000002</v>
      </c>
      <c r="F17" s="6">
        <f>VLOOKUP($C17,'BS Input'!$C$13:$H$25,COUNTBLANK('Balance Sheet'!$C$6:F$6),0)</f>
        <v>2470.84</v>
      </c>
      <c r="G17" s="6">
        <f>VLOOKUP($C17,'BS Input'!$C$13:$H$25,COUNTBLANK('Balance Sheet'!$C$6:G$6),0)</f>
        <v>2581.15</v>
      </c>
      <c r="H17" s="6">
        <f>VLOOKUP($C17,'BS Input'!$C$13:$H$25,COUNTBLANK('Balance Sheet'!$C$6:H$6),0)</f>
        <v>3962.11</v>
      </c>
      <c r="I17" s="64">
        <f>FAS!H271</f>
        <v>4236.3119999999999</v>
      </c>
      <c r="J17" s="64">
        <f>FAS!I271</f>
        <v>4517.1205599999994</v>
      </c>
      <c r="K17" s="64">
        <f>FAS!J271</f>
        <v>4799.3331627999996</v>
      </c>
      <c r="L17" s="64">
        <f>FAS!K271</f>
        <v>5082.9568286139993</v>
      </c>
      <c r="M17" s="64">
        <f>FAS!L271</f>
        <v>5367.9986127570683</v>
      </c>
      <c r="N17" s="64">
        <f>FAS!M271</f>
        <v>5654.465605820852</v>
      </c>
      <c r="O17" s="64">
        <f>FAS!N271</f>
        <v>5942.3649338499563</v>
      </c>
      <c r="P17" s="64">
        <f>FAS!O271</f>
        <v>6231.7037585192056</v>
      </c>
      <c r="Q17" s="64">
        <f>FAS!P271</f>
        <v>6522.4892773118017</v>
      </c>
      <c r="R17" s="64">
        <f>FAS!Q271</f>
        <v>6814.7287236983602</v>
      </c>
    </row>
    <row r="18" spans="2:18" x14ac:dyDescent="0.2">
      <c r="B18" s="2"/>
      <c r="C18" s="38" t="s">
        <v>238</v>
      </c>
      <c r="D18" s="6">
        <f>VLOOKUP($C18,'BS Input'!$C$13:$H$25,COUNTBLANK('Balance Sheet'!$C$6:D$6),0)</f>
        <v>34.799999999999997</v>
      </c>
      <c r="E18" s="6">
        <f>VLOOKUP($C18,'BS Input'!$C$13:$H$25,COUNTBLANK('Balance Sheet'!$C$6:E$6),0)</f>
        <v>19.420000000000002</v>
      </c>
      <c r="F18" s="6">
        <f>VLOOKUP($C18,'BS Input'!$C$13:$H$25,COUNTBLANK('Balance Sheet'!$C$6:F$6),0)</f>
        <v>0</v>
      </c>
      <c r="G18" s="6">
        <f>VLOOKUP($C18,'BS Input'!$C$13:$H$25,COUNTBLANK('Balance Sheet'!$C$6:G$6),0)</f>
        <v>0</v>
      </c>
      <c r="H18" s="6">
        <f>VLOOKUP($C18,'BS Input'!$C$13:$H$25,COUNTBLANK('Balance Sheet'!$C$6:H$6),0)</f>
        <v>0</v>
      </c>
      <c r="I18" s="64">
        <f>'BS items '!I13</f>
        <v>0</v>
      </c>
      <c r="J18" s="64">
        <f>'BS items '!J13</f>
        <v>0</v>
      </c>
      <c r="K18" s="64">
        <f>'BS items '!K13</f>
        <v>0</v>
      </c>
      <c r="L18" s="64">
        <f>'BS items '!L13</f>
        <v>0</v>
      </c>
      <c r="M18" s="64">
        <f>'BS items '!M13</f>
        <v>0</v>
      </c>
      <c r="N18" s="64">
        <f>'BS items '!N13</f>
        <v>0</v>
      </c>
      <c r="O18" s="64">
        <f>'BS items '!O13</f>
        <v>0</v>
      </c>
      <c r="P18" s="64">
        <f>'BS items '!P13</f>
        <v>0</v>
      </c>
      <c r="Q18" s="64">
        <f>'BS items '!Q13</f>
        <v>0</v>
      </c>
      <c r="R18" s="64">
        <f>'BS items '!R13</f>
        <v>0</v>
      </c>
    </row>
    <row r="19" spans="2:18" x14ac:dyDescent="0.2">
      <c r="B19" s="2"/>
      <c r="C19" s="205" t="s">
        <v>239</v>
      </c>
      <c r="D19" s="6"/>
      <c r="E19" s="6"/>
      <c r="F19" s="6"/>
      <c r="G19" s="6"/>
      <c r="H19" s="6"/>
      <c r="I19" s="64"/>
      <c r="J19" s="64"/>
      <c r="K19" s="64"/>
      <c r="L19" s="64"/>
      <c r="M19" s="64"/>
      <c r="N19" s="64"/>
      <c r="O19" s="64"/>
      <c r="P19" s="64"/>
      <c r="Q19" s="64"/>
      <c r="R19" s="64"/>
    </row>
    <row r="20" spans="2:18" x14ac:dyDescent="0.2">
      <c r="B20" s="2"/>
      <c r="C20" s="194" t="s">
        <v>242</v>
      </c>
      <c r="D20" s="6">
        <f>VLOOKUP($C20,'BS Input'!$C$13:$H$25,COUNTBLANK('Balance Sheet'!$C$6:D$6),0)</f>
        <v>0</v>
      </c>
      <c r="E20" s="6">
        <f>VLOOKUP($C20,'BS Input'!$C$13:$H$25,COUNTBLANK('Balance Sheet'!$C$6:E$6),0)</f>
        <v>2.5099999999999998</v>
      </c>
      <c r="F20" s="6">
        <f>VLOOKUP($C20,'BS Input'!$C$13:$H$25,COUNTBLANK('Balance Sheet'!$C$6:F$6),0)</f>
        <v>171.12</v>
      </c>
      <c r="G20" s="6">
        <f>VLOOKUP($C20,'BS Input'!$C$13:$H$25,COUNTBLANK('Balance Sheet'!$C$6:G$6),0)</f>
        <v>839.33</v>
      </c>
      <c r="H20" s="6">
        <f>VLOOKUP($C20,'BS Input'!$C$13:$H$25,COUNTBLANK('Balance Sheet'!$C$6:H$6),0)</f>
        <v>1787.48</v>
      </c>
      <c r="I20" s="64">
        <f>'BS items '!I15</f>
        <v>1928.3289006393229</v>
      </c>
      <c r="J20" s="64">
        <f>'BS items '!J15</f>
        <v>2085.8869092146301</v>
      </c>
      <c r="K20" s="64">
        <f>'BS items '!K15</f>
        <v>2262.6252792081755</v>
      </c>
      <c r="L20" s="64">
        <f>'BS items '!L15</f>
        <v>2461.4466970330468</v>
      </c>
      <c r="M20" s="64">
        <f>'BS items '!M15</f>
        <v>2685.7713018352674</v>
      </c>
      <c r="N20" s="64">
        <f>'BS items '!N15</f>
        <v>2939.6418797480642</v>
      </c>
      <c r="O20" s="64">
        <f>'BS items '!O15</f>
        <v>3227.8529407349556</v>
      </c>
      <c r="P20" s="64">
        <f>'BS items '!P15</f>
        <v>3556.1096458000866</v>
      </c>
      <c r="Q20" s="64">
        <f>'BS items '!Q15</f>
        <v>3931.2241761532805</v>
      </c>
      <c r="R20" s="64">
        <f>'BS items '!R15</f>
        <v>4361.3592369142352</v>
      </c>
    </row>
    <row r="21" spans="2:18" x14ac:dyDescent="0.2">
      <c r="B21" s="2"/>
      <c r="C21" s="194" t="s">
        <v>319</v>
      </c>
      <c r="D21" s="6">
        <f>VLOOKUP($C21,'BS Input'!$C$13:$H$25,COUNTBLANK('Balance Sheet'!$C$6:D$6),0)</f>
        <v>22.63</v>
      </c>
      <c r="E21" s="6">
        <f>VLOOKUP($C21,'BS Input'!$C$13:$H$25,COUNTBLANK('Balance Sheet'!$C$6:E$6),0)</f>
        <v>21.78</v>
      </c>
      <c r="F21" s="6">
        <f>VLOOKUP($C21,'BS Input'!$C$13:$H$25,COUNTBLANK('Balance Sheet'!$C$6:F$6),0)</f>
        <v>0.03</v>
      </c>
      <c r="G21" s="6">
        <f>VLOOKUP($C21,'BS Input'!$C$13:$H$25,COUNTBLANK('Balance Sheet'!$C$6:G$6),0)</f>
        <v>0.03</v>
      </c>
      <c r="H21" s="6">
        <f>VLOOKUP($C21,'BS Input'!$C$13:$H$25,COUNTBLANK('Balance Sheet'!$C$6:H$6),0)</f>
        <v>0.01</v>
      </c>
      <c r="I21" s="64">
        <f>H21</f>
        <v>0.01</v>
      </c>
      <c r="J21" s="64">
        <f t="shared" ref="J21:R21" si="1">I21</f>
        <v>0.01</v>
      </c>
      <c r="K21" s="64">
        <f t="shared" si="1"/>
        <v>0.01</v>
      </c>
      <c r="L21" s="64">
        <f t="shared" si="1"/>
        <v>0.01</v>
      </c>
      <c r="M21" s="64">
        <f t="shared" si="1"/>
        <v>0.01</v>
      </c>
      <c r="N21" s="64">
        <f t="shared" si="1"/>
        <v>0.01</v>
      </c>
      <c r="O21" s="64">
        <f t="shared" si="1"/>
        <v>0.01</v>
      </c>
      <c r="P21" s="64">
        <f t="shared" si="1"/>
        <v>0.01</v>
      </c>
      <c r="Q21" s="64">
        <f t="shared" si="1"/>
        <v>0.01</v>
      </c>
      <c r="R21" s="64">
        <f t="shared" si="1"/>
        <v>0.01</v>
      </c>
    </row>
    <row r="22" spans="2:18" x14ac:dyDescent="0.2">
      <c r="B22" s="2"/>
      <c r="C22" s="194" t="s">
        <v>244</v>
      </c>
      <c r="D22" s="6">
        <f>VLOOKUP($C22,'BS Input'!$C$13:$H$25,COUNTBLANK('Balance Sheet'!$C$6:D$6),0)</f>
        <v>36.630000000000003</v>
      </c>
      <c r="E22" s="6">
        <f>VLOOKUP($C22,'BS Input'!$C$13:$H$25,COUNTBLANK('Balance Sheet'!$C$6:E$6),0)</f>
        <v>3.36</v>
      </c>
      <c r="F22" s="6">
        <f>VLOOKUP($C22,'BS Input'!$C$13:$H$25,COUNTBLANK('Balance Sheet'!$C$6:F$6),0)</f>
        <v>25.09</v>
      </c>
      <c r="G22" s="6">
        <f>VLOOKUP($C22,'BS Input'!$C$13:$H$25,COUNTBLANK('Balance Sheet'!$C$6:G$6),0)</f>
        <v>21.61</v>
      </c>
      <c r="H22" s="6">
        <f>VLOOKUP($C22,'BS Input'!$C$13:$H$25,COUNTBLANK('Balance Sheet'!$C$6:H$6),0)</f>
        <v>24.93</v>
      </c>
      <c r="I22" s="64">
        <f>'BS items '!I17</f>
        <v>26.894420912647032</v>
      </c>
      <c r="J22" s="64">
        <f>'BS items '!J17</f>
        <v>29.091883907356017</v>
      </c>
      <c r="K22" s="64">
        <f>'BS items '!K17</f>
        <v>31.556855579172808</v>
      </c>
      <c r="L22" s="64">
        <f>'BS items '!L17</f>
        <v>34.329819722197648</v>
      </c>
      <c r="M22" s="64">
        <f>'BS items '!M17</f>
        <v>37.45847704855619</v>
      </c>
      <c r="N22" s="64">
        <f>'BS items '!N17</f>
        <v>40.999212333631284</v>
      </c>
      <c r="O22" s="64">
        <f>'BS items '!O17</f>
        <v>45.018894651980688</v>
      </c>
      <c r="P22" s="64">
        <f>'BS items '!P17</f>
        <v>49.59709393660134</v>
      </c>
      <c r="Q22" s="64">
        <f>'BS items '!Q17</f>
        <v>54.828819741480345</v>
      </c>
      <c r="R22" s="64">
        <f>'BS items '!R17</f>
        <v>60.827917389997026</v>
      </c>
    </row>
    <row r="23" spans="2:18" x14ac:dyDescent="0.2">
      <c r="B23" s="2"/>
      <c r="C23" s="194" t="s">
        <v>320</v>
      </c>
      <c r="D23" s="6">
        <f>VLOOKUP($C23,'BS Input'!$C$13:$H$25,COUNTBLANK('Balance Sheet'!$C$6:D$6),0)</f>
        <v>646.79</v>
      </c>
      <c r="E23" s="6">
        <f>VLOOKUP($C23,'BS Input'!$C$13:$H$25,COUNTBLANK('Balance Sheet'!$C$6:E$6),0)</f>
        <v>676.79</v>
      </c>
      <c r="F23" s="6">
        <f>VLOOKUP($C23,'BS Input'!$C$13:$H$25,COUNTBLANK('Balance Sheet'!$C$6:F$6),0)</f>
        <v>731.51</v>
      </c>
      <c r="G23" s="6">
        <f>VLOOKUP($C23,'BS Input'!$C$13:$H$25,COUNTBLANK('Balance Sheet'!$C$6:G$6),0)</f>
        <v>702.75</v>
      </c>
      <c r="H23" s="6">
        <f>VLOOKUP($C23,'BS Input'!$C$13:$H$25,COUNTBLANK('Balance Sheet'!$C$6:H$6),0)</f>
        <v>384.17</v>
      </c>
      <c r="I23" s="64">
        <f>'BS items '!I19</f>
        <v>414.44162382718054</v>
      </c>
      <c r="J23" s="64">
        <f>'BS items '!J19</f>
        <v>448.30441398672127</v>
      </c>
      <c r="K23" s="64">
        <f>'BS items '!K19</f>
        <v>486.28949891098347</v>
      </c>
      <c r="L23" s="64">
        <f>'BS items '!L19</f>
        <v>529.02073175598366</v>
      </c>
      <c r="M23" s="64">
        <f>'BS items '!M19</f>
        <v>577.2331780081762</v>
      </c>
      <c r="N23" s="64">
        <f>'BS items '!N19</f>
        <v>631.79572411596996</v>
      </c>
      <c r="O23" s="64">
        <f>'BS items '!O19</f>
        <v>693.73881903134463</v>
      </c>
      <c r="P23" s="64">
        <f>'BS items '!P19</f>
        <v>764.28863127252862</v>
      </c>
      <c r="Q23" s="64">
        <f>'BS items '!Q19</f>
        <v>844.90925311209401</v>
      </c>
      <c r="R23" s="64">
        <f>'BS items '!R19</f>
        <v>937.35503504673727</v>
      </c>
    </row>
    <row r="24" spans="2:18" x14ac:dyDescent="0.2">
      <c r="B24" s="2"/>
      <c r="C24" s="38" t="s">
        <v>24</v>
      </c>
      <c r="D24" s="6">
        <f>VLOOKUP($C24,'BS Input'!$C$13:$H$25,COUNTBLANK('Balance Sheet'!$C$6:D$6),0)</f>
        <v>45.21</v>
      </c>
      <c r="E24" s="6">
        <f>VLOOKUP($C24,'BS Input'!$C$13:$H$25,COUNTBLANK('Balance Sheet'!$C$6:E$6),0)</f>
        <v>55.03</v>
      </c>
      <c r="F24" s="6">
        <f>VLOOKUP($C24,'BS Input'!$C$13:$H$25,COUNTBLANK('Balance Sheet'!$C$6:F$6),0)</f>
        <v>93.67</v>
      </c>
      <c r="G24" s="6">
        <f>VLOOKUP($C24,'BS Input'!$C$13:$H$25,COUNTBLANK('Balance Sheet'!$C$6:G$6),0)</f>
        <v>48.68</v>
      </c>
      <c r="H24" s="6">
        <f>VLOOKUP($C24,'BS Input'!$C$13:$H$25,COUNTBLANK('Balance Sheet'!$C$6:H$6),0)</f>
        <v>121.59</v>
      </c>
      <c r="I24" s="64">
        <f>'BS items '!I21</f>
        <v>131.17098430680917</v>
      </c>
      <c r="J24" s="64">
        <f>'BS items '!J21</f>
        <v>141.88857458064251</v>
      </c>
      <c r="K24" s="64">
        <f>'BS items '!K21</f>
        <v>153.91087323993668</v>
      </c>
      <c r="L24" s="64">
        <f>'BS items '!L21</f>
        <v>167.43533012523113</v>
      </c>
      <c r="M24" s="64">
        <f>'BS items '!M21</f>
        <v>182.69459383609896</v>
      </c>
      <c r="N24" s="64">
        <f>'BS items '!N21</f>
        <v>199.96366737449767</v>
      </c>
      <c r="O24" s="64">
        <f>'BS items '!O21</f>
        <v>219.56868835677221</v>
      </c>
      <c r="P24" s="64">
        <f>'BS items '!P21</f>
        <v>241.89773974132999</v>
      </c>
      <c r="Q24" s="64">
        <f>'BS items '!Q21</f>
        <v>267.41420747559545</v>
      </c>
      <c r="R24" s="64">
        <f>'BS items '!R21</f>
        <v>296.67334438225987</v>
      </c>
    </row>
    <row r="25" spans="2:18" x14ac:dyDescent="0.2">
      <c r="B25" s="2"/>
      <c r="C25" s="2" t="s">
        <v>342</v>
      </c>
      <c r="D25" s="304">
        <f>VLOOKUP($C25,'BS Input'!$C$13:$H$25,COUNTBLANK('Balance Sheet'!$C$6:D$6),0)</f>
        <v>74.17</v>
      </c>
      <c r="E25" s="6">
        <f>VLOOKUP($C25,'BS Input'!$C$13:$H$25,COUNTBLANK('Balance Sheet'!$C$6:E$6),0)</f>
        <v>69.319999999999993</v>
      </c>
      <c r="F25" s="6">
        <f>VLOOKUP($C25,'BS Input'!$C$13:$H$25,COUNTBLANK('Balance Sheet'!$C$6:F$6),0)</f>
        <v>89.63</v>
      </c>
      <c r="G25" s="6">
        <f>VLOOKUP($C25,'BS Input'!$C$13:$H$25,COUNTBLANK('Balance Sheet'!$C$6:G$6),0)</f>
        <v>101.32</v>
      </c>
      <c r="H25" s="6">
        <f>VLOOKUP($C25,'BS Input'!$C$13:$H$25,COUNTBLANK('Balance Sheet'!$C$6:H$6),0)</f>
        <v>92.88</v>
      </c>
      <c r="I25" s="64">
        <f>'BS items '!I23</f>
        <v>100.19870895975356</v>
      </c>
      <c r="J25" s="64">
        <f>'BS items '!J23</f>
        <v>108.3856469039401</v>
      </c>
      <c r="K25" s="64">
        <f>'BS items '!K23</f>
        <v>117.56922367403008</v>
      </c>
      <c r="L25" s="64">
        <f>'BS items '!L23</f>
        <v>127.90026697945116</v>
      </c>
      <c r="M25" s="64">
        <f>'BS items '!M23</f>
        <v>139.5564921087003</v>
      </c>
      <c r="N25" s="64">
        <f>'BS items '!N23</f>
        <v>152.74796797222916</v>
      </c>
      <c r="O25" s="64">
        <f>'BS items '!O23</f>
        <v>167.72382411857063</v>
      </c>
      <c r="P25" s="64">
        <f>'BS items '!P23</f>
        <v>184.78050881795153</v>
      </c>
      <c r="Q25" s="64">
        <f>'BS items '!Q23</f>
        <v>204.27199268306032</v>
      </c>
      <c r="R25" s="64">
        <f>'BS items '!R23</f>
        <v>226.62242146742574</v>
      </c>
    </row>
    <row r="26" spans="2:18" x14ac:dyDescent="0.2">
      <c r="B26" s="2"/>
      <c r="C26" s="38"/>
      <c r="D26" s="6"/>
      <c r="E26" s="6"/>
      <c r="F26" s="6"/>
      <c r="G26" s="6"/>
      <c r="H26" s="6"/>
      <c r="I26" s="64"/>
      <c r="J26" s="64"/>
      <c r="K26" s="64"/>
      <c r="L26" s="64"/>
      <c r="M26" s="64"/>
      <c r="N26" s="64"/>
      <c r="O26" s="64"/>
      <c r="P26" s="64"/>
      <c r="Q26" s="64"/>
      <c r="R26" s="64"/>
    </row>
    <row r="27" spans="2:18" s="4" customFormat="1" ht="14" x14ac:dyDescent="0.15">
      <c r="B27" s="4" t="s">
        <v>226</v>
      </c>
      <c r="C27" s="48"/>
      <c r="D27" s="148">
        <f t="shared" ref="D27:R27" si="2">SUM(D13:D18,D20:D25)</f>
        <v>10148.669999999996</v>
      </c>
      <c r="E27" s="149">
        <f t="shared" si="2"/>
        <v>9810.4100000000017</v>
      </c>
      <c r="F27" s="149">
        <f t="shared" si="2"/>
        <v>10446.790000000001</v>
      </c>
      <c r="G27" s="149">
        <f t="shared" si="2"/>
        <v>11692.800000000001</v>
      </c>
      <c r="H27" s="149">
        <f t="shared" si="2"/>
        <v>12934.66</v>
      </c>
      <c r="I27" s="51">
        <f t="shared" si="2"/>
        <v>13452.535438645715</v>
      </c>
      <c r="J27" s="51">
        <f t="shared" si="2"/>
        <v>14000.877888593292</v>
      </c>
      <c r="K27" s="51">
        <f t="shared" si="2"/>
        <v>14576.746404912299</v>
      </c>
      <c r="L27" s="51">
        <f t="shared" si="2"/>
        <v>15179.740913287411</v>
      </c>
      <c r="M27" s="51">
        <f t="shared" si="2"/>
        <v>15823.326645086658</v>
      </c>
      <c r="N27" s="51">
        <f t="shared" si="2"/>
        <v>16508.445085285493</v>
      </c>
      <c r="O27" s="51">
        <f t="shared" si="2"/>
        <v>17241.775932603432</v>
      </c>
      <c r="P27" s="51">
        <f t="shared" si="2"/>
        <v>18030.818851116455</v>
      </c>
      <c r="Q27" s="51">
        <f t="shared" si="2"/>
        <v>18884.770962090406</v>
      </c>
      <c r="R27" s="51">
        <f t="shared" si="2"/>
        <v>19814.533463442178</v>
      </c>
    </row>
    <row r="28" spans="2:18" x14ac:dyDescent="0.2">
      <c r="B28" s="2"/>
      <c r="C28" s="38"/>
      <c r="D28" s="9"/>
      <c r="E28" s="9"/>
      <c r="F28" s="9"/>
      <c r="G28" s="9"/>
      <c r="H28" s="9"/>
      <c r="I28" s="63"/>
      <c r="J28" s="63"/>
      <c r="K28" s="63"/>
      <c r="L28" s="63"/>
      <c r="M28" s="63"/>
      <c r="N28" s="63"/>
      <c r="O28" s="63"/>
      <c r="P28" s="63"/>
      <c r="Q28" s="63"/>
      <c r="R28" s="63"/>
    </row>
    <row r="29" spans="2:18" x14ac:dyDescent="0.2">
      <c r="B29" s="383" t="s">
        <v>26</v>
      </c>
      <c r="C29" s="384"/>
      <c r="D29" s="8"/>
      <c r="E29" s="8"/>
      <c r="F29" s="8"/>
      <c r="G29" s="8"/>
      <c r="H29" s="8"/>
      <c r="I29" s="63"/>
      <c r="J29" s="63"/>
      <c r="K29" s="63"/>
      <c r="L29" s="63"/>
      <c r="M29" s="63"/>
      <c r="N29" s="63"/>
      <c r="O29" s="63"/>
      <c r="P29" s="63"/>
      <c r="Q29" s="63"/>
      <c r="R29" s="63"/>
    </row>
    <row r="30" spans="2:18" x14ac:dyDescent="0.2">
      <c r="B30" s="2"/>
      <c r="C30" s="38" t="s">
        <v>27</v>
      </c>
      <c r="D30" s="6">
        <f>VLOOKUP($C30,'BS Input'!$C$30:$H$39,COUNTBLANK('Balance Sheet'!$C$6:D$6),0)</f>
        <v>1703.12</v>
      </c>
      <c r="E30" s="6">
        <f>VLOOKUP($C30,'BS Input'!$C$30:$H$39,COUNTBLANK('Balance Sheet'!$C$6:E$6),0)</f>
        <v>1716.25</v>
      </c>
      <c r="F30" s="6">
        <f>VLOOKUP($C30,'BS Input'!$C$30:$H$39,COUNTBLANK('Balance Sheet'!$C$6:F$6),0)</f>
        <v>2129.85</v>
      </c>
      <c r="G30" s="6">
        <f>VLOOKUP($C30,'BS Input'!$C$30:$H$39,COUNTBLANK('Balance Sheet'!$C$6:G$6),0)</f>
        <v>1537.15</v>
      </c>
      <c r="H30" s="6">
        <f>VLOOKUP($C30,'BS Input'!$C$30:$H$39,COUNTBLANK('Balance Sheet'!$C$6:H$6),0)</f>
        <v>1270.92</v>
      </c>
      <c r="I30" s="64">
        <f>'Working Capital'!H12</f>
        <v>1334.4660000000001</v>
      </c>
      <c r="J30" s="64">
        <f>'Working Capital'!I12</f>
        <v>1401.1893000000002</v>
      </c>
      <c r="K30" s="64">
        <f>'Working Capital'!J12</f>
        <v>1471.2487650000003</v>
      </c>
      <c r="L30" s="64">
        <f>'Working Capital'!K12</f>
        <v>1544.8112032500003</v>
      </c>
      <c r="M30" s="64">
        <f>'Working Capital'!L12</f>
        <v>1622.0517634125003</v>
      </c>
      <c r="N30" s="64">
        <f>'Working Capital'!M12</f>
        <v>1703.1543515831254</v>
      </c>
      <c r="O30" s="64">
        <f>'Working Capital'!N12</f>
        <v>1788.3120691622817</v>
      </c>
      <c r="P30" s="64">
        <f>'Working Capital'!O12</f>
        <v>1877.7276726203959</v>
      </c>
      <c r="Q30" s="64">
        <f>'Working Capital'!P12</f>
        <v>1971.6140562514158</v>
      </c>
      <c r="R30" s="64">
        <f>'Working Capital'!Q12</f>
        <v>2070.1947590639866</v>
      </c>
    </row>
    <row r="31" spans="2:18" x14ac:dyDescent="0.2">
      <c r="B31" s="2"/>
      <c r="C31" s="205" t="s">
        <v>239</v>
      </c>
      <c r="D31" s="6"/>
      <c r="E31" s="6"/>
      <c r="F31" s="6"/>
      <c r="G31" s="6"/>
      <c r="H31" s="6"/>
      <c r="I31" s="64"/>
      <c r="J31" s="64"/>
      <c r="K31" s="64"/>
      <c r="L31" s="64"/>
      <c r="M31" s="64"/>
      <c r="N31" s="64"/>
      <c r="O31" s="64"/>
      <c r="P31" s="64"/>
      <c r="Q31" s="64"/>
      <c r="R31" s="64"/>
    </row>
    <row r="32" spans="2:18" x14ac:dyDescent="0.2">
      <c r="B32" s="2"/>
      <c r="C32" s="38" t="s">
        <v>344</v>
      </c>
      <c r="D32" s="6">
        <f>VLOOKUP($C32,'BS Input'!$C$30:$H$39,COUNTBLANK('Balance Sheet'!$C$6:D$6),0)</f>
        <v>637.17999999999995</v>
      </c>
      <c r="E32" s="6">
        <f>VLOOKUP($C32,'BS Input'!$C$30:$H$39,COUNTBLANK('Balance Sheet'!$C$6:E$6),0)</f>
        <v>657.17</v>
      </c>
      <c r="F32" s="6">
        <f>VLOOKUP($C32,'BS Input'!$C$30:$H$39,COUNTBLANK('Balance Sheet'!$C$6:F$6),0)</f>
        <v>844.31</v>
      </c>
      <c r="G32" s="6">
        <f>VLOOKUP($C32,'BS Input'!$C$30:$H$39,COUNTBLANK('Balance Sheet'!$C$6:G$6),0)</f>
        <v>2189.65</v>
      </c>
      <c r="H32" s="6">
        <f>VLOOKUP($C32,'BS Input'!$C$30:$H$39,COUNTBLANK('Balance Sheet'!$C$6:H$6),0)</f>
        <v>1716.19</v>
      </c>
      <c r="I32" s="64">
        <f>'BS items '!I26</f>
        <v>1851.4214290443526</v>
      </c>
      <c r="J32" s="64">
        <f>'BS items '!J26</f>
        <v>2002.6955572789941</v>
      </c>
      <c r="K32" s="64">
        <f>'BS items '!K26</f>
        <v>2172.385077273188</v>
      </c>
      <c r="L32" s="64">
        <f>'BS items '!L26</f>
        <v>2363.2769077031039</v>
      </c>
      <c r="M32" s="64">
        <f>'BS items '!M26</f>
        <v>2578.6547824292679</v>
      </c>
      <c r="N32" s="64">
        <f>'BS items '!N26</f>
        <v>2822.400249292205</v>
      </c>
      <c r="O32" s="64">
        <f>'BS items '!O26</f>
        <v>3099.1165989884771</v>
      </c>
      <c r="P32" s="64">
        <f>'BS items '!P26</f>
        <v>3414.2814537928539</v>
      </c>
      <c r="Q32" s="64">
        <f>'BS items '!Q26</f>
        <v>3774.4353049390752</v>
      </c>
      <c r="R32" s="64">
        <f>'BS items '!R26</f>
        <v>4187.4153046746487</v>
      </c>
    </row>
    <row r="33" spans="2:18" x14ac:dyDescent="0.2">
      <c r="B33" s="2"/>
      <c r="C33" s="38" t="s">
        <v>245</v>
      </c>
      <c r="D33" s="6">
        <f>VLOOKUP($C33,'BS Input'!$C$30:$H$39,COUNTBLANK('Balance Sheet'!$C$6:D$6),0)</f>
        <v>1157.25</v>
      </c>
      <c r="E33" s="6">
        <f>VLOOKUP($C33,'BS Input'!$C$30:$H$39,COUNTBLANK('Balance Sheet'!$C$6:E$6),0)</f>
        <v>1004.5</v>
      </c>
      <c r="F33" s="6">
        <f>VLOOKUP($C33,'BS Input'!$C$30:$H$39,COUNTBLANK('Balance Sheet'!$C$6:F$6),0)</f>
        <v>1116.32</v>
      </c>
      <c r="G33" s="6">
        <f>VLOOKUP($C33,'BS Input'!$C$30:$H$39,COUNTBLANK('Balance Sheet'!$C$6:G$6),0)</f>
        <v>1245.28</v>
      </c>
      <c r="H33" s="6">
        <f>VLOOKUP($C33,'BS Input'!$C$30:$H$39,COUNTBLANK('Balance Sheet'!$C$6:H$6),0)</f>
        <v>1535.37</v>
      </c>
      <c r="I33" s="64">
        <f>'Working Capital'!H11</f>
        <v>1612.1385</v>
      </c>
      <c r="J33" s="64">
        <f>'Working Capital'!I11</f>
        <v>1692.7454250000001</v>
      </c>
      <c r="K33" s="64">
        <f>'Working Capital'!J11</f>
        <v>1777.3826962500002</v>
      </c>
      <c r="L33" s="64">
        <f>'Working Capital'!K11</f>
        <v>1866.2518310625003</v>
      </c>
      <c r="M33" s="64">
        <f>'Working Capital'!L11</f>
        <v>1959.5644226156253</v>
      </c>
      <c r="N33" s="64">
        <f>'Working Capital'!M11</f>
        <v>2057.5426437464066</v>
      </c>
      <c r="O33" s="64">
        <f>'Working Capital'!N11</f>
        <v>2160.4197759337271</v>
      </c>
      <c r="P33" s="64">
        <f>'Working Capital'!O11</f>
        <v>2268.4407647304138</v>
      </c>
      <c r="Q33" s="64">
        <f>'Working Capital'!P11</f>
        <v>2381.8628029669344</v>
      </c>
      <c r="R33" s="64">
        <f>'Working Capital'!Q11</f>
        <v>2500.9559431152811</v>
      </c>
    </row>
    <row r="34" spans="2:18" x14ac:dyDescent="0.2">
      <c r="B34" s="2"/>
      <c r="C34" s="38" t="s">
        <v>246</v>
      </c>
      <c r="D34" s="6">
        <f>VLOOKUP($C34,'BS Input'!$C$30:$H$39,COUNTBLANK('Balance Sheet'!$C$6:D$6),0)</f>
        <v>602.87</v>
      </c>
      <c r="E34" s="6">
        <f>VLOOKUP($C34,'BS Input'!$C$30:$H$39,COUNTBLANK('Balance Sheet'!$C$6:E$6),0)</f>
        <v>524.13</v>
      </c>
      <c r="F34" s="6">
        <f>VLOOKUP($C34,'BS Input'!$C$30:$H$39,COUNTBLANK('Balance Sheet'!$C$6:F$6),0)</f>
        <v>750.92</v>
      </c>
      <c r="G34" s="6">
        <f>VLOOKUP($C34,'BS Input'!$C$30:$H$39,COUNTBLANK('Balance Sheet'!$C$6:G$6),0)</f>
        <v>357.62</v>
      </c>
      <c r="H34" s="6">
        <f>VLOOKUP($C34,'BS Input'!$C$30:$H$39,COUNTBLANK('Balance Sheet'!$C$6:H$6),0)</f>
        <v>402.78</v>
      </c>
      <c r="I34" s="308">
        <f t="shared" ref="I34:R34" ca="1" si="3">I76-I27-I30-SUM(I32:I33,I35:I39)</f>
        <v>4824.7807893567788</v>
      </c>
      <c r="J34" s="64">
        <f t="shared" ca="1" si="3"/>
        <v>9032.7487956847108</v>
      </c>
      <c r="K34" s="64">
        <f t="shared" ca="1" si="3"/>
        <v>13576.991849193488</v>
      </c>
      <c r="L34" s="64">
        <f t="shared" ca="1" si="3"/>
        <v>18807.87477853477</v>
      </c>
      <c r="M34" s="64">
        <f t="shared" ca="1" si="3"/>
        <v>24144.426924842006</v>
      </c>
      <c r="N34" s="64">
        <f t="shared" ca="1" si="3"/>
        <v>29995.120301448616</v>
      </c>
      <c r="O34" s="64">
        <f t="shared" ca="1" si="3"/>
        <v>36435.386802214911</v>
      </c>
      <c r="P34" s="64">
        <f t="shared" ca="1" si="3"/>
        <v>43092.228067985729</v>
      </c>
      <c r="Q34" s="64">
        <f t="shared" ca="1" si="3"/>
        <v>50495.433779251995</v>
      </c>
      <c r="R34" s="64">
        <f t="shared" ca="1" si="3"/>
        <v>58933.279448711721</v>
      </c>
    </row>
    <row r="35" spans="2:18" x14ac:dyDescent="0.2">
      <c r="B35" s="2"/>
      <c r="C35" s="38" t="s">
        <v>345</v>
      </c>
      <c r="D35" s="6">
        <f>VLOOKUP($C35,'BS Input'!$C$30:$H$39,COUNTBLANK('Balance Sheet'!$C$6:D$6),0)</f>
        <v>167.29</v>
      </c>
      <c r="E35" s="6">
        <f>VLOOKUP($C35,'BS Input'!$C$30:$H$39,COUNTBLANK('Balance Sheet'!$C$6:E$6),0)</f>
        <v>148.08000000000001</v>
      </c>
      <c r="F35" s="6">
        <f>VLOOKUP($C35,'BS Input'!$C$30:$H$39,COUNTBLANK('Balance Sheet'!$C$6:F$6),0)</f>
        <v>356.85</v>
      </c>
      <c r="G35" s="6">
        <f>VLOOKUP($C35,'BS Input'!$C$30:$H$39,COUNTBLANK('Balance Sheet'!$C$6:G$6),0)</f>
        <v>33.1</v>
      </c>
      <c r="H35" s="6">
        <f>VLOOKUP($C35,'BS Input'!$C$30:$H$39,COUNTBLANK('Balance Sheet'!$C$6:H$6),0)</f>
        <v>144.16</v>
      </c>
      <c r="I35" s="64">
        <f t="shared" ref="I35:R35" si="4">H35</f>
        <v>144.16</v>
      </c>
      <c r="J35" s="64">
        <f t="shared" si="4"/>
        <v>144.16</v>
      </c>
      <c r="K35" s="64">
        <f t="shared" si="4"/>
        <v>144.16</v>
      </c>
      <c r="L35" s="64">
        <f t="shared" si="4"/>
        <v>144.16</v>
      </c>
      <c r="M35" s="64">
        <f t="shared" si="4"/>
        <v>144.16</v>
      </c>
      <c r="N35" s="64">
        <f t="shared" si="4"/>
        <v>144.16</v>
      </c>
      <c r="O35" s="64">
        <f t="shared" si="4"/>
        <v>144.16</v>
      </c>
      <c r="P35" s="64">
        <f t="shared" si="4"/>
        <v>144.16</v>
      </c>
      <c r="Q35" s="64">
        <f t="shared" si="4"/>
        <v>144.16</v>
      </c>
      <c r="R35" s="64">
        <f t="shared" si="4"/>
        <v>144.16</v>
      </c>
    </row>
    <row r="36" spans="2:18" x14ac:dyDescent="0.2">
      <c r="B36" s="2"/>
      <c r="C36" s="38" t="s">
        <v>243</v>
      </c>
      <c r="D36" s="6">
        <f>VLOOKUP($C36,'BS Input'!$C$30:$H$39,COUNTBLANK('Balance Sheet'!$C$6:D$6),0)</f>
        <v>3.27</v>
      </c>
      <c r="E36" s="6">
        <f>VLOOKUP($C36,'BS Input'!$C$30:$H$39,COUNTBLANK('Balance Sheet'!$C$6:E$6),0)</f>
        <v>4.6399999999999997</v>
      </c>
      <c r="F36" s="6">
        <f>VLOOKUP($C36,'BS Input'!$C$30:$H$39,COUNTBLANK('Balance Sheet'!$C$6:F$6),0)</f>
        <v>0.05</v>
      </c>
      <c r="G36" s="6">
        <f>VLOOKUP($C36,'BS Input'!$C$30:$H$39,COUNTBLANK('Balance Sheet'!$C$6:G$6),0)</f>
        <v>0.05</v>
      </c>
      <c r="H36" s="6">
        <f>VLOOKUP($C36,'BS Input'!$C$30:$H$39,COUNTBLANK('Balance Sheet'!$C$6:H$6),0)</f>
        <v>0.01</v>
      </c>
      <c r="I36" s="64">
        <f>H36</f>
        <v>0.01</v>
      </c>
      <c r="J36" s="64">
        <f t="shared" ref="J36:R36" si="5">I36</f>
        <v>0.01</v>
      </c>
      <c r="K36" s="64">
        <f t="shared" si="5"/>
        <v>0.01</v>
      </c>
      <c r="L36" s="64">
        <f t="shared" si="5"/>
        <v>0.01</v>
      </c>
      <c r="M36" s="64">
        <f t="shared" si="5"/>
        <v>0.01</v>
      </c>
      <c r="N36" s="64">
        <f t="shared" si="5"/>
        <v>0.01</v>
      </c>
      <c r="O36" s="64">
        <f t="shared" si="5"/>
        <v>0.01</v>
      </c>
      <c r="P36" s="64">
        <f t="shared" si="5"/>
        <v>0.01</v>
      </c>
      <c r="Q36" s="64">
        <f t="shared" si="5"/>
        <v>0.01</v>
      </c>
      <c r="R36" s="64">
        <f t="shared" si="5"/>
        <v>0.01</v>
      </c>
    </row>
    <row r="37" spans="2:18" x14ac:dyDescent="0.2">
      <c r="B37" s="2"/>
      <c r="C37" s="38" t="s">
        <v>247</v>
      </c>
      <c r="D37" s="6">
        <f>VLOOKUP($C37,'BS Input'!$C$30:$H$39,COUNTBLANK('Balance Sheet'!$C$6:D$6),0)</f>
        <v>164.51</v>
      </c>
      <c r="E37" s="6">
        <f>VLOOKUP($C37,'BS Input'!$C$30:$H$39,COUNTBLANK('Balance Sheet'!$C$6:E$6),0)</f>
        <v>70.64</v>
      </c>
      <c r="F37" s="6">
        <f>VLOOKUP($C37,'BS Input'!$C$30:$H$39,COUNTBLANK('Balance Sheet'!$C$6:F$6),0)</f>
        <v>41.83</v>
      </c>
      <c r="G37" s="6">
        <f>VLOOKUP($C37,'BS Input'!$C$30:$H$39,COUNTBLANK('Balance Sheet'!$C$6:G$6),0)</f>
        <v>42.31</v>
      </c>
      <c r="H37" s="6">
        <f>VLOOKUP($C37,'BS Input'!$C$30:$H$39,COUNTBLANK('Balance Sheet'!$C$6:H$6),0)</f>
        <v>83.49</v>
      </c>
      <c r="I37" s="64">
        <f>'BS items '!I28</f>
        <v>90.068800721897333</v>
      </c>
      <c r="J37" s="64">
        <f>'BS items '!J28</f>
        <v>97.428054048341494</v>
      </c>
      <c r="K37" s="64">
        <f>'BS items '!K28</f>
        <v>105.68318781809616</v>
      </c>
      <c r="L37" s="64">
        <f>'BS items '!L28</f>
        <v>114.9697813319808</v>
      </c>
      <c r="M37" s="64">
        <f>'BS items '!M28</f>
        <v>125.44758318427421</v>
      </c>
      <c r="N37" s="64">
        <f>'BS items '!N28</f>
        <v>137.30542469855095</v>
      </c>
      <c r="O37" s="64">
        <f>'BS items '!O28</f>
        <v>150.76724887660919</v>
      </c>
      <c r="P37" s="64">
        <f>'BS items '!P28</f>
        <v>166.09953360476715</v>
      </c>
      <c r="Q37" s="64">
        <f>'BS items '!Q28</f>
        <v>183.6204637070274</v>
      </c>
      <c r="R37" s="64">
        <f>'BS items '!R28</f>
        <v>203.71130456842565</v>
      </c>
    </row>
    <row r="38" spans="2:18" x14ac:dyDescent="0.2">
      <c r="B38" s="2"/>
      <c r="C38" s="38" t="s">
        <v>315</v>
      </c>
      <c r="D38" s="6">
        <f>VLOOKUP($C38,'BS Input'!$C$30:$H$39,COUNTBLANK('Balance Sheet'!$C$6:D$6),0)</f>
        <v>372.85</v>
      </c>
      <c r="E38" s="6">
        <f>VLOOKUP($C38,'BS Input'!$C$30:$H$39,COUNTBLANK('Balance Sheet'!$C$6:E$6),0)</f>
        <v>347</v>
      </c>
      <c r="F38" s="6">
        <f>VLOOKUP($C38,'BS Input'!$C$30:$H$39,COUNTBLANK('Balance Sheet'!$C$6:F$6),0)</f>
        <v>447.14</v>
      </c>
      <c r="G38" s="6">
        <f>VLOOKUP($C38,'BS Input'!$C$30:$H$39,COUNTBLANK('Balance Sheet'!$C$6:G$6),0)</f>
        <v>400.81</v>
      </c>
      <c r="H38" s="6">
        <f>VLOOKUP($C38,'BS Input'!$C$30:$H$39,COUNTBLANK('Balance Sheet'!$C$6:H$6),0)</f>
        <v>400.57</v>
      </c>
      <c r="I38" s="64">
        <f>'BS items '!I30</f>
        <v>432.13390232567275</v>
      </c>
      <c r="J38" s="64">
        <f>'BS items '!J30</f>
        <v>467.44227584314478</v>
      </c>
      <c r="K38" s="64">
        <f>'BS items '!K30</f>
        <v>507.04892255713003</v>
      </c>
      <c r="L38" s="64">
        <f>'BS items '!L30</f>
        <v>551.60432756200214</v>
      </c>
      <c r="M38" s="64">
        <f>'BS items '!M30</f>
        <v>601.87493587405345</v>
      </c>
      <c r="N38" s="64">
        <f>'BS items '!N30</f>
        <v>658.76672621270291</v>
      </c>
      <c r="O38" s="64">
        <f>'BS items '!O30</f>
        <v>723.35413681283205</v>
      </c>
      <c r="P38" s="64">
        <f>'BS items '!P30</f>
        <v>796.91568063314878</v>
      </c>
      <c r="Q38" s="64">
        <f>'BS items '!Q30</f>
        <v>880.97795121719935</v>
      </c>
      <c r="R38" s="64">
        <f>'BS items '!R30</f>
        <v>977.37019129206215</v>
      </c>
    </row>
    <row r="39" spans="2:18" x14ac:dyDescent="0.2">
      <c r="B39" s="2"/>
      <c r="C39" s="38" t="s">
        <v>343</v>
      </c>
      <c r="D39" s="6">
        <f>VLOOKUP($C39,'BS Input'!$C$30:$H$39,COUNTBLANK('Balance Sheet'!$C$6:D$6),0)</f>
        <v>0</v>
      </c>
      <c r="E39" s="6">
        <f>VLOOKUP($C39,'BS Input'!$C$30:$H$39,COUNTBLANK('Balance Sheet'!$C$6:E$6),0)</f>
        <v>0</v>
      </c>
      <c r="F39" s="6">
        <f>VLOOKUP($C39,'BS Input'!$C$30:$H$39,COUNTBLANK('Balance Sheet'!$C$6:F$6),0)</f>
        <v>0</v>
      </c>
      <c r="G39" s="6">
        <f>VLOOKUP($C39,'BS Input'!$C$30:$H$39,COUNTBLANK('Balance Sheet'!$C$6:G$6),0)</f>
        <v>0</v>
      </c>
      <c r="H39" s="6">
        <f>VLOOKUP($C39,'BS Input'!$C$30:$H$39,COUNTBLANK('Balance Sheet'!$C$6:H$6),0)</f>
        <v>7.74</v>
      </c>
      <c r="I39" s="64">
        <f>'BS items '!I32</f>
        <v>8.3498924133127961</v>
      </c>
      <c r="J39" s="64">
        <f>'BS items '!J32</f>
        <v>9.0321372419950077</v>
      </c>
      <c r="K39" s="64">
        <f>'BS items '!K32</f>
        <v>9.7974353061691737</v>
      </c>
      <c r="L39" s="64">
        <f>'BS items '!L32</f>
        <v>10.658355581620929</v>
      </c>
      <c r="M39" s="64">
        <f>'BS items '!M32</f>
        <v>11.629707675725026</v>
      </c>
      <c r="N39" s="64">
        <f>'BS items '!N32</f>
        <v>12.728997331019096</v>
      </c>
      <c r="O39" s="64">
        <f>'BS items '!O32</f>
        <v>13.976985343214219</v>
      </c>
      <c r="P39" s="64">
        <f>'BS items '!P32</f>
        <v>15.398375734829296</v>
      </c>
      <c r="Q39" s="64">
        <f>'BS items '!Q32</f>
        <v>17.022666056921693</v>
      </c>
      <c r="R39" s="64">
        <f>'BS items '!R32</f>
        <v>18.885201788952145</v>
      </c>
    </row>
    <row r="40" spans="2:18" x14ac:dyDescent="0.2">
      <c r="B40" s="2"/>
      <c r="C40" s="38"/>
      <c r="D40" s="6"/>
      <c r="E40" s="6"/>
      <c r="F40" s="6"/>
      <c r="G40" s="6"/>
      <c r="H40" s="6"/>
      <c r="I40" s="64"/>
      <c r="J40" s="64"/>
      <c r="K40" s="64"/>
      <c r="L40" s="64"/>
      <c r="M40" s="64"/>
      <c r="N40" s="64"/>
      <c r="O40" s="64"/>
      <c r="P40" s="64"/>
      <c r="Q40" s="64"/>
      <c r="R40" s="64"/>
    </row>
    <row r="41" spans="2:18" s="150" customFormat="1" x14ac:dyDescent="0.2">
      <c r="B41" s="4" t="s">
        <v>227</v>
      </c>
      <c r="C41" s="48"/>
      <c r="D41" s="148">
        <f t="shared" ref="D41:H41" si="6">SUM(D30:D40)</f>
        <v>4808.3400000000011</v>
      </c>
      <c r="E41" s="149">
        <f t="shared" si="6"/>
        <v>4472.41</v>
      </c>
      <c r="F41" s="149">
        <f t="shared" si="6"/>
        <v>5687.27</v>
      </c>
      <c r="G41" s="149">
        <f t="shared" si="6"/>
        <v>5805.9700000000012</v>
      </c>
      <c r="H41" s="149">
        <f t="shared" si="6"/>
        <v>5561.2299999999987</v>
      </c>
      <c r="I41" s="65">
        <f ca="1">SUM(I30,I32:I39)</f>
        <v>10297.529313862015</v>
      </c>
      <c r="J41" s="65">
        <f t="shared" ref="J41:R41" ca="1" si="7">SUM(J30,J32:J39)</f>
        <v>14847.451545097187</v>
      </c>
      <c r="K41" s="65">
        <f t="shared" ca="1" si="7"/>
        <v>19764.707933398069</v>
      </c>
      <c r="L41" s="65">
        <f t="shared" ca="1" si="7"/>
        <v>25403.617185025978</v>
      </c>
      <c r="M41" s="65">
        <f t="shared" ca="1" si="7"/>
        <v>31187.820120033452</v>
      </c>
      <c r="N41" s="65">
        <f t="shared" ca="1" si="7"/>
        <v>37531.188694312623</v>
      </c>
      <c r="O41" s="65">
        <f t="shared" ca="1" si="7"/>
        <v>44515.503617332062</v>
      </c>
      <c r="P41" s="65">
        <f t="shared" ca="1" si="7"/>
        <v>51775.261549102142</v>
      </c>
      <c r="Q41" s="65">
        <f t="shared" ca="1" si="7"/>
        <v>59849.137024390577</v>
      </c>
      <c r="R41" s="65">
        <f t="shared" ca="1" si="7"/>
        <v>69035.982153215082</v>
      </c>
    </row>
    <row r="42" spans="2:18" x14ac:dyDescent="0.2">
      <c r="B42" s="2"/>
      <c r="C42" s="38"/>
      <c r="D42" s="9"/>
      <c r="E42" s="9"/>
      <c r="F42" s="9"/>
      <c r="G42" s="9"/>
      <c r="H42" s="9"/>
      <c r="I42" s="63"/>
      <c r="J42" s="63"/>
      <c r="K42" s="63"/>
      <c r="L42" s="63"/>
      <c r="M42" s="63"/>
      <c r="N42" s="63"/>
      <c r="O42" s="63"/>
      <c r="P42" s="63"/>
      <c r="Q42" s="63"/>
      <c r="R42" s="63"/>
    </row>
    <row r="43" spans="2:18" x14ac:dyDescent="0.2">
      <c r="B43" s="390" t="s">
        <v>40</v>
      </c>
      <c r="C43" s="391"/>
      <c r="D43" s="110">
        <f t="shared" ref="D43:R43" si="8">D41+D27</f>
        <v>14957.009999999998</v>
      </c>
      <c r="E43" s="110">
        <f t="shared" si="8"/>
        <v>14282.820000000002</v>
      </c>
      <c r="F43" s="110">
        <f t="shared" si="8"/>
        <v>16134.060000000001</v>
      </c>
      <c r="G43" s="110">
        <f t="shared" si="8"/>
        <v>17498.770000000004</v>
      </c>
      <c r="H43" s="110">
        <f t="shared" si="8"/>
        <v>18495.89</v>
      </c>
      <c r="I43" s="110">
        <f t="shared" ca="1" si="8"/>
        <v>23750.064752507729</v>
      </c>
      <c r="J43" s="110">
        <f t="shared" ca="1" si="8"/>
        <v>28848.32943369048</v>
      </c>
      <c r="K43" s="110">
        <f t="shared" ca="1" si="8"/>
        <v>34341.454338310366</v>
      </c>
      <c r="L43" s="110">
        <f t="shared" ca="1" si="8"/>
        <v>40583.358098313387</v>
      </c>
      <c r="M43" s="110">
        <f t="shared" ca="1" si="8"/>
        <v>47011.146765120109</v>
      </c>
      <c r="N43" s="110">
        <f t="shared" ca="1" si="8"/>
        <v>54039.633779598116</v>
      </c>
      <c r="O43" s="110">
        <f t="shared" ca="1" si="8"/>
        <v>61757.279549935498</v>
      </c>
      <c r="P43" s="110">
        <f t="shared" ca="1" si="8"/>
        <v>69806.080400218605</v>
      </c>
      <c r="Q43" s="110">
        <f t="shared" ca="1" si="8"/>
        <v>78733.907986480976</v>
      </c>
      <c r="R43" s="110">
        <f t="shared" ca="1" si="8"/>
        <v>88850.515616657256</v>
      </c>
    </row>
    <row r="44" spans="2:18" x14ac:dyDescent="0.2">
      <c r="B44" s="2"/>
      <c r="C44" s="38"/>
      <c r="D44" s="9"/>
      <c r="E44" s="9"/>
      <c r="F44" s="9"/>
      <c r="G44" s="9"/>
      <c r="H44" s="9"/>
      <c r="I44" s="63"/>
      <c r="J44" s="63"/>
      <c r="K44" s="269"/>
      <c r="L44" s="63"/>
      <c r="M44" s="63"/>
      <c r="N44" s="63"/>
      <c r="O44" s="63"/>
      <c r="P44" s="63"/>
      <c r="Q44" s="63"/>
      <c r="R44" s="63"/>
    </row>
    <row r="45" spans="2:18" x14ac:dyDescent="0.2">
      <c r="B45" s="367" t="s">
        <v>30</v>
      </c>
      <c r="C45" s="388"/>
      <c r="D45" s="9"/>
      <c r="E45" s="9"/>
      <c r="F45" s="9"/>
      <c r="G45" s="9"/>
      <c r="H45" s="9"/>
      <c r="I45" s="63"/>
      <c r="J45" s="63"/>
      <c r="K45" s="269"/>
      <c r="L45" s="63"/>
      <c r="M45" s="63"/>
      <c r="N45" s="63"/>
      <c r="O45" s="63"/>
      <c r="P45" s="63"/>
      <c r="Q45" s="63"/>
      <c r="R45" s="63"/>
    </row>
    <row r="46" spans="2:18" x14ac:dyDescent="0.2">
      <c r="B46" s="10"/>
      <c r="C46" s="96"/>
      <c r="D46" s="9"/>
      <c r="E46" s="9"/>
      <c r="F46" s="9"/>
      <c r="G46" s="9"/>
      <c r="H46" s="9"/>
      <c r="I46" s="63"/>
      <c r="J46" s="63"/>
      <c r="K46" s="63"/>
      <c r="L46" s="63"/>
      <c r="M46" s="63"/>
      <c r="N46" s="63"/>
      <c r="O46" s="63"/>
      <c r="P46" s="63"/>
      <c r="Q46" s="63"/>
      <c r="R46" s="63"/>
    </row>
    <row r="47" spans="2:18" x14ac:dyDescent="0.2">
      <c r="B47" s="383" t="s">
        <v>31</v>
      </c>
      <c r="C47" s="384"/>
      <c r="D47" s="9"/>
      <c r="E47" s="9"/>
      <c r="F47" s="9"/>
      <c r="G47" s="9"/>
      <c r="H47" s="9"/>
      <c r="I47" s="63"/>
      <c r="J47" s="63"/>
      <c r="K47" s="63"/>
      <c r="L47" s="63"/>
      <c r="M47" s="63"/>
      <c r="N47" s="63"/>
      <c r="O47" s="63"/>
      <c r="P47" s="63"/>
      <c r="Q47" s="63"/>
      <c r="R47" s="63"/>
    </row>
    <row r="48" spans="2:18" x14ac:dyDescent="0.2">
      <c r="B48" s="2"/>
      <c r="C48" s="38" t="s">
        <v>32</v>
      </c>
      <c r="D48" s="6">
        <f>'BS Input'!D48</f>
        <v>102.23</v>
      </c>
      <c r="E48" s="6">
        <f>'BS Input'!E48</f>
        <v>102.25</v>
      </c>
      <c r="F48" s="6">
        <f>'BS Input'!F48</f>
        <v>102.26</v>
      </c>
      <c r="G48" s="6">
        <f>'BS Input'!G48</f>
        <v>102.27</v>
      </c>
      <c r="H48" s="6">
        <f>'BS Input'!H48</f>
        <v>102.28</v>
      </c>
      <c r="I48" s="64">
        <f>H48</f>
        <v>102.28</v>
      </c>
      <c r="J48" s="64">
        <f t="shared" ref="J48:R48" si="9">I48</f>
        <v>102.28</v>
      </c>
      <c r="K48" s="64">
        <f t="shared" si="9"/>
        <v>102.28</v>
      </c>
      <c r="L48" s="64">
        <f t="shared" si="9"/>
        <v>102.28</v>
      </c>
      <c r="M48" s="64">
        <f t="shared" si="9"/>
        <v>102.28</v>
      </c>
      <c r="N48" s="64">
        <f t="shared" si="9"/>
        <v>102.28</v>
      </c>
      <c r="O48" s="64">
        <f t="shared" si="9"/>
        <v>102.28</v>
      </c>
      <c r="P48" s="64">
        <f t="shared" si="9"/>
        <v>102.28</v>
      </c>
      <c r="Q48" s="64">
        <f t="shared" si="9"/>
        <v>102.28</v>
      </c>
      <c r="R48" s="64">
        <f t="shared" si="9"/>
        <v>102.28</v>
      </c>
    </row>
    <row r="49" spans="2:18" x14ac:dyDescent="0.2">
      <c r="B49" s="2"/>
      <c r="C49" s="38" t="s">
        <v>33</v>
      </c>
      <c r="D49" s="6">
        <f>'BS Input'!D49</f>
        <v>7796.13</v>
      </c>
      <c r="E49" s="6">
        <f>'BS Input'!E49</f>
        <v>9336.65</v>
      </c>
      <c r="F49" s="6">
        <f>'BS Input'!F49</f>
        <v>11453.67</v>
      </c>
      <c r="G49" s="6">
        <f>'BS Input'!G49</f>
        <v>13691.96</v>
      </c>
      <c r="H49" s="6">
        <f>'BS Input'!H49</f>
        <v>12496.29</v>
      </c>
      <c r="I49" s="309">
        <f ca="1">H49+'Income Statement'!H47-'Income Statement'!H54+'Income Statement'!H51</f>
        <v>16547.081549749309</v>
      </c>
      <c r="J49" s="309">
        <f ca="1">I49+'Income Statement'!I47-'Income Statement'!I54+'Income Statement'!I51</f>
        <v>20983.513721533182</v>
      </c>
      <c r="K49" s="309">
        <f ca="1">J49+'Income Statement'!J47-'Income Statement'!J54+'Income Statement'!J51</f>
        <v>25797.384307781362</v>
      </c>
      <c r="L49" s="309">
        <f ca="1">K49+'Income Statement'!K47-'Income Statement'!K54+'Income Statement'!K51</f>
        <v>31107.265910676942</v>
      </c>
      <c r="M49" s="309">
        <f ca="1">L49+'Income Statement'!L47-'Income Statement'!L54+'Income Statement'!L51</f>
        <v>36895.649751678495</v>
      </c>
      <c r="N49" s="309">
        <f ca="1">M49+'Income Statement'!M47-'Income Statement'!M54+'Income Statement'!M51</f>
        <v>43313.107065629025</v>
      </c>
      <c r="O49" s="309">
        <f ca="1">N49+'Income Statement'!N47-'Income Statement'!N54+'Income Statement'!N51</f>
        <v>50346.307653664684</v>
      </c>
      <c r="P49" s="309">
        <f ca="1">O49+'Income Statement'!O47-'Income Statement'!O54+'Income Statement'!O51</f>
        <v>58184.689556563819</v>
      </c>
      <c r="Q49" s="309">
        <f ca="1">P49+'Income Statement'!P47-'Income Statement'!P54+'Income Statement'!P51</f>
        <v>66822.190487128712</v>
      </c>
      <c r="R49" s="309">
        <f ca="1">Q49+'Income Statement'!Q47-'Income Statement'!Q54+'Income Statement'!Q51</f>
        <v>76488.360460791475</v>
      </c>
    </row>
    <row r="50" spans="2:18" x14ac:dyDescent="0.2">
      <c r="B50" s="2"/>
      <c r="C50" s="38"/>
      <c r="D50" s="9"/>
      <c r="E50" s="9"/>
      <c r="F50" s="9"/>
      <c r="G50" s="9"/>
      <c r="H50" s="9"/>
      <c r="I50" s="63"/>
      <c r="J50" s="63"/>
      <c r="K50" s="63"/>
      <c r="L50" s="63"/>
      <c r="M50" s="63"/>
      <c r="N50" s="63"/>
      <c r="O50" s="63"/>
      <c r="P50" s="63"/>
      <c r="Q50" s="63"/>
      <c r="R50" s="63"/>
    </row>
    <row r="51" spans="2:18" x14ac:dyDescent="0.2">
      <c r="B51" s="115" t="s">
        <v>223</v>
      </c>
      <c r="C51" s="126"/>
      <c r="D51" s="148">
        <f t="shared" ref="D51:R51" si="10">SUM(D48:D50)</f>
        <v>7898.36</v>
      </c>
      <c r="E51" s="149">
        <f t="shared" si="10"/>
        <v>9438.9</v>
      </c>
      <c r="F51" s="149">
        <f t="shared" si="10"/>
        <v>11555.93</v>
      </c>
      <c r="G51" s="149">
        <f t="shared" si="10"/>
        <v>13794.23</v>
      </c>
      <c r="H51" s="149">
        <f t="shared" si="10"/>
        <v>12598.570000000002</v>
      </c>
      <c r="I51" s="51">
        <f t="shared" ca="1" si="10"/>
        <v>16649.361549749308</v>
      </c>
      <c r="J51" s="51">
        <f t="shared" ca="1" si="10"/>
        <v>21085.79372153318</v>
      </c>
      <c r="K51" s="51">
        <f t="shared" ca="1" si="10"/>
        <v>25899.664307781361</v>
      </c>
      <c r="L51" s="51">
        <f t="shared" ca="1" si="10"/>
        <v>31209.545910676941</v>
      </c>
      <c r="M51" s="51">
        <f t="shared" ca="1" si="10"/>
        <v>36997.929751678494</v>
      </c>
      <c r="N51" s="51">
        <f t="shared" ca="1" si="10"/>
        <v>43415.387065629024</v>
      </c>
      <c r="O51" s="51">
        <f t="shared" ca="1" si="10"/>
        <v>50448.587653664683</v>
      </c>
      <c r="P51" s="51">
        <f t="shared" ca="1" si="10"/>
        <v>58286.969556563818</v>
      </c>
      <c r="Q51" s="51">
        <f t="shared" ca="1" si="10"/>
        <v>66924.47048712871</v>
      </c>
      <c r="R51" s="51">
        <f t="shared" ca="1" si="10"/>
        <v>76590.640460791474</v>
      </c>
    </row>
    <row r="52" spans="2:18" x14ac:dyDescent="0.2">
      <c r="B52" s="2"/>
      <c r="C52" s="38"/>
      <c r="D52" s="9"/>
      <c r="E52" s="9"/>
      <c r="F52" s="9"/>
      <c r="G52" s="9"/>
      <c r="H52" s="9"/>
      <c r="I52" s="269"/>
      <c r="J52" s="63"/>
      <c r="K52" s="63"/>
      <c r="L52" s="63"/>
      <c r="M52" s="63"/>
      <c r="N52" s="63"/>
      <c r="O52" s="63"/>
      <c r="P52" s="63"/>
      <c r="Q52" s="63"/>
      <c r="R52" s="63"/>
    </row>
    <row r="53" spans="2:18" x14ac:dyDescent="0.2">
      <c r="B53" s="383" t="s">
        <v>34</v>
      </c>
      <c r="C53" s="384"/>
      <c r="D53" s="8"/>
      <c r="E53" s="8"/>
      <c r="F53" s="8"/>
      <c r="G53" s="8"/>
      <c r="H53" s="8"/>
      <c r="I53" s="63"/>
      <c r="J53" s="63"/>
      <c r="K53" s="63"/>
      <c r="L53" s="63"/>
      <c r="M53" s="63"/>
      <c r="N53" s="63"/>
      <c r="O53" s="63"/>
      <c r="P53" s="63"/>
      <c r="Q53" s="63"/>
      <c r="R53" s="63"/>
    </row>
    <row r="54" spans="2:18" x14ac:dyDescent="0.2">
      <c r="B54" s="115"/>
      <c r="C54" s="205" t="s">
        <v>248</v>
      </c>
      <c r="D54" s="8"/>
      <c r="E54" s="8"/>
      <c r="F54" s="8"/>
      <c r="G54" s="8"/>
      <c r="H54" s="8"/>
      <c r="I54" s="63"/>
      <c r="J54" s="63"/>
      <c r="K54" s="63"/>
      <c r="L54" s="63"/>
      <c r="M54" s="63"/>
      <c r="N54" s="63"/>
      <c r="O54" s="63"/>
      <c r="P54" s="63"/>
      <c r="Q54" s="63"/>
      <c r="R54" s="63"/>
    </row>
    <row r="55" spans="2:18" x14ac:dyDescent="0.2">
      <c r="B55" s="2"/>
      <c r="C55" s="38" t="s">
        <v>249</v>
      </c>
      <c r="D55" s="6">
        <f>VLOOKUP($C55,'BS Input'!$C$55:$H$60,COUNTBLANK('Balance Sheet'!$C$6:D$6),0)</f>
        <v>2145.04</v>
      </c>
      <c r="E55" s="6">
        <f>VLOOKUP($C55,'BS Input'!$C$55:$H$60,COUNTBLANK('Balance Sheet'!$C$6:E$6),0)</f>
        <v>480.11</v>
      </c>
      <c r="F55" s="6">
        <f>VLOOKUP($C55,'BS Input'!$C$55:$H$60,COUNTBLANK('Balance Sheet'!$C$6:F$6),0)</f>
        <v>380.85</v>
      </c>
      <c r="G55" s="6">
        <f>VLOOKUP($C55,'BS Input'!$C$55:$H$60,COUNTBLANK('Balance Sheet'!$C$6:G$6),0)</f>
        <v>189.12</v>
      </c>
      <c r="H55" s="6">
        <f>VLOOKUP($C55,'BS Input'!$C$55:$H$60,COUNTBLANK('Balance Sheet'!$C$6:H$6),0)</f>
        <v>0</v>
      </c>
      <c r="I55" s="64">
        <f>'BS items '!I38</f>
        <v>662.0012019327022</v>
      </c>
      <c r="J55" s="64">
        <f>'BS items '!J38</f>
        <v>787.7004823148983</v>
      </c>
      <c r="K55" s="64">
        <f>'BS items '!K38</f>
        <v>854.44278683412165</v>
      </c>
      <c r="L55" s="64">
        <f>'BS items '!L38</f>
        <v>976.00060625248989</v>
      </c>
      <c r="M55" s="64">
        <f>'BS items '!M38</f>
        <v>958.45381490721365</v>
      </c>
      <c r="N55" s="64">
        <f>'BS items '!N38</f>
        <v>944.14586787870962</v>
      </c>
      <c r="O55" s="64">
        <f>'BS items '!O38</f>
        <v>933.0414134454403</v>
      </c>
      <c r="P55" s="64">
        <f>'BS items '!P38</f>
        <v>873.73805019118277</v>
      </c>
      <c r="Q55" s="64">
        <f>'BS items '!Q38</f>
        <v>724.42791884805604</v>
      </c>
      <c r="R55" s="64">
        <f>'BS items '!R38</f>
        <v>642.95298436795838</v>
      </c>
    </row>
    <row r="56" spans="2:18" x14ac:dyDescent="0.2">
      <c r="B56" s="2"/>
      <c r="C56" s="38" t="s">
        <v>250</v>
      </c>
      <c r="D56" s="6">
        <f>VLOOKUP($C56,'BS Input'!$C$55:$H$60,COUNTBLANK('Balance Sheet'!$C$6:D$6),0)</f>
        <v>34.19</v>
      </c>
      <c r="E56" s="6">
        <f>VLOOKUP($C56,'BS Input'!$C$55:$H$60,COUNTBLANK('Balance Sheet'!$C$6:E$6),0)</f>
        <v>67.489999999999995</v>
      </c>
      <c r="F56" s="6">
        <f>VLOOKUP($C56,'BS Input'!$C$55:$H$60,COUNTBLANK('Balance Sheet'!$C$6:F$6),0)</f>
        <v>64.44</v>
      </c>
      <c r="G56" s="6">
        <f>VLOOKUP($C56,'BS Input'!$C$55:$H$60,COUNTBLANK('Balance Sheet'!$C$6:G$6),0)</f>
        <v>57.61</v>
      </c>
      <c r="H56" s="6">
        <f>VLOOKUP($C56,'BS Input'!$C$55:$H$60,COUNTBLANK('Balance Sheet'!$C$6:H$6),0)</f>
        <v>35.83</v>
      </c>
      <c r="I56" s="64">
        <f>'BS items '!I40</f>
        <v>38.653313329327844</v>
      </c>
      <c r="J56" s="64">
        <f>'BS items '!J40</f>
        <v>41.811560385100918</v>
      </c>
      <c r="K56" s="64">
        <f>'BS items '!K40</f>
        <v>45.354277392770221</v>
      </c>
      <c r="L56" s="64">
        <f>'BS items '!L40</f>
        <v>49.339648642051408</v>
      </c>
      <c r="M56" s="64">
        <f>'BS items '!M40</f>
        <v>53.836230752096597</v>
      </c>
      <c r="N56" s="64">
        <f>'BS items '!N40</f>
        <v>58.925061288167214</v>
      </c>
      <c r="O56" s="64">
        <f>'BS items '!O40</f>
        <v>64.702246104310788</v>
      </c>
      <c r="P56" s="64">
        <f>'BS items '!P40</f>
        <v>71.282145036037932</v>
      </c>
      <c r="Q56" s="64">
        <f>'BS items '!Q40</f>
        <v>78.801308116215026</v>
      </c>
      <c r="R56" s="64">
        <f>'BS items '!R40</f>
        <v>87.423356601828857</v>
      </c>
    </row>
    <row r="57" spans="2:18" x14ac:dyDescent="0.2">
      <c r="B57" s="2"/>
      <c r="C57" s="38" t="s">
        <v>251</v>
      </c>
      <c r="D57" s="6">
        <f>VLOOKUP($C57,'BS Input'!$C$55:$H$60,COUNTBLANK('Balance Sheet'!$C$6:D$6),0)</f>
        <v>131.97999999999999</v>
      </c>
      <c r="E57" s="6">
        <f>VLOOKUP($C57,'BS Input'!$C$55:$H$60,COUNTBLANK('Balance Sheet'!$C$6:E$6),0)</f>
        <v>0</v>
      </c>
      <c r="F57" s="6">
        <f>VLOOKUP($C57,'BS Input'!$C$55:$H$60,COUNTBLANK('Balance Sheet'!$C$6:F$6),0)</f>
        <v>0</v>
      </c>
      <c r="G57" s="6">
        <f>VLOOKUP($C57,'BS Input'!$C$55:$H$60,COUNTBLANK('Balance Sheet'!$C$6:G$6),0)</f>
        <v>0</v>
      </c>
      <c r="H57" s="6">
        <f>VLOOKUP($C57,'BS Input'!$C$55:$H$60,COUNTBLANK('Balance Sheet'!$C$6:H$6),0)</f>
        <v>0</v>
      </c>
      <c r="I57" s="64">
        <f>H57</f>
        <v>0</v>
      </c>
      <c r="J57" s="64">
        <f t="shared" ref="J57:R57" si="11">I57</f>
        <v>0</v>
      </c>
      <c r="K57" s="64">
        <f t="shared" si="11"/>
        <v>0</v>
      </c>
      <c r="L57" s="64">
        <f t="shared" si="11"/>
        <v>0</v>
      </c>
      <c r="M57" s="64">
        <f t="shared" si="11"/>
        <v>0</v>
      </c>
      <c r="N57" s="64">
        <f t="shared" si="11"/>
        <v>0</v>
      </c>
      <c r="O57" s="64">
        <f t="shared" si="11"/>
        <v>0</v>
      </c>
      <c r="P57" s="64">
        <f t="shared" si="11"/>
        <v>0</v>
      </c>
      <c r="Q57" s="64">
        <f t="shared" si="11"/>
        <v>0</v>
      </c>
      <c r="R57" s="64">
        <f t="shared" si="11"/>
        <v>0</v>
      </c>
    </row>
    <row r="58" spans="2:18" x14ac:dyDescent="0.2">
      <c r="B58" s="2"/>
      <c r="C58" s="38" t="s">
        <v>36</v>
      </c>
      <c r="D58" s="6">
        <f>VLOOKUP($C58,'BS Input'!$C$55:$H$60,COUNTBLANK('Balance Sheet'!$C$6:D$6),0)</f>
        <v>116.98</v>
      </c>
      <c r="E58" s="6">
        <f>VLOOKUP($C58,'BS Input'!$C$55:$H$60,COUNTBLANK('Balance Sheet'!$C$6:E$6),0)</f>
        <v>114.72</v>
      </c>
      <c r="F58" s="6">
        <f>VLOOKUP($C58,'BS Input'!$C$55:$H$60,COUNTBLANK('Balance Sheet'!$C$6:F$6),0)</f>
        <v>107</v>
      </c>
      <c r="G58" s="6">
        <f>VLOOKUP($C58,'BS Input'!$C$55:$H$60,COUNTBLANK('Balance Sheet'!$C$6:G$6),0)</f>
        <v>103.42</v>
      </c>
      <c r="H58" s="6">
        <f>VLOOKUP($C58,'BS Input'!$C$55:$H$60,COUNTBLANK('Balance Sheet'!$C$6:H$6),0)</f>
        <v>166.63</v>
      </c>
      <c r="I58" s="64">
        <f>'BS items '!I42</f>
        <v>179.76002232949759</v>
      </c>
      <c r="J58" s="64">
        <f>'BS items '!J42</f>
        <v>194.44767811803982</v>
      </c>
      <c r="K58" s="64">
        <f>'BS items '!K42</f>
        <v>210.9233391559392</v>
      </c>
      <c r="L58" s="64">
        <f>'BS items '!L42</f>
        <v>229.45759568029661</v>
      </c>
      <c r="M58" s="64">
        <f>'BS items '!M42</f>
        <v>250.36927519458155</v>
      </c>
      <c r="N58" s="64">
        <f>'BS items '!N42</f>
        <v>274.03524874259847</v>
      </c>
      <c r="O58" s="64">
        <f>'BS items '!O42</f>
        <v>300.90246353227201</v>
      </c>
      <c r="P58" s="64">
        <f>'BS items '!P42</f>
        <v>331.50275822927722</v>
      </c>
      <c r="Q58" s="64">
        <f>'BS items '!Q42</f>
        <v>366.47116861303124</v>
      </c>
      <c r="R58" s="64">
        <f>'BS items '!R42</f>
        <v>406.56862714381083</v>
      </c>
    </row>
    <row r="59" spans="2:18" x14ac:dyDescent="0.2">
      <c r="B59" s="2"/>
      <c r="C59" s="38" t="s">
        <v>316</v>
      </c>
      <c r="D59" s="6">
        <f>VLOOKUP($C59,'BS Input'!$C$55:$H$60,COUNTBLANK('Balance Sheet'!$C$6:D$6),0)</f>
        <v>76.73</v>
      </c>
      <c r="E59" s="6">
        <f>VLOOKUP($C59,'BS Input'!$C$55:$H$60,COUNTBLANK('Balance Sheet'!$C$6:E$6),0)</f>
        <v>39.03</v>
      </c>
      <c r="F59" s="6">
        <f>VLOOKUP($C59,'BS Input'!$C$55:$H$60,COUNTBLANK('Balance Sheet'!$C$6:F$6),0)</f>
        <v>51.94</v>
      </c>
      <c r="G59" s="6">
        <f>VLOOKUP($C59,'BS Input'!$C$55:$H$60,COUNTBLANK('Balance Sheet'!$C$6:G$6),0)</f>
        <v>61.51</v>
      </c>
      <c r="H59" s="6">
        <f>VLOOKUP($C59,'BS Input'!$C$55:$H$60,COUNTBLANK('Balance Sheet'!$C$6:H$6),0)</f>
        <v>103.81</v>
      </c>
      <c r="I59" s="64">
        <f>'BS items '!I44</f>
        <v>111.98996530051699</v>
      </c>
      <c r="J59" s="64">
        <f>'BS items '!J44</f>
        <v>121.14033166556872</v>
      </c>
      <c r="K59" s="64">
        <f>'BS items '!K44</f>
        <v>131.40462004307778</v>
      </c>
      <c r="L59" s="64">
        <f>'BS items '!L44</f>
        <v>142.95140735504765</v>
      </c>
      <c r="M59" s="64">
        <f>'BS items '!M44</f>
        <v>155.97932219858075</v>
      </c>
      <c r="N59" s="64">
        <f>'BS items '!N44</f>
        <v>170.72315412572257</v>
      </c>
      <c r="O59" s="64">
        <f>'BS items '!O44</f>
        <v>187.46134993269615</v>
      </c>
      <c r="P59" s="64">
        <f>'BS items '!P44</f>
        <v>206.52524354426737</v>
      </c>
      <c r="Q59" s="64">
        <f>'BS items '!Q44</f>
        <v>228.31046038359705</v>
      </c>
      <c r="R59" s="64">
        <f>'BS items '!R44</f>
        <v>253.29105913580392</v>
      </c>
    </row>
    <row r="60" spans="2:18" x14ac:dyDescent="0.2">
      <c r="B60" s="2"/>
      <c r="C60" s="38" t="s">
        <v>39</v>
      </c>
      <c r="D60" s="6">
        <f>VLOOKUP($C60,'BS Input'!$C$55:$H$60,COUNTBLANK('Balance Sheet'!$C$6:D$6),0)</f>
        <v>7.17</v>
      </c>
      <c r="E60" s="6">
        <f>VLOOKUP($C60,'BS Input'!$C$55:$H$60,COUNTBLANK('Balance Sheet'!$C$6:E$6),0)</f>
        <v>6.88</v>
      </c>
      <c r="F60" s="6">
        <f>VLOOKUP($C60,'BS Input'!$C$55:$H$60,COUNTBLANK('Balance Sheet'!$C$6:F$6),0)</f>
        <v>2.29</v>
      </c>
      <c r="G60" s="6">
        <f>VLOOKUP($C60,'BS Input'!$C$55:$H$60,COUNTBLANK('Balance Sheet'!$C$6:G$6),0)</f>
        <v>1.57</v>
      </c>
      <c r="H60" s="6">
        <f>VLOOKUP($C60,'BS Input'!$C$55:$H$60,COUNTBLANK('Balance Sheet'!$C$6:H$6),0)</f>
        <v>0.71</v>
      </c>
      <c r="I60" s="64">
        <f>'BS items '!I46</f>
        <v>0.76594620328838314</v>
      </c>
      <c r="J60" s="64">
        <f>'BS items '!J46</f>
        <v>0.82852938524760411</v>
      </c>
      <c r="K60" s="64">
        <f>'BS items '!K46</f>
        <v>0.89873114565634549</v>
      </c>
      <c r="L60" s="64">
        <f>'BS items '!L46</f>
        <v>0.97770445257763061</v>
      </c>
      <c r="M60" s="64">
        <f>'BS items '!M46</f>
        <v>1.0668078100471277</v>
      </c>
      <c r="N60" s="64">
        <f>'BS items '!N46</f>
        <v>1.1676470419927079</v>
      </c>
      <c r="O60" s="64">
        <f>'BS items '!O46</f>
        <v>1.282126562491227</v>
      </c>
      <c r="P60" s="64">
        <f>'BS items '!P46</f>
        <v>1.4125125028073384</v>
      </c>
      <c r="Q60" s="64">
        <f>'BS items '!Q46</f>
        <v>1.5615107106478556</v>
      </c>
      <c r="R60" s="64">
        <f>'BS items '!R46</f>
        <v>1.7323634715963854</v>
      </c>
    </row>
    <row r="61" spans="2:18" x14ac:dyDescent="0.2">
      <c r="B61" s="2"/>
      <c r="C61" s="38"/>
      <c r="D61" s="6"/>
      <c r="E61" s="6"/>
      <c r="F61" s="6"/>
      <c r="G61" s="6"/>
      <c r="H61" s="6"/>
      <c r="I61" s="64"/>
      <c r="J61" s="64"/>
      <c r="K61" s="64"/>
      <c r="L61" s="64"/>
      <c r="M61" s="64"/>
      <c r="N61" s="64"/>
      <c r="O61" s="64"/>
      <c r="P61" s="64"/>
      <c r="Q61" s="64"/>
      <c r="R61" s="64"/>
    </row>
    <row r="62" spans="2:18" s="150" customFormat="1" x14ac:dyDescent="0.2">
      <c r="B62" s="4" t="s">
        <v>225</v>
      </c>
      <c r="C62" s="48"/>
      <c r="D62" s="148">
        <f>SUM(D55:D61)</f>
        <v>2512.09</v>
      </c>
      <c r="E62" s="149">
        <f>SUM(E55:E61)</f>
        <v>708.23</v>
      </c>
      <c r="F62" s="149">
        <f t="shared" ref="F62:R62" si="12">SUM(F55:F61)</f>
        <v>606.52</v>
      </c>
      <c r="G62" s="149">
        <f t="shared" si="12"/>
        <v>413.23</v>
      </c>
      <c r="H62" s="149">
        <f t="shared" si="12"/>
        <v>306.97999999999996</v>
      </c>
      <c r="I62" s="65">
        <f>SUM(I55:I61)</f>
        <v>993.17044909533297</v>
      </c>
      <c r="J62" s="65">
        <f t="shared" si="12"/>
        <v>1145.9285818688552</v>
      </c>
      <c r="K62" s="65">
        <f t="shared" si="12"/>
        <v>1243.0237545715652</v>
      </c>
      <c r="L62" s="65">
        <f t="shared" si="12"/>
        <v>1398.7269623824632</v>
      </c>
      <c r="M62" s="65">
        <f t="shared" si="12"/>
        <v>1419.7054508625197</v>
      </c>
      <c r="N62" s="65">
        <f t="shared" si="12"/>
        <v>1448.9969790771906</v>
      </c>
      <c r="O62" s="65">
        <f t="shared" si="12"/>
        <v>1487.3895995772104</v>
      </c>
      <c r="P62" s="65">
        <f t="shared" si="12"/>
        <v>1484.4607095035726</v>
      </c>
      <c r="Q62" s="65">
        <f t="shared" si="12"/>
        <v>1399.5723666715471</v>
      </c>
      <c r="R62" s="65">
        <f t="shared" si="12"/>
        <v>1391.9683907209981</v>
      </c>
    </row>
    <row r="63" spans="2:18" x14ac:dyDescent="0.2">
      <c r="B63" s="2"/>
      <c r="C63" s="38"/>
      <c r="D63" s="9"/>
      <c r="E63" s="9"/>
      <c r="F63" s="9"/>
      <c r="G63" s="9"/>
      <c r="H63" s="9"/>
      <c r="I63" s="63"/>
      <c r="J63" s="63"/>
      <c r="K63" s="63"/>
      <c r="L63" s="63"/>
      <c r="M63" s="63"/>
      <c r="N63" s="63"/>
      <c r="O63" s="63"/>
      <c r="P63" s="63"/>
      <c r="Q63" s="63"/>
      <c r="R63" s="63"/>
    </row>
    <row r="64" spans="2:18" x14ac:dyDescent="0.2">
      <c r="B64" s="383" t="s">
        <v>41</v>
      </c>
      <c r="C64" s="384"/>
      <c r="D64" s="8"/>
      <c r="E64" s="8"/>
      <c r="F64" s="8"/>
      <c r="G64" s="8"/>
      <c r="H64" s="8"/>
      <c r="I64" s="63"/>
      <c r="J64" s="63"/>
      <c r="K64" s="63"/>
      <c r="L64" s="63"/>
      <c r="M64" s="63"/>
      <c r="N64" s="63"/>
      <c r="O64" s="63"/>
      <c r="P64" s="63"/>
      <c r="Q64" s="63"/>
      <c r="R64" s="63"/>
    </row>
    <row r="65" spans="2:18" x14ac:dyDescent="0.2">
      <c r="B65" s="115"/>
      <c r="C65" s="205" t="s">
        <v>248</v>
      </c>
      <c r="D65" s="8"/>
      <c r="E65" s="8"/>
      <c r="F65" s="8"/>
      <c r="G65" s="8"/>
      <c r="H65" s="8"/>
      <c r="I65" s="63"/>
      <c r="J65" s="63"/>
      <c r="K65" s="63"/>
      <c r="L65" s="63"/>
      <c r="M65" s="63"/>
      <c r="N65" s="63"/>
      <c r="O65" s="63"/>
      <c r="P65" s="63"/>
      <c r="Q65" s="63"/>
      <c r="R65" s="63"/>
    </row>
    <row r="66" spans="2:18" x14ac:dyDescent="0.2">
      <c r="B66" s="2"/>
      <c r="C66" s="38" t="s">
        <v>249</v>
      </c>
      <c r="D66" s="6">
        <f>VLOOKUP($C66,'BS Input'!$C$66:$H$72,COUNTBLANK('Balance Sheet'!$C$6:D$6),0)</f>
        <v>518.70000000000005</v>
      </c>
      <c r="E66" s="6">
        <f>VLOOKUP($C66,'BS Input'!$C$66:$H$72,COUNTBLANK('Balance Sheet'!$C$6:E$6),0)</f>
        <v>279.41000000000003</v>
      </c>
      <c r="F66" s="6">
        <f>VLOOKUP($C66,'BS Input'!$C$66:$H$72,COUNTBLANK('Balance Sheet'!$C$6:F$6),0)</f>
        <v>1226.81</v>
      </c>
      <c r="G66" s="6">
        <f>VLOOKUP($C66,'BS Input'!$C$66:$H$72,COUNTBLANK('Balance Sheet'!$C$6:G$6),0)</f>
        <v>844.84</v>
      </c>
      <c r="H66" s="6">
        <f>VLOOKUP($C66,'BS Input'!$C$66:$H$72,COUNTBLANK('Balance Sheet'!$C$6:H$6),0)</f>
        <v>3154.64</v>
      </c>
      <c r="I66" s="64">
        <f>'BS items '!I49</f>
        <v>3403.2176489319227</v>
      </c>
      <c r="J66" s="64">
        <f>'BS items '!J49</f>
        <v>3681.2844223626785</v>
      </c>
      <c r="K66" s="64">
        <f>'BS items '!K49</f>
        <v>3993.2017201877939</v>
      </c>
      <c r="L66" s="64">
        <f>'BS items '!L49</f>
        <v>4561.2969760471433</v>
      </c>
      <c r="M66" s="64">
        <f>'BS items '!M49</f>
        <v>4976.991999128767</v>
      </c>
      <c r="N66" s="64">
        <f>'BS items '!N49</f>
        <v>5338.4897752449024</v>
      </c>
      <c r="O66" s="64">
        <f>'BS items '!O49</f>
        <v>5744.6530606486249</v>
      </c>
      <c r="P66" s="64">
        <f>'BS items '!P49</f>
        <v>5695.9703190463579</v>
      </c>
      <c r="Q66" s="64">
        <f>'BS items '!Q49</f>
        <v>5667.1263289643894</v>
      </c>
      <c r="R66" s="64">
        <f>'BS items '!R49</f>
        <v>5658.4756779747941</v>
      </c>
    </row>
    <row r="67" spans="2:18" x14ac:dyDescent="0.2">
      <c r="B67" s="2"/>
      <c r="C67" s="38" t="s">
        <v>256</v>
      </c>
      <c r="D67" s="6">
        <f>VLOOKUP($C67,'BS Input'!$C$66:$H$72,COUNTBLANK('Balance Sheet'!$C$6:D$6),0)</f>
        <v>22.43</v>
      </c>
      <c r="E67" s="6">
        <f>VLOOKUP($C67,'BS Input'!$C$66:$H$72,COUNTBLANK('Balance Sheet'!$C$6:E$6),0)</f>
        <v>28.16</v>
      </c>
      <c r="F67" s="6">
        <f>VLOOKUP($C67,'BS Input'!$C$66:$H$72,COUNTBLANK('Balance Sheet'!$C$6:F$6),0)</f>
        <v>32.24</v>
      </c>
      <c r="G67" s="6">
        <f>VLOOKUP($C67,'BS Input'!$C$66:$H$72,COUNTBLANK('Balance Sheet'!$C$6:G$6),0)</f>
        <v>38.01</v>
      </c>
      <c r="H67" s="6">
        <f>VLOOKUP($C67,'BS Input'!$C$66:$H$72,COUNTBLANK('Balance Sheet'!$C$6:H$6),0)</f>
        <v>31.73</v>
      </c>
      <c r="I67" s="64">
        <f>'BS items '!I51</f>
        <v>34.23024370470479</v>
      </c>
      <c r="J67" s="64">
        <f>'BS items '!J51</f>
        <v>37.027094920995047</v>
      </c>
      <c r="K67" s="64">
        <f>'BS items '!K51</f>
        <v>40.164421481233582</v>
      </c>
      <c r="L67" s="64">
        <f>'BS items '!L51</f>
        <v>43.693749690546788</v>
      </c>
      <c r="M67" s="64">
        <f>'BS items '!M51</f>
        <v>47.675791285627277</v>
      </c>
      <c r="N67" s="64">
        <f>'BS items '!N51</f>
        <v>52.182310763983978</v>
      </c>
      <c r="O67" s="64">
        <f>'BS items '!O51</f>
        <v>57.298416658938919</v>
      </c>
      <c r="P67" s="64">
        <f>'BS items '!P51</f>
        <v>63.125382695882898</v>
      </c>
      <c r="Q67" s="64">
        <f>'BS items '!Q51</f>
        <v>69.784133589938676</v>
      </c>
      <c r="R67" s="64">
        <f>'BS items '!R51</f>
        <v>77.419567540497624</v>
      </c>
    </row>
    <row r="68" spans="2:18" x14ac:dyDescent="0.2">
      <c r="B68" s="2"/>
      <c r="C68" s="38" t="s">
        <v>252</v>
      </c>
      <c r="D68" s="6">
        <f>VLOOKUP($C68,'BS Input'!$C$66:$H$72,COUNTBLANK('Balance Sheet'!$C$6:D$6),0)</f>
        <v>2480.4900000000002</v>
      </c>
      <c r="E68" s="6">
        <f>VLOOKUP($C68,'BS Input'!$C$66:$H$72,COUNTBLANK('Balance Sheet'!$C$6:E$6),0)</f>
        <v>2159.6400000000003</v>
      </c>
      <c r="F68" s="6">
        <f>VLOOKUP($C68,'BS Input'!$C$66:$H$72,COUNTBLANK('Balance Sheet'!$C$6:F$6),0)</f>
        <v>2163.06</v>
      </c>
      <c r="G68" s="6">
        <f>VLOOKUP($C68,'BS Input'!$C$66:$H$72,COUNTBLANK('Balance Sheet'!$C$6:G$6),0)</f>
        <v>1823.17</v>
      </c>
      <c r="H68" s="6">
        <f>VLOOKUP($C68,'BS Input'!$C$66:$H$72,COUNTBLANK('Balance Sheet'!$C$6:H$6),0)</f>
        <v>1675.48</v>
      </c>
      <c r="I68" s="64">
        <f>'Working Capital'!H13</f>
        <v>1759.2540000000001</v>
      </c>
      <c r="J68" s="64">
        <f>'Working Capital'!I13</f>
        <v>1847.2167000000002</v>
      </c>
      <c r="K68" s="64">
        <f>'Working Capital'!J13</f>
        <v>1939.5775350000004</v>
      </c>
      <c r="L68" s="64">
        <f>'Working Capital'!K13</f>
        <v>2036.5564117500005</v>
      </c>
      <c r="M68" s="64">
        <f>'Working Capital'!L13</f>
        <v>2138.3842323375006</v>
      </c>
      <c r="N68" s="64">
        <f>'Working Capital'!M13</f>
        <v>2245.3034439543758</v>
      </c>
      <c r="O68" s="64">
        <f>'Working Capital'!N13</f>
        <v>2357.5686161520948</v>
      </c>
      <c r="P68" s="64">
        <f>'Working Capital'!O13</f>
        <v>2475.4470469596995</v>
      </c>
      <c r="Q68" s="64">
        <f>'Working Capital'!P13</f>
        <v>2599.2193993076844</v>
      </c>
      <c r="R68" s="64">
        <f>'Working Capital'!Q13</f>
        <v>2729.1803692730687</v>
      </c>
    </row>
    <row r="69" spans="2:18" x14ac:dyDescent="0.2">
      <c r="B69" s="2"/>
      <c r="C69" s="38" t="s">
        <v>255</v>
      </c>
      <c r="D69" s="6">
        <f>VLOOKUP($C69,'BS Input'!$C$66:$H$72,COUNTBLANK('Balance Sheet'!$C$6:D$6),0)</f>
        <v>1336.04</v>
      </c>
      <c r="E69" s="6">
        <f>VLOOKUP($C69,'BS Input'!$C$66:$H$72,COUNTBLANK('Balance Sheet'!$C$6:E$6),0)</f>
        <v>1462.23</v>
      </c>
      <c r="F69" s="6">
        <f>VLOOKUP($C69,'BS Input'!$C$66:$H$72,COUNTBLANK('Balance Sheet'!$C$6:F$6),0)</f>
        <v>227.23</v>
      </c>
      <c r="G69" s="6">
        <f>VLOOKUP($C69,'BS Input'!$C$66:$H$72,COUNTBLANK('Balance Sheet'!$C$6:G$6),0)</f>
        <v>266.39</v>
      </c>
      <c r="H69" s="6">
        <f>VLOOKUP($C69,'BS Input'!$C$66:$H$72,COUNTBLANK('Balance Sheet'!$C$6:H$6),0)</f>
        <v>344.02</v>
      </c>
      <c r="I69" s="64">
        <f>'BS items '!I53</f>
        <v>445.35348651594853</v>
      </c>
      <c r="J69" s="64">
        <f>'BS items '!J53</f>
        <v>481.74199286684063</v>
      </c>
      <c r="K69" s="64">
        <f>'BS items '!K53</f>
        <v>522.56026264004947</v>
      </c>
      <c r="L69" s="64">
        <f>'BS items '!L53</f>
        <v>568.47868018437703</v>
      </c>
      <c r="M69" s="64">
        <f>'BS items '!M53</f>
        <v>607.88139440478517</v>
      </c>
      <c r="N69" s="64">
        <f>'BS items '!N53</f>
        <v>652.03412204794245</v>
      </c>
      <c r="O69" s="64">
        <f>'BS items '!O53</f>
        <v>701.64221953543358</v>
      </c>
      <c r="P69" s="64">
        <f>'BS items '!P53</f>
        <v>757.53585320958621</v>
      </c>
      <c r="Q69" s="64">
        <f>'BS items '!Q53</f>
        <v>921.18857762256664</v>
      </c>
      <c r="R69" s="64">
        <f>'BS items '!R53</f>
        <v>1124.1785116090414</v>
      </c>
    </row>
    <row r="70" spans="2:18" x14ac:dyDescent="0.2">
      <c r="B70" s="2"/>
      <c r="C70" s="38" t="s">
        <v>317</v>
      </c>
      <c r="D70" s="6">
        <f>VLOOKUP($C70,'BS Input'!$C$66:$H$72,COUNTBLANK('Balance Sheet'!$C$6:D$6),0)</f>
        <v>48.23</v>
      </c>
      <c r="E70" s="6">
        <f>VLOOKUP($C70,'BS Input'!$C$66:$H$72,COUNTBLANK('Balance Sheet'!$C$6:E$6),0)</f>
        <v>53.3</v>
      </c>
      <c r="F70" s="6">
        <f>VLOOKUP($C70,'BS Input'!$C$66:$H$72,COUNTBLANK('Balance Sheet'!$C$6:F$6),0)</f>
        <v>22.22</v>
      </c>
      <c r="G70" s="6">
        <f>VLOOKUP($C70,'BS Input'!$C$66:$H$72,COUNTBLANK('Balance Sheet'!$C$6:G$6),0)</f>
        <v>14.71</v>
      </c>
      <c r="H70" s="6">
        <f>VLOOKUP($C70,'BS Input'!$C$66:$H$72,COUNTBLANK('Balance Sheet'!$C$6:H$6),0)</f>
        <v>58.46</v>
      </c>
      <c r="I70" s="64">
        <f>'BS items '!I59</f>
        <v>63.066500062308286</v>
      </c>
      <c r="J70" s="64">
        <f>'BS items '!J59</f>
        <v>68.219475861373155</v>
      </c>
      <c r="K70" s="64">
        <f>'BS items '!K59</f>
        <v>73.99975038742248</v>
      </c>
      <c r="L70" s="64">
        <f>'BS items '!L59</f>
        <v>80.50225675730745</v>
      </c>
      <c r="M70" s="64">
        <f>'BS items '!M59</f>
        <v>87.838851514584633</v>
      </c>
      <c r="N70" s="64">
        <f>'BS items '!N59</f>
        <v>96.141755035061564</v>
      </c>
      <c r="O70" s="64">
        <f>'BS items '!O59</f>
        <v>105.56777301864385</v>
      </c>
      <c r="P70" s="64">
        <f>'BS items '!P59</f>
        <v>116.30349424523523</v>
      </c>
      <c r="Q70" s="64">
        <f>'BS items '!Q59</f>
        <v>128.57171287954034</v>
      </c>
      <c r="R70" s="64">
        <f>'BS items '!R59</f>
        <v>142.63939232327422</v>
      </c>
    </row>
    <row r="71" spans="2:18" x14ac:dyDescent="0.2">
      <c r="B71" s="2"/>
      <c r="C71" s="38" t="s">
        <v>36</v>
      </c>
      <c r="D71" s="6">
        <f>VLOOKUP($C71,'BS Input'!$C$66:$H$72,COUNTBLANK('Balance Sheet'!$C$6:D$6),0)</f>
        <v>55.96</v>
      </c>
      <c r="E71" s="6">
        <f>VLOOKUP($C71,'BS Input'!$C$66:$H$72,COUNTBLANK('Balance Sheet'!$C$6:E$6),0)</f>
        <v>72.400000000000006</v>
      </c>
      <c r="F71" s="6">
        <f>VLOOKUP($C71,'BS Input'!$C$66:$H$72,COUNTBLANK('Balance Sheet'!$C$6:F$6),0)</f>
        <v>76.209999999999994</v>
      </c>
      <c r="G71" s="6">
        <f>VLOOKUP($C71,'BS Input'!$C$66:$H$72,COUNTBLANK('Balance Sheet'!$C$6:G$6),0)</f>
        <v>75.16</v>
      </c>
      <c r="H71" s="6">
        <f>VLOOKUP($C71,'BS Input'!$C$66:$H$72,COUNTBLANK('Balance Sheet'!$C$6:H$6),0)</f>
        <v>90.97</v>
      </c>
      <c r="I71" s="64">
        <f>'BS items '!I57</f>
        <v>98.138205793160878</v>
      </c>
      <c r="J71" s="64">
        <f>'BS items '!J57</f>
        <v>106.15678616334444</v>
      </c>
      <c r="K71" s="64">
        <f>'BS items '!K57</f>
        <v>115.15151031036302</v>
      </c>
      <c r="L71" s="64">
        <f>'BS items '!L57</f>
        <v>125.27010429716488</v>
      </c>
      <c r="M71" s="64">
        <f>'BS items '!M57</f>
        <v>136.68662884505241</v>
      </c>
      <c r="N71" s="64">
        <f>'BS items '!N57</f>
        <v>149.60683297193893</v>
      </c>
      <c r="O71" s="64">
        <f>'BS items '!O57</f>
        <v>164.27472308426326</v>
      </c>
      <c r="P71" s="64">
        <f>'BS items '!P57</f>
        <v>180.98065123997688</v>
      </c>
      <c r="Q71" s="64">
        <f>'BS items '!Q57</f>
        <v>200.07130894033159</v>
      </c>
      <c r="R71" s="64">
        <f>'BS items '!R57</f>
        <v>221.96211973397632</v>
      </c>
    </row>
    <row r="72" spans="2:18" x14ac:dyDescent="0.2">
      <c r="B72" s="2"/>
      <c r="C72" s="38" t="s">
        <v>43</v>
      </c>
      <c r="D72" s="6">
        <f>VLOOKUP($C72,'BS Input'!$C$66:$H$72,COUNTBLANK('Balance Sheet'!$C$6:D$6),0)</f>
        <v>84.71</v>
      </c>
      <c r="E72" s="6">
        <f>VLOOKUP($C72,'BS Input'!$C$66:$H$72,COUNTBLANK('Balance Sheet'!$C$6:E$6),0)</f>
        <v>80.55</v>
      </c>
      <c r="F72" s="6">
        <f>VLOOKUP($C72,'BS Input'!$C$66:$H$72,COUNTBLANK('Balance Sheet'!$C$6:F$6),0)</f>
        <v>223.84</v>
      </c>
      <c r="G72" s="6">
        <f>VLOOKUP($C72,'BS Input'!$C$66:$H$72,COUNTBLANK('Balance Sheet'!$C$6:G$6),0)</f>
        <v>229.03</v>
      </c>
      <c r="H72" s="6">
        <f>VLOOKUP($C72,'BS Input'!$C$66:$H$72,COUNTBLANK('Balance Sheet'!$C$6:H$6),0)</f>
        <v>235.04</v>
      </c>
      <c r="I72" s="64">
        <f>'BS items '!I55</f>
        <v>304.27266865504492</v>
      </c>
      <c r="J72" s="64">
        <f>'BS items '!J55</f>
        <v>394.96065811321051</v>
      </c>
      <c r="K72" s="64">
        <f>'BS items '!K55</f>
        <v>514.11107595058661</v>
      </c>
      <c r="L72" s="64">
        <f>'BS items '!L55</f>
        <v>559.28704652744557</v>
      </c>
      <c r="M72" s="64">
        <f>'BS items '!M55</f>
        <v>598.05266506277837</v>
      </c>
      <c r="N72" s="64">
        <f>'BS items '!N55</f>
        <v>641.49149487370994</v>
      </c>
      <c r="O72" s="64">
        <f>'BS items '!O55</f>
        <v>690.29748759559334</v>
      </c>
      <c r="P72" s="64">
        <f>'BS items '!P55</f>
        <v>745.28738675445879</v>
      </c>
      <c r="Q72" s="64">
        <f>'BS items '!Q55</f>
        <v>823.90367137626163</v>
      </c>
      <c r="R72" s="64">
        <f>'BS items '!R55</f>
        <v>914.05112669013636</v>
      </c>
    </row>
    <row r="73" spans="2:18" x14ac:dyDescent="0.2">
      <c r="B73" s="2"/>
      <c r="C73" s="38"/>
      <c r="D73" s="6"/>
      <c r="E73" s="6"/>
      <c r="F73" s="6"/>
      <c r="G73" s="6"/>
      <c r="H73" s="6"/>
      <c r="I73" s="64"/>
      <c r="J73" s="64"/>
      <c r="K73" s="64"/>
      <c r="L73" s="64"/>
      <c r="M73" s="64"/>
      <c r="N73" s="64"/>
      <c r="O73" s="64"/>
      <c r="P73" s="64"/>
      <c r="Q73" s="64"/>
      <c r="R73" s="64"/>
    </row>
    <row r="74" spans="2:18" s="150" customFormat="1" x14ac:dyDescent="0.2">
      <c r="B74" s="4" t="s">
        <v>224</v>
      </c>
      <c r="C74" s="48"/>
      <c r="D74" s="148">
        <f>SUM(D66:D73)</f>
        <v>4546.5599999999995</v>
      </c>
      <c r="E74" s="149">
        <f>SUM(E66:E73)</f>
        <v>4135.6900000000005</v>
      </c>
      <c r="F74" s="149">
        <f t="shared" ref="F74:H74" si="13">SUM(F66:F73)</f>
        <v>3971.6099999999997</v>
      </c>
      <c r="G74" s="149">
        <f t="shared" si="13"/>
        <v>3291.31</v>
      </c>
      <c r="H74" s="149">
        <f t="shared" si="13"/>
        <v>5590.3400000000011</v>
      </c>
      <c r="I74" s="65">
        <f>SUM(I66:I72)</f>
        <v>6107.5327536630894</v>
      </c>
      <c r="J74" s="65">
        <f t="shared" ref="J74:R74" si="14">SUM(J66:J72)</f>
        <v>6616.607130288442</v>
      </c>
      <c r="K74" s="65">
        <f t="shared" si="14"/>
        <v>7198.7662759574496</v>
      </c>
      <c r="L74" s="65">
        <f t="shared" si="14"/>
        <v>7975.0852252539853</v>
      </c>
      <c r="M74" s="65">
        <f t="shared" si="14"/>
        <v>8593.5115625790968</v>
      </c>
      <c r="N74" s="65">
        <f t="shared" si="14"/>
        <v>9175.2497348919132</v>
      </c>
      <c r="O74" s="65">
        <f t="shared" si="14"/>
        <v>9821.3022966935914</v>
      </c>
      <c r="P74" s="65">
        <f t="shared" si="14"/>
        <v>10034.650134151199</v>
      </c>
      <c r="Q74" s="65">
        <f t="shared" si="14"/>
        <v>10409.865132680712</v>
      </c>
      <c r="R74" s="65">
        <f t="shared" si="14"/>
        <v>10867.906765144788</v>
      </c>
    </row>
    <row r="75" spans="2:18" x14ac:dyDescent="0.2">
      <c r="B75" s="2"/>
      <c r="C75" s="38"/>
      <c r="D75" s="9"/>
      <c r="E75" s="9"/>
      <c r="F75" s="9"/>
      <c r="G75" s="9"/>
      <c r="H75" s="9"/>
      <c r="I75" s="63"/>
      <c r="J75" s="63"/>
      <c r="K75" s="63"/>
      <c r="L75" s="63"/>
      <c r="M75" s="63"/>
      <c r="N75" s="63"/>
      <c r="O75" s="63"/>
      <c r="P75" s="63"/>
      <c r="Q75" s="63"/>
      <c r="R75" s="63"/>
    </row>
    <row r="76" spans="2:18" x14ac:dyDescent="0.2">
      <c r="B76" s="390" t="s">
        <v>40</v>
      </c>
      <c r="C76" s="391"/>
      <c r="D76" s="110">
        <f>D74+D62+D51</f>
        <v>14957.009999999998</v>
      </c>
      <c r="E76" s="110">
        <f>E74+E62+E51</f>
        <v>14282.82</v>
      </c>
      <c r="F76" s="110">
        <f t="shared" ref="F76:R76" si="15">F74+F62+F51</f>
        <v>16134.06</v>
      </c>
      <c r="G76" s="110">
        <f t="shared" si="15"/>
        <v>17498.77</v>
      </c>
      <c r="H76" s="110">
        <f t="shared" si="15"/>
        <v>18495.890000000003</v>
      </c>
      <c r="I76" s="110">
        <f t="shared" ca="1" si="15"/>
        <v>23750.064752507729</v>
      </c>
      <c r="J76" s="110">
        <f t="shared" ca="1" si="15"/>
        <v>28848.329433690476</v>
      </c>
      <c r="K76" s="110">
        <f t="shared" ca="1" si="15"/>
        <v>34341.454338310374</v>
      </c>
      <c r="L76" s="110">
        <f t="shared" ca="1" si="15"/>
        <v>40583.358098313387</v>
      </c>
      <c r="M76" s="110">
        <f t="shared" ca="1" si="15"/>
        <v>47011.146765120109</v>
      </c>
      <c r="N76" s="110">
        <f t="shared" ca="1" si="15"/>
        <v>54039.633779598124</v>
      </c>
      <c r="O76" s="110">
        <f t="shared" ca="1" si="15"/>
        <v>61757.279549935483</v>
      </c>
      <c r="P76" s="110">
        <f t="shared" ca="1" si="15"/>
        <v>69806.080400218591</v>
      </c>
      <c r="Q76" s="110">
        <f t="shared" ca="1" si="15"/>
        <v>78733.907986480976</v>
      </c>
      <c r="R76" s="110">
        <f t="shared" ca="1" si="15"/>
        <v>88850.515616657256</v>
      </c>
    </row>
    <row r="78" spans="2:18" x14ac:dyDescent="0.2">
      <c r="D78" s="55">
        <f t="shared" ref="D78:R78" si="16">D43-D76</f>
        <v>0</v>
      </c>
      <c r="E78" s="55">
        <f t="shared" si="16"/>
        <v>0</v>
      </c>
      <c r="F78" s="55">
        <f t="shared" si="16"/>
        <v>0</v>
      </c>
      <c r="G78" s="55">
        <f t="shared" si="16"/>
        <v>0</v>
      </c>
      <c r="H78" s="55">
        <f t="shared" si="16"/>
        <v>0</v>
      </c>
      <c r="I78" s="55">
        <f t="shared" ca="1" si="16"/>
        <v>0</v>
      </c>
      <c r="J78" s="55">
        <f t="shared" ca="1" si="16"/>
        <v>0</v>
      </c>
      <c r="K78" s="55">
        <f t="shared" ca="1" si="16"/>
        <v>0</v>
      </c>
      <c r="L78" s="55">
        <f t="shared" ca="1" si="16"/>
        <v>0</v>
      </c>
      <c r="M78" s="55">
        <f t="shared" ca="1" si="16"/>
        <v>0</v>
      </c>
      <c r="N78" s="55">
        <f t="shared" ca="1" si="16"/>
        <v>0</v>
      </c>
      <c r="O78" s="55">
        <f t="shared" ca="1" si="16"/>
        <v>0</v>
      </c>
      <c r="P78" s="55">
        <f t="shared" ca="1" si="16"/>
        <v>0</v>
      </c>
      <c r="Q78" s="55">
        <f t="shared" ca="1" si="16"/>
        <v>0</v>
      </c>
      <c r="R78" s="55">
        <f t="shared" ca="1" si="16"/>
        <v>0</v>
      </c>
    </row>
  </sheetData>
  <mergeCells count="12">
    <mergeCell ref="B10:C10"/>
    <mergeCell ref="B43:C43"/>
    <mergeCell ref="B45:C45"/>
    <mergeCell ref="B76:C76"/>
    <mergeCell ref="Q6:R6"/>
    <mergeCell ref="B8:C9"/>
    <mergeCell ref="B12:C12"/>
    <mergeCell ref="B29:C29"/>
    <mergeCell ref="B47:C47"/>
    <mergeCell ref="B53:C53"/>
    <mergeCell ref="B64:C64"/>
    <mergeCell ref="B7:R7"/>
  </mergeCells>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rgb="FF92D050"/>
  </sheetPr>
  <dimension ref="B6:Q81"/>
  <sheetViews>
    <sheetView showGridLines="0" topLeftCell="A4" zoomScale="93" zoomScaleNormal="100" workbookViewId="0">
      <selection activeCell="H82" sqref="H82"/>
    </sheetView>
  </sheetViews>
  <sheetFormatPr baseColWidth="10" defaultColWidth="8.83203125" defaultRowHeight="14" x14ac:dyDescent="0.15"/>
  <cols>
    <col min="1" max="1" width="5.1640625" style="2" customWidth="1"/>
    <col min="2" max="2" width="51.33203125" style="2" bestFit="1" customWidth="1"/>
    <col min="3" max="3" width="13.83203125" style="2" customWidth="1"/>
    <col min="4" max="4" width="12.83203125" style="2" customWidth="1"/>
    <col min="5" max="8" width="14.1640625" style="2" bestFit="1" customWidth="1"/>
    <col min="9" max="9" width="12.83203125" style="2" bestFit="1" customWidth="1"/>
    <col min="10" max="10" width="13.33203125" style="2" bestFit="1" customWidth="1"/>
    <col min="11" max="13" width="13.5" style="2" bestFit="1" customWidth="1"/>
    <col min="14" max="15" width="14.1640625" style="2" bestFit="1" customWidth="1"/>
    <col min="16" max="16" width="12.83203125" style="2" customWidth="1"/>
    <col min="17" max="17" width="14.1640625" style="2" bestFit="1" customWidth="1"/>
    <col min="18" max="16384" width="8.83203125" style="2"/>
  </cols>
  <sheetData>
    <row r="6" spans="2:17" ht="13.75" customHeight="1" x14ac:dyDescent="0.15">
      <c r="B6" s="3"/>
      <c r="C6" s="3"/>
      <c r="F6" s="120"/>
      <c r="G6" s="120"/>
      <c r="P6" s="362" t="s">
        <v>76</v>
      </c>
      <c r="Q6" s="362"/>
    </row>
    <row r="7" spans="2:17" ht="13.75" customHeight="1" x14ac:dyDescent="0.2">
      <c r="B7" s="363" t="s">
        <v>181</v>
      </c>
      <c r="C7" s="364"/>
      <c r="D7" s="364"/>
      <c r="E7" s="364"/>
      <c r="F7" s="364"/>
      <c r="G7" s="364"/>
      <c r="H7" s="364"/>
      <c r="I7" s="364"/>
      <c r="J7" s="364"/>
      <c r="K7" s="364"/>
      <c r="L7" s="364"/>
      <c r="M7" s="364"/>
      <c r="N7" s="364"/>
      <c r="O7" s="364"/>
      <c r="P7" s="364"/>
      <c r="Q7" s="365"/>
    </row>
    <row r="8" spans="2:17" x14ac:dyDescent="0.15">
      <c r="B8" s="389" t="s">
        <v>0</v>
      </c>
      <c r="C8" s="234">
        <v>2020</v>
      </c>
      <c r="D8" s="234">
        <v>2021</v>
      </c>
      <c r="E8" s="234">
        <v>2022</v>
      </c>
      <c r="F8" s="234">
        <v>2023</v>
      </c>
      <c r="G8" s="234">
        <v>2024</v>
      </c>
      <c r="H8" s="263">
        <v>2025</v>
      </c>
      <c r="I8" s="263">
        <v>2026</v>
      </c>
      <c r="J8" s="263">
        <v>2027</v>
      </c>
      <c r="K8" s="263">
        <v>2028</v>
      </c>
      <c r="L8" s="263">
        <v>2029</v>
      </c>
      <c r="M8" s="263">
        <v>2030</v>
      </c>
      <c r="N8" s="263">
        <v>2031</v>
      </c>
      <c r="O8" s="263">
        <v>2032</v>
      </c>
      <c r="P8" s="263">
        <v>2033</v>
      </c>
      <c r="Q8" s="263">
        <v>2034</v>
      </c>
    </row>
    <row r="9" spans="2:17" x14ac:dyDescent="0.15">
      <c r="B9" s="387"/>
      <c r="C9" s="13" t="s">
        <v>2</v>
      </c>
      <c r="D9" s="13" t="s">
        <v>2</v>
      </c>
      <c r="E9" s="13" t="s">
        <v>2</v>
      </c>
      <c r="F9" s="13" t="s">
        <v>2</v>
      </c>
      <c r="G9" s="13" t="s">
        <v>2</v>
      </c>
      <c r="H9" s="119" t="s">
        <v>60</v>
      </c>
      <c r="I9" s="119" t="s">
        <v>61</v>
      </c>
      <c r="J9" s="119" t="s">
        <v>61</v>
      </c>
      <c r="K9" s="119" t="s">
        <v>61</v>
      </c>
      <c r="L9" s="119" t="s">
        <v>61</v>
      </c>
      <c r="M9" s="119" t="s">
        <v>61</v>
      </c>
      <c r="N9" s="119" t="s">
        <v>61</v>
      </c>
      <c r="O9" s="119" t="s">
        <v>61</v>
      </c>
      <c r="P9" s="119" t="s">
        <v>61</v>
      </c>
      <c r="Q9" s="119" t="s">
        <v>61</v>
      </c>
    </row>
    <row r="10" spans="2:17" x14ac:dyDescent="0.15">
      <c r="B10" s="38"/>
      <c r="H10" s="34"/>
      <c r="I10" s="34"/>
      <c r="J10" s="34"/>
      <c r="K10" s="34"/>
      <c r="L10" s="34"/>
      <c r="M10" s="34"/>
      <c r="N10" s="34"/>
      <c r="O10" s="34"/>
      <c r="P10" s="34"/>
      <c r="Q10" s="34"/>
    </row>
    <row r="11" spans="2:17" s="75" customFormat="1" x14ac:dyDescent="0.15">
      <c r="B11" s="82" t="s">
        <v>97</v>
      </c>
      <c r="H11" s="79"/>
      <c r="I11" s="79"/>
      <c r="J11" s="79"/>
      <c r="K11" s="79"/>
      <c r="L11" s="79"/>
      <c r="M11" s="79"/>
      <c r="N11" s="79"/>
      <c r="O11" s="79"/>
      <c r="P11" s="79"/>
      <c r="Q11" s="79"/>
    </row>
    <row r="12" spans="2:17" x14ac:dyDescent="0.15">
      <c r="B12" s="38"/>
      <c r="H12" s="34"/>
      <c r="I12" s="34"/>
      <c r="J12" s="34"/>
      <c r="K12" s="34"/>
      <c r="L12" s="34"/>
      <c r="M12" s="34"/>
      <c r="N12" s="34"/>
      <c r="O12" s="34"/>
      <c r="P12" s="34"/>
      <c r="Q12" s="34"/>
    </row>
    <row r="13" spans="2:17" x14ac:dyDescent="0.15">
      <c r="B13" s="38" t="s">
        <v>99</v>
      </c>
      <c r="C13" s="76"/>
      <c r="D13" s="76">
        <f>'Income Statement'!D43</f>
        <v>2080.3600000000006</v>
      </c>
      <c r="E13" s="76">
        <f>'Income Statement'!E43</f>
        <v>2155.2600000000011</v>
      </c>
      <c r="F13" s="76">
        <f>'Income Statement'!F43</f>
        <v>2132.7299999999991</v>
      </c>
      <c r="G13" s="76">
        <f>'Income Statement'!G43</f>
        <v>198.23000000000002</v>
      </c>
      <c r="H13" s="80">
        <f ca="1">'Income Statement'!H43</f>
        <v>2584.2191939096047</v>
      </c>
      <c r="I13" s="80">
        <f ca="1">'Income Statement'!I43</f>
        <v>2802.6606446081369</v>
      </c>
      <c r="J13" s="80">
        <f ca="1">'Income Statement'!J43</f>
        <v>3055.2153349410623</v>
      </c>
      <c r="K13" s="80">
        <f ca="1">'Income Statement'!K43</f>
        <v>3339.7848818921352</v>
      </c>
      <c r="L13" s="80">
        <f ca="1">'Income Statement'!L43</f>
        <v>3661.3551269114537</v>
      </c>
      <c r="M13" s="80">
        <f ca="1">'Income Statement'!M43</f>
        <v>4026.9625495158498</v>
      </c>
      <c r="N13" s="80">
        <f ca="1">'Income Statement'!N43</f>
        <v>4442.6505703450648</v>
      </c>
      <c r="O13" s="80">
        <f ca="1">'Income Statement'!O43</f>
        <v>4916.780576468751</v>
      </c>
      <c r="P13" s="80">
        <f ca="1">'Income Statement'!P43</f>
        <v>5459.3396479168905</v>
      </c>
      <c r="Q13" s="80">
        <f ca="1">'Income Statement'!Q43</f>
        <v>6073.1653755147172</v>
      </c>
    </row>
    <row r="14" spans="2:17" x14ac:dyDescent="0.15">
      <c r="B14" s="83" t="s">
        <v>100</v>
      </c>
      <c r="C14" s="76"/>
      <c r="D14" s="76"/>
      <c r="E14" s="76"/>
      <c r="F14" s="76"/>
      <c r="G14" s="76"/>
      <c r="H14" s="80"/>
      <c r="I14" s="80"/>
      <c r="J14" s="80"/>
      <c r="K14" s="80"/>
      <c r="L14" s="80"/>
      <c r="M14" s="80"/>
      <c r="N14" s="80"/>
      <c r="O14" s="80"/>
      <c r="P14" s="80"/>
      <c r="Q14" s="80"/>
    </row>
    <row r="15" spans="2:17" x14ac:dyDescent="0.15">
      <c r="B15" s="38" t="s">
        <v>12</v>
      </c>
      <c r="C15" s="76"/>
      <c r="D15" s="76">
        <f>'Income Statement'!D29</f>
        <v>203.85</v>
      </c>
      <c r="E15" s="76">
        <f>'Income Statement'!E29</f>
        <v>209.93</v>
      </c>
      <c r="F15" s="76">
        <f>'Income Statement'!F29</f>
        <v>236.29</v>
      </c>
      <c r="G15" s="76">
        <f>'Income Statement'!G29</f>
        <v>240.96</v>
      </c>
      <c r="H15" s="80">
        <f ca="1">'Income Statement'!H29</f>
        <v>144.85799999999998</v>
      </c>
      <c r="I15" s="80">
        <f ca="1">'Income Statement'!I29</f>
        <v>145.58229</v>
      </c>
      <c r="J15" s="80">
        <f ca="1">'Income Statement'!J29</f>
        <v>146.31020144999999</v>
      </c>
      <c r="K15" s="80">
        <f ca="1">'Income Statement'!K29</f>
        <v>147.04175245724991</v>
      </c>
      <c r="L15" s="80">
        <f ca="1">'Income Statement'!L29</f>
        <v>147.77696121953625</v>
      </c>
      <c r="M15" s="80">
        <f ca="1">'Income Statement'!M29</f>
        <v>148.51584602563389</v>
      </c>
      <c r="N15" s="80">
        <f ca="1">'Income Statement'!N29</f>
        <v>149.25842525576201</v>
      </c>
      <c r="O15" s="80">
        <f ca="1">'Income Statement'!O29</f>
        <v>150.00471738204084</v>
      </c>
      <c r="P15" s="80">
        <f ca="1">'Income Statement'!P29</f>
        <v>150.75474096895098</v>
      </c>
      <c r="Q15" s="80">
        <f ca="1">'Income Statement'!Q29</f>
        <v>151.3985146737958</v>
      </c>
    </row>
    <row r="16" spans="2:17" x14ac:dyDescent="0.15">
      <c r="B16" s="38" t="s">
        <v>104</v>
      </c>
      <c r="C16" s="76"/>
      <c r="D16" s="76">
        <f>'Income Statement'!D35</f>
        <v>126.63</v>
      </c>
      <c r="E16" s="76">
        <f>'Income Statement'!E35</f>
        <v>110.16</v>
      </c>
      <c r="F16" s="76">
        <f>'Income Statement'!F35</f>
        <v>175.74</v>
      </c>
      <c r="G16" s="76">
        <f>'Income Statement'!G35</f>
        <v>296.37</v>
      </c>
      <c r="H16" s="80">
        <f>'Income Statement'!H35</f>
        <v>201.07483958165233</v>
      </c>
      <c r="I16" s="80">
        <f>'Income Statement'!I35</f>
        <v>219.30823617296411</v>
      </c>
      <c r="J16" s="80">
        <f>'Income Statement'!J35</f>
        <v>232.09668740884771</v>
      </c>
      <c r="K16" s="80">
        <f>'Income Statement'!K35</f>
        <v>245.86156325250678</v>
      </c>
      <c r="L16" s="80">
        <f>'Income Statement'!L35</f>
        <v>260.70963870286175</v>
      </c>
      <c r="M16" s="80">
        <f>'Income Statement'!M35</f>
        <v>275.62307922755554</v>
      </c>
      <c r="N16" s="80">
        <f>'Income Statement'!N35</f>
        <v>291.69504099868135</v>
      </c>
      <c r="O16" s="80">
        <f>'Income Statement'!O35</f>
        <v>309.05492473768618</v>
      </c>
      <c r="P16" s="80">
        <f>'Income Statement'!P35</f>
        <v>327.85258971497183</v>
      </c>
      <c r="Q16" s="80">
        <f>'Income Statement'!Q35</f>
        <v>357.50554663418245</v>
      </c>
    </row>
    <row r="17" spans="2:17" x14ac:dyDescent="0.15">
      <c r="B17" s="82" t="s">
        <v>112</v>
      </c>
      <c r="C17" s="76"/>
      <c r="D17" s="76"/>
      <c r="E17" s="76"/>
      <c r="F17" s="76"/>
      <c r="G17" s="76"/>
      <c r="H17" s="80"/>
      <c r="I17" s="80"/>
      <c r="J17" s="80"/>
      <c r="K17" s="80"/>
      <c r="L17" s="80"/>
      <c r="M17" s="80"/>
      <c r="N17" s="80"/>
      <c r="O17" s="80"/>
      <c r="P17" s="80"/>
      <c r="Q17" s="80"/>
    </row>
    <row r="18" spans="2:17" x14ac:dyDescent="0.15">
      <c r="B18" s="38" t="s">
        <v>35</v>
      </c>
      <c r="C18" s="76"/>
      <c r="D18" s="76">
        <f>'Balance Sheet'!E66-'Balance Sheet'!D66</f>
        <v>-239.29000000000002</v>
      </c>
      <c r="E18" s="76">
        <f>'Balance Sheet'!F66-'Balance Sheet'!E66</f>
        <v>947.39999999999986</v>
      </c>
      <c r="F18" s="76">
        <f>'Balance Sheet'!G66-'Balance Sheet'!F66</f>
        <v>-381.96999999999991</v>
      </c>
      <c r="G18" s="76">
        <f>'Balance Sheet'!H66-'Balance Sheet'!G66</f>
        <v>2309.7999999999997</v>
      </c>
      <c r="H18" s="80">
        <f>'Balance Sheet'!I66-'Balance Sheet'!H66</f>
        <v>248.57764893192279</v>
      </c>
      <c r="I18" s="80">
        <f>'Balance Sheet'!J66-'Balance Sheet'!I66</f>
        <v>278.0667734307558</v>
      </c>
      <c r="J18" s="80">
        <f>'Balance Sheet'!K66-'Balance Sheet'!J66</f>
        <v>311.91729782511538</v>
      </c>
      <c r="K18" s="80">
        <f>'Balance Sheet'!L66-'Balance Sheet'!K66</f>
        <v>568.09525585934944</v>
      </c>
      <c r="L18" s="80">
        <f>'Balance Sheet'!M66-'Balance Sheet'!L66</f>
        <v>415.69502308162373</v>
      </c>
      <c r="M18" s="80">
        <f>'Balance Sheet'!N66-'Balance Sheet'!M66</f>
        <v>361.49777611613536</v>
      </c>
      <c r="N18" s="80">
        <f>'Balance Sheet'!O66-'Balance Sheet'!N66</f>
        <v>406.16328540372251</v>
      </c>
      <c r="O18" s="80">
        <f>'Balance Sheet'!P66-'Balance Sheet'!O66</f>
        <v>-48.682741602267015</v>
      </c>
      <c r="P18" s="80">
        <f>'Balance Sheet'!Q66-'Balance Sheet'!P66</f>
        <v>-28.843990081968514</v>
      </c>
      <c r="Q18" s="80">
        <f>'Balance Sheet'!R66-'Balance Sheet'!Q66</f>
        <v>-8.6506509895953059</v>
      </c>
    </row>
    <row r="19" spans="2:17" x14ac:dyDescent="0.15">
      <c r="B19" s="38" t="s">
        <v>271</v>
      </c>
      <c r="C19" s="76"/>
      <c r="D19" s="76">
        <f>'Balance Sheet'!E67-'Balance Sheet'!D67</f>
        <v>5.73</v>
      </c>
      <c r="E19" s="76">
        <f>'Balance Sheet'!F67-'Balance Sheet'!E67</f>
        <v>4.0800000000000018</v>
      </c>
      <c r="F19" s="76">
        <f>'Balance Sheet'!G67-'Balance Sheet'!F67</f>
        <v>5.769999999999996</v>
      </c>
      <c r="G19" s="76">
        <f>'Balance Sheet'!H67-'Balance Sheet'!G67</f>
        <v>-6.2799999999999976</v>
      </c>
      <c r="H19" s="80">
        <f>'Balance Sheet'!I67-'Balance Sheet'!H67</f>
        <v>2.5002437047047898</v>
      </c>
      <c r="I19" s="80">
        <f>'Balance Sheet'!J67-'Balance Sheet'!I67</f>
        <v>2.796851216290257</v>
      </c>
      <c r="J19" s="80">
        <f>'Balance Sheet'!K67-'Balance Sheet'!J67</f>
        <v>3.1373265602385345</v>
      </c>
      <c r="K19" s="80">
        <f>'Balance Sheet'!L67-'Balance Sheet'!K67</f>
        <v>3.5293282093132063</v>
      </c>
      <c r="L19" s="80">
        <f>'Balance Sheet'!M67-'Balance Sheet'!L67</f>
        <v>3.9820415950804886</v>
      </c>
      <c r="M19" s="80">
        <f>'Balance Sheet'!N67-'Balance Sheet'!M67</f>
        <v>4.5065194783567009</v>
      </c>
      <c r="N19" s="80">
        <f>'Balance Sheet'!O67-'Balance Sheet'!N67</f>
        <v>5.1161058949549414</v>
      </c>
      <c r="O19" s="80">
        <f>'Balance Sheet'!P67-'Balance Sheet'!O67</f>
        <v>5.8269660369439791</v>
      </c>
      <c r="P19" s="80">
        <f>'Balance Sheet'!Q67-'Balance Sheet'!P67</f>
        <v>6.6587508940557782</v>
      </c>
      <c r="Q19" s="80">
        <f>'Balance Sheet'!R67-'Balance Sheet'!Q67</f>
        <v>7.6354339505589479</v>
      </c>
    </row>
    <row r="20" spans="2:17" x14ac:dyDescent="0.15">
      <c r="B20" s="38" t="s">
        <v>42</v>
      </c>
      <c r="C20" s="76"/>
      <c r="D20" s="76">
        <f>'Balance Sheet'!E68-'Balance Sheet'!D68</f>
        <v>-320.84999999999991</v>
      </c>
      <c r="E20" s="76">
        <f>'Balance Sheet'!F68-'Balance Sheet'!E68</f>
        <v>3.419999999999618</v>
      </c>
      <c r="F20" s="76">
        <f>'Balance Sheet'!G68-'Balance Sheet'!F68</f>
        <v>-339.88999999999987</v>
      </c>
      <c r="G20" s="76">
        <f>'Balance Sheet'!H68-'Balance Sheet'!G68</f>
        <v>-147.69000000000005</v>
      </c>
      <c r="H20" s="80">
        <f>'Balance Sheet'!I68-'Balance Sheet'!H68</f>
        <v>83.774000000000115</v>
      </c>
      <c r="I20" s="80">
        <f>'Balance Sheet'!J68-'Balance Sheet'!I68</f>
        <v>87.962700000000041</v>
      </c>
      <c r="J20" s="80">
        <f>'Balance Sheet'!K68-'Balance Sheet'!J68</f>
        <v>92.360835000000179</v>
      </c>
      <c r="K20" s="80">
        <f>'Balance Sheet'!L68-'Balance Sheet'!K68</f>
        <v>96.978876750000154</v>
      </c>
      <c r="L20" s="80">
        <f>'Balance Sheet'!M68-'Balance Sheet'!L68</f>
        <v>101.82782058750013</v>
      </c>
      <c r="M20" s="80">
        <f>'Balance Sheet'!N68-'Balance Sheet'!M68</f>
        <v>106.91921161687515</v>
      </c>
      <c r="N20" s="80">
        <f>'Balance Sheet'!O68-'Balance Sheet'!N68</f>
        <v>112.26517219771904</v>
      </c>
      <c r="O20" s="80">
        <f>'Balance Sheet'!P68-'Balance Sheet'!O68</f>
        <v>117.87843080760467</v>
      </c>
      <c r="P20" s="80">
        <f>'Balance Sheet'!Q68-'Balance Sheet'!P68</f>
        <v>123.77235234798491</v>
      </c>
      <c r="Q20" s="80">
        <f>'Balance Sheet'!R68-'Balance Sheet'!Q68</f>
        <v>129.96096996538427</v>
      </c>
    </row>
    <row r="21" spans="2:17" x14ac:dyDescent="0.15">
      <c r="B21" s="38" t="s">
        <v>37</v>
      </c>
      <c r="C21" s="76"/>
      <c r="D21" s="76">
        <f>'Balance Sheet'!E69-'Balance Sheet'!D69</f>
        <v>126.19000000000005</v>
      </c>
      <c r="E21" s="76">
        <f>'Balance Sheet'!F69-'Balance Sheet'!E69</f>
        <v>-1235</v>
      </c>
      <c r="F21" s="76">
        <f>'Balance Sheet'!G69-'Balance Sheet'!F69</f>
        <v>39.159999999999997</v>
      </c>
      <c r="G21" s="76">
        <f>'Balance Sheet'!H69-'Balance Sheet'!G69</f>
        <v>77.63</v>
      </c>
      <c r="H21" s="80">
        <f>'Balance Sheet'!I69-'Balance Sheet'!H69</f>
        <v>101.33348651594855</v>
      </c>
      <c r="I21" s="80">
        <f>'Balance Sheet'!J69-'Balance Sheet'!I69</f>
        <v>36.388506350892101</v>
      </c>
      <c r="J21" s="80">
        <f>'Balance Sheet'!K69-'Balance Sheet'!J69</f>
        <v>40.81826977320884</v>
      </c>
      <c r="K21" s="80">
        <f>'Balance Sheet'!L69-'Balance Sheet'!K69</f>
        <v>45.918417544327554</v>
      </c>
      <c r="L21" s="80">
        <f>'Balance Sheet'!M69-'Balance Sheet'!L69</f>
        <v>39.402714220408143</v>
      </c>
      <c r="M21" s="80">
        <f>'Balance Sheet'!N69-'Balance Sheet'!M69</f>
        <v>44.152727643157277</v>
      </c>
      <c r="N21" s="80">
        <f>'Balance Sheet'!O69-'Balance Sheet'!N69</f>
        <v>49.608097487491136</v>
      </c>
      <c r="O21" s="80">
        <f>'Balance Sheet'!P69-'Balance Sheet'!O69</f>
        <v>55.893633674152625</v>
      </c>
      <c r="P21" s="80">
        <f>'Balance Sheet'!Q69-'Balance Sheet'!P69</f>
        <v>163.65272441298043</v>
      </c>
      <c r="Q21" s="80">
        <f>'Balance Sheet'!R69-'Balance Sheet'!Q69</f>
        <v>202.98993398647474</v>
      </c>
    </row>
    <row r="22" spans="2:17" x14ac:dyDescent="0.15">
      <c r="B22" s="38" t="s">
        <v>264</v>
      </c>
      <c r="C22" s="76"/>
      <c r="D22" s="76">
        <f>'Balance Sheet'!E70-'Balance Sheet'!D70</f>
        <v>5.07</v>
      </c>
      <c r="E22" s="76">
        <f>'Balance Sheet'!F70-'Balance Sheet'!E70</f>
        <v>-31.08</v>
      </c>
      <c r="F22" s="76">
        <f>'Balance Sheet'!G70-'Balance Sheet'!F70</f>
        <v>-7.509999999999998</v>
      </c>
      <c r="G22" s="76">
        <f>'Balance Sheet'!H70-'Balance Sheet'!G70</f>
        <v>43.75</v>
      </c>
      <c r="H22" s="80">
        <f>'Balance Sheet'!I70-'Balance Sheet'!H70</f>
        <v>4.6065000623082852</v>
      </c>
      <c r="I22" s="80">
        <f>'Balance Sheet'!J70-'Balance Sheet'!I70</f>
        <v>5.152975799064869</v>
      </c>
      <c r="J22" s="80">
        <f>'Balance Sheet'!K70-'Balance Sheet'!J70</f>
        <v>5.7802745260493253</v>
      </c>
      <c r="K22" s="80">
        <f>'Balance Sheet'!L70-'Balance Sheet'!K70</f>
        <v>6.5025063698849692</v>
      </c>
      <c r="L22" s="80">
        <f>'Balance Sheet'!M70-'Balance Sheet'!L70</f>
        <v>7.336594757277183</v>
      </c>
      <c r="M22" s="80">
        <f>'Balance Sheet'!N70-'Balance Sheet'!M70</f>
        <v>8.3029035204769315</v>
      </c>
      <c r="N22" s="80">
        <f>'Balance Sheet'!O70-'Balance Sheet'!N70</f>
        <v>9.4260179835822839</v>
      </c>
      <c r="O22" s="80">
        <f>'Balance Sheet'!P70-'Balance Sheet'!O70</f>
        <v>10.73572122659138</v>
      </c>
      <c r="P22" s="80">
        <f>'Balance Sheet'!Q70-'Balance Sheet'!P70</f>
        <v>12.268218634305114</v>
      </c>
      <c r="Q22" s="80">
        <f>'Balance Sheet'!R70-'Balance Sheet'!Q70</f>
        <v>14.06767944373388</v>
      </c>
    </row>
    <row r="23" spans="2:17" x14ac:dyDescent="0.15">
      <c r="B23" s="38" t="s">
        <v>36</v>
      </c>
      <c r="C23" s="76"/>
      <c r="D23" s="76">
        <f>'Balance Sheet'!E71-'Balance Sheet'!D71</f>
        <v>16.440000000000005</v>
      </c>
      <c r="E23" s="76">
        <f>'Balance Sheet'!F71-'Balance Sheet'!E71</f>
        <v>3.8099999999999881</v>
      </c>
      <c r="F23" s="76">
        <f>'Balance Sheet'!G71-'Balance Sheet'!F71</f>
        <v>-1.0499999999999972</v>
      </c>
      <c r="G23" s="76">
        <f>'Balance Sheet'!H71-'Balance Sheet'!G71</f>
        <v>15.810000000000002</v>
      </c>
      <c r="H23" s="80">
        <f>'Balance Sheet'!I71-'Balance Sheet'!H71</f>
        <v>7.1682057931608796</v>
      </c>
      <c r="I23" s="80">
        <f>'Balance Sheet'!J71-'Balance Sheet'!I71</f>
        <v>8.0185803701835567</v>
      </c>
      <c r="J23" s="80">
        <f>'Balance Sheet'!K71-'Balance Sheet'!J71</f>
        <v>8.9947241470185872</v>
      </c>
      <c r="K23" s="80">
        <f>'Balance Sheet'!L71-'Balance Sheet'!K71</f>
        <v>10.118593986801855</v>
      </c>
      <c r="L23" s="80">
        <f>'Balance Sheet'!M71-'Balance Sheet'!L71</f>
        <v>11.416524547887533</v>
      </c>
      <c r="M23" s="80">
        <f>'Balance Sheet'!N71-'Balance Sheet'!M71</f>
        <v>12.920204126886517</v>
      </c>
      <c r="N23" s="80">
        <f>'Balance Sheet'!O71-'Balance Sheet'!N71</f>
        <v>14.667890112324329</v>
      </c>
      <c r="O23" s="80">
        <f>'Balance Sheet'!P71-'Balance Sheet'!O71</f>
        <v>16.705928155713622</v>
      </c>
      <c r="P23" s="80">
        <f>'Balance Sheet'!Q71-'Balance Sheet'!P71</f>
        <v>19.090657700354711</v>
      </c>
      <c r="Q23" s="80">
        <f>'Balance Sheet'!R71-'Balance Sheet'!Q71</f>
        <v>21.890810793644732</v>
      </c>
    </row>
    <row r="24" spans="2:17" x14ac:dyDescent="0.15">
      <c r="B24" s="38" t="s">
        <v>43</v>
      </c>
      <c r="C24" s="76"/>
      <c r="D24" s="76">
        <f>'Balance Sheet'!E72-'Balance Sheet'!D72</f>
        <v>-4.1599999999999966</v>
      </c>
      <c r="E24" s="76">
        <f>'Balance Sheet'!F72-'Balance Sheet'!E72</f>
        <v>143.29000000000002</v>
      </c>
      <c r="F24" s="76">
        <f>'Balance Sheet'!G72-'Balance Sheet'!F72</f>
        <v>5.1899999999999977</v>
      </c>
      <c r="G24" s="76">
        <f>'Balance Sheet'!H72-'Balance Sheet'!G72</f>
        <v>6.0099999999999909</v>
      </c>
      <c r="H24" s="80">
        <f>'Balance Sheet'!I72-'Balance Sheet'!H72</f>
        <v>69.232668655044932</v>
      </c>
      <c r="I24" s="80">
        <f>'Balance Sheet'!J72-'Balance Sheet'!I72</f>
        <v>90.687989458165589</v>
      </c>
      <c r="J24" s="80">
        <f>'Balance Sheet'!K72-'Balance Sheet'!J72</f>
        <v>119.1504178373761</v>
      </c>
      <c r="K24" s="80">
        <f>'Balance Sheet'!L72-'Balance Sheet'!K72</f>
        <v>45.175970576858958</v>
      </c>
      <c r="L24" s="80">
        <f>'Balance Sheet'!M72-'Balance Sheet'!L72</f>
        <v>38.765618535332806</v>
      </c>
      <c r="M24" s="80">
        <f>'Balance Sheet'!N72-'Balance Sheet'!M72</f>
        <v>43.438829810931566</v>
      </c>
      <c r="N24" s="80">
        <f>'Balance Sheet'!O72-'Balance Sheet'!N72</f>
        <v>48.805992721883399</v>
      </c>
      <c r="O24" s="80">
        <f>'Balance Sheet'!P72-'Balance Sheet'!O72</f>
        <v>54.989899158865455</v>
      </c>
      <c r="P24" s="80">
        <f>'Balance Sheet'!Q72-'Balance Sheet'!P72</f>
        <v>78.616284621802833</v>
      </c>
      <c r="Q24" s="80">
        <f>'Balance Sheet'!R72-'Balance Sheet'!Q72</f>
        <v>90.14745531387473</v>
      </c>
    </row>
    <row r="25" spans="2:17" x14ac:dyDescent="0.15">
      <c r="B25" s="84" t="s">
        <v>105</v>
      </c>
      <c r="C25" s="76"/>
      <c r="D25" s="76"/>
      <c r="E25" s="76"/>
      <c r="F25" s="76"/>
      <c r="G25" s="76"/>
      <c r="H25" s="80"/>
      <c r="I25" s="80"/>
      <c r="J25" s="80"/>
      <c r="K25" s="80"/>
      <c r="L25" s="80"/>
      <c r="M25" s="80"/>
      <c r="N25" s="80"/>
      <c r="O25" s="80"/>
      <c r="P25" s="80"/>
      <c r="Q25" s="80"/>
    </row>
    <row r="26" spans="2:17" x14ac:dyDescent="0.15">
      <c r="B26" s="38" t="s">
        <v>7</v>
      </c>
      <c r="C26" s="76"/>
      <c r="D26" s="76">
        <f>'Income Statement'!D33</f>
        <v>67.069999999999993</v>
      </c>
      <c r="E26" s="76">
        <f>'Income Statement'!E33</f>
        <v>89.71</v>
      </c>
      <c r="F26" s="76">
        <f>'Income Statement'!F33</f>
        <v>168.41</v>
      </c>
      <c r="G26" s="76">
        <f>'Income Statement'!G33</f>
        <v>268.95</v>
      </c>
      <c r="H26" s="80">
        <f>'Income Statement'!H33</f>
        <v>290.12044632189799</v>
      </c>
      <c r="I26" s="80">
        <f>'Income Statement'!I33</f>
        <v>313.8253235107959</v>
      </c>
      <c r="J26" s="80">
        <f>'Income Statement'!J33</f>
        <v>340.41591952775758</v>
      </c>
      <c r="K26" s="80">
        <f>'Income Statement'!K33</f>
        <v>370.32894860624111</v>
      </c>
      <c r="L26" s="80">
        <f>'Income Statement'!L33</f>
        <v>404.07897664586994</v>
      </c>
      <c r="M26" s="80">
        <f>'Income Statement'!M33</f>
        <v>442.27424787145782</v>
      </c>
      <c r="N26" s="80">
        <f>'Income Statement'!N33</f>
        <v>485.63610466917652</v>
      </c>
      <c r="O26" s="80">
        <f>'Income Statement'!O33</f>
        <v>535.02289846253689</v>
      </c>
      <c r="P26" s="80">
        <f>'Income Statement'!P33</f>
        <v>591.45953379576065</v>
      </c>
      <c r="Q26" s="80">
        <f>'Income Statement'!Q33</f>
        <v>656.17410389077475</v>
      </c>
    </row>
    <row r="27" spans="2:17" x14ac:dyDescent="0.15">
      <c r="B27" s="38" t="s">
        <v>331</v>
      </c>
      <c r="C27" s="76"/>
      <c r="D27" s="76">
        <f>'Income Statement'!D39</f>
        <v>-0.01</v>
      </c>
      <c r="E27" s="76">
        <f>'Income Statement'!E39</f>
        <v>0.28000000000000003</v>
      </c>
      <c r="F27" s="76">
        <f>'Income Statement'!F39</f>
        <v>0</v>
      </c>
      <c r="G27" s="76">
        <f>'Income Statement'!G39</f>
        <v>0</v>
      </c>
      <c r="H27" s="80">
        <f>'Income Statement'!H39</f>
        <v>1.5074030578653961</v>
      </c>
      <c r="I27" s="80">
        <f>'Income Statement'!I39</f>
        <v>1.630568470072234</v>
      </c>
      <c r="J27" s="80">
        <f>'Income Statement'!J39</f>
        <v>1.7687274528485062</v>
      </c>
      <c r="K27" s="80">
        <f>'Income Statement'!K39</f>
        <v>1.924149078847567</v>
      </c>
      <c r="L27" s="80">
        <f>'Income Statement'!L39</f>
        <v>2.0995069211332908</v>
      </c>
      <c r="M27" s="80">
        <f>'Income Statement'!M39</f>
        <v>2.2979612850755253</v>
      </c>
      <c r="N27" s="80">
        <f>'Income Statement'!N39</f>
        <v>2.5232601096164173</v>
      </c>
      <c r="O27" s="80">
        <f>'Income Statement'!O39</f>
        <v>2.7798632030077708</v>
      </c>
      <c r="P27" s="80">
        <f>'Income Statement'!P39</f>
        <v>3.0730957474749911</v>
      </c>
      <c r="Q27" s="80">
        <f>'Income Statement'!Q39</f>
        <v>3.4093386496433991</v>
      </c>
    </row>
    <row r="28" spans="2:17" x14ac:dyDescent="0.15">
      <c r="B28" s="38" t="s">
        <v>108</v>
      </c>
      <c r="C28" s="76"/>
      <c r="D28" s="76">
        <f>'Income Statement'!D45</f>
        <v>359.53999999999996</v>
      </c>
      <c r="E28" s="76">
        <f>'Income Statement'!E45</f>
        <v>371.87</v>
      </c>
      <c r="F28" s="76">
        <f>'Income Statement'!F45</f>
        <v>430.27</v>
      </c>
      <c r="G28" s="76">
        <f>'Income Statement'!G45</f>
        <v>758.78</v>
      </c>
      <c r="H28" s="80">
        <f ca="1">'Income Statement'!H45</f>
        <v>547.19838450143914</v>
      </c>
      <c r="I28" s="80">
        <f ca="1">'Income Statement'!I45</f>
        <v>593.4525138771877</v>
      </c>
      <c r="J28" s="80">
        <f ca="1">'Income Statement'!J45</f>
        <v>677.48214269545065</v>
      </c>
      <c r="K28" s="80">
        <f ca="1">'Income Statement'!K45</f>
        <v>740.58433526742056</v>
      </c>
      <c r="L28" s="80">
        <f ca="1">'Income Statement'!L45</f>
        <v>848.50484029892573</v>
      </c>
      <c r="M28" s="80">
        <f ca="1">'Income Statement'!M45</f>
        <v>933.23294150082461</v>
      </c>
      <c r="N28" s="80">
        <f ca="1">'Income Statement'!N45</f>
        <v>1073.9935326731716</v>
      </c>
      <c r="O28" s="80">
        <f ca="1">'Income Statement'!O45</f>
        <v>1188.6126214716812</v>
      </c>
      <c r="P28" s="80">
        <f ca="1">'Income Statement'!P45</f>
        <v>1374.3675677063161</v>
      </c>
      <c r="Q28" s="80">
        <f ca="1">'Income Statement'!Q45</f>
        <v>1528.8958122635279</v>
      </c>
    </row>
    <row r="29" spans="2:17" x14ac:dyDescent="0.15">
      <c r="B29" s="82" t="s">
        <v>113</v>
      </c>
      <c r="C29" s="76"/>
      <c r="D29" s="76"/>
      <c r="E29" s="76"/>
      <c r="F29" s="76"/>
      <c r="G29" s="76"/>
      <c r="H29" s="80"/>
      <c r="I29" s="80"/>
      <c r="J29" s="80"/>
      <c r="K29" s="80"/>
      <c r="L29" s="80"/>
      <c r="M29" s="80"/>
      <c r="N29" s="80"/>
      <c r="O29" s="80"/>
      <c r="P29" s="80"/>
      <c r="Q29" s="80"/>
    </row>
    <row r="30" spans="2:17" x14ac:dyDescent="0.15">
      <c r="B30" s="38" t="s">
        <v>27</v>
      </c>
      <c r="C30" s="76"/>
      <c r="D30" s="76">
        <f>'Balance Sheet'!E30-'Balance Sheet'!D30</f>
        <v>13.130000000000109</v>
      </c>
      <c r="E30" s="76">
        <f>'Balance Sheet'!F30-'Balance Sheet'!E30</f>
        <v>413.59999999999991</v>
      </c>
      <c r="F30" s="76">
        <f>'Balance Sheet'!G30-'Balance Sheet'!F30</f>
        <v>-592.69999999999982</v>
      </c>
      <c r="G30" s="76">
        <f>'Balance Sheet'!H30-'Balance Sheet'!G30</f>
        <v>-266.23</v>
      </c>
      <c r="H30" s="80">
        <f>'Balance Sheet'!I30-'Balance Sheet'!H30</f>
        <v>63.546000000000049</v>
      </c>
      <c r="I30" s="80">
        <f>'Balance Sheet'!J30-'Balance Sheet'!I30</f>
        <v>66.723300000000108</v>
      </c>
      <c r="J30" s="80">
        <f>'Balance Sheet'!K30-'Balance Sheet'!J30</f>
        <v>70.059465000000046</v>
      </c>
      <c r="K30" s="80">
        <f>'Balance Sheet'!L30-'Balance Sheet'!K30</f>
        <v>73.562438250000014</v>
      </c>
      <c r="L30" s="80">
        <f>'Balance Sheet'!M30-'Balance Sheet'!L30</f>
        <v>77.24056016250006</v>
      </c>
      <c r="M30" s="80">
        <f>'Balance Sheet'!N30-'Balance Sheet'!M30</f>
        <v>81.10258817062504</v>
      </c>
      <c r="N30" s="80">
        <f>'Balance Sheet'!O30-'Balance Sheet'!N30</f>
        <v>85.157717579156269</v>
      </c>
      <c r="O30" s="80">
        <f>'Balance Sheet'!P30-'Balance Sheet'!O30</f>
        <v>89.415603458114219</v>
      </c>
      <c r="P30" s="80">
        <f>'Balance Sheet'!Q30-'Balance Sheet'!P30</f>
        <v>93.886383631019953</v>
      </c>
      <c r="Q30" s="80">
        <f>'Balance Sheet'!R30-'Balance Sheet'!Q30</f>
        <v>98.580702812570735</v>
      </c>
    </row>
    <row r="31" spans="2:17" x14ac:dyDescent="0.15">
      <c r="B31" s="2" t="s">
        <v>370</v>
      </c>
      <c r="C31" s="310"/>
      <c r="D31" s="76">
        <f>'Balance Sheet'!E32-'Balance Sheet'!D32</f>
        <v>19.990000000000009</v>
      </c>
      <c r="E31" s="76">
        <f>'Balance Sheet'!F32-'Balance Sheet'!E32</f>
        <v>187.14</v>
      </c>
      <c r="F31" s="76">
        <f>'Balance Sheet'!G32-'Balance Sheet'!F32</f>
        <v>1345.3400000000001</v>
      </c>
      <c r="G31" s="76">
        <f>'Balance Sheet'!H32-'Balance Sheet'!G32</f>
        <v>-473.46000000000004</v>
      </c>
      <c r="H31" s="80">
        <f>'Balance Sheet'!I32-'Balance Sheet'!H32</f>
        <v>135.23142904435258</v>
      </c>
      <c r="I31" s="80">
        <f>'Balance Sheet'!J32-'Balance Sheet'!I32</f>
        <v>151.27412823464147</v>
      </c>
      <c r="J31" s="80">
        <f>'Balance Sheet'!K32-'Balance Sheet'!J32</f>
        <v>169.68951999419392</v>
      </c>
      <c r="K31" s="80">
        <f>'Balance Sheet'!L32-'Balance Sheet'!K32</f>
        <v>190.8918304299159</v>
      </c>
      <c r="L31" s="80">
        <f>'Balance Sheet'!M32-'Balance Sheet'!L32</f>
        <v>215.37787472616401</v>
      </c>
      <c r="M31" s="80">
        <f>'Balance Sheet'!N32-'Balance Sheet'!M32</f>
        <v>243.74546686293706</v>
      </c>
      <c r="N31" s="80">
        <f>'Balance Sheet'!O32-'Balance Sheet'!N32</f>
        <v>276.71634969627212</v>
      </c>
      <c r="O31" s="80">
        <f>'Balance Sheet'!P32-'Balance Sheet'!O32</f>
        <v>315.16485480437677</v>
      </c>
      <c r="P31" s="80">
        <f>'Balance Sheet'!Q32-'Balance Sheet'!P32</f>
        <v>360.15385114622131</v>
      </c>
      <c r="Q31" s="80">
        <f>'Balance Sheet'!R32-'Balance Sheet'!Q32</f>
        <v>412.97999973557353</v>
      </c>
    </row>
    <row r="32" spans="2:17" x14ac:dyDescent="0.15">
      <c r="B32" s="38" t="s">
        <v>28</v>
      </c>
      <c r="C32" s="76"/>
      <c r="D32" s="76">
        <f>'Balance Sheet'!E33-'Balance Sheet'!D33</f>
        <v>-152.75</v>
      </c>
      <c r="E32" s="76">
        <f>'Balance Sheet'!F33-'Balance Sheet'!E33</f>
        <v>111.81999999999994</v>
      </c>
      <c r="F32" s="76">
        <f>'Balance Sheet'!G33-'Balance Sheet'!F33</f>
        <v>128.96000000000004</v>
      </c>
      <c r="G32" s="76">
        <f>'Balance Sheet'!H33-'Balance Sheet'!G33</f>
        <v>290.08999999999992</v>
      </c>
      <c r="H32" s="80">
        <f>'Balance Sheet'!I33-'Balance Sheet'!H33</f>
        <v>76.768500000000131</v>
      </c>
      <c r="I32" s="80">
        <f>'Balance Sheet'!J33-'Balance Sheet'!I33</f>
        <v>80.606925000000047</v>
      </c>
      <c r="J32" s="80">
        <f>'Balance Sheet'!K33-'Balance Sheet'!J33</f>
        <v>84.63727125000014</v>
      </c>
      <c r="K32" s="80">
        <f>'Balance Sheet'!L33-'Balance Sheet'!K33</f>
        <v>88.869134812500079</v>
      </c>
      <c r="L32" s="80">
        <f>'Balance Sheet'!M33-'Balance Sheet'!L33</f>
        <v>93.312591553125003</v>
      </c>
      <c r="M32" s="80">
        <f>'Balance Sheet'!N33-'Balance Sheet'!M33</f>
        <v>97.978221130781321</v>
      </c>
      <c r="N32" s="80">
        <f>'Balance Sheet'!O33-'Balance Sheet'!N33</f>
        <v>102.87713218732051</v>
      </c>
      <c r="O32" s="80">
        <f>'Balance Sheet'!P33-'Balance Sheet'!O33</f>
        <v>108.02098879668665</v>
      </c>
      <c r="P32" s="80">
        <f>'Balance Sheet'!Q33-'Balance Sheet'!P33</f>
        <v>113.42203823652062</v>
      </c>
      <c r="Q32" s="80">
        <f>'Balance Sheet'!R33-'Balance Sheet'!Q33</f>
        <v>119.09314014834672</v>
      </c>
    </row>
    <row r="33" spans="2:17" x14ac:dyDescent="0.15">
      <c r="B33" s="38" t="s">
        <v>262</v>
      </c>
      <c r="C33" s="76"/>
      <c r="D33" s="76">
        <f>'Balance Sheet'!E36-'Balance Sheet'!D36</f>
        <v>1.3699999999999997</v>
      </c>
      <c r="E33" s="76">
        <f>'Balance Sheet'!F36-'Balance Sheet'!E36</f>
        <v>-4.59</v>
      </c>
      <c r="F33" s="76">
        <f>'Balance Sheet'!G36-'Balance Sheet'!F36</f>
        <v>0</v>
      </c>
      <c r="G33" s="76">
        <f>'Balance Sheet'!H36-'Balance Sheet'!G36</f>
        <v>-0.04</v>
      </c>
      <c r="H33" s="80">
        <f>'Balance Sheet'!I36-'Balance Sheet'!H36</f>
        <v>0</v>
      </c>
      <c r="I33" s="80">
        <f>'Balance Sheet'!J36-'Balance Sheet'!I36</f>
        <v>0</v>
      </c>
      <c r="J33" s="80">
        <f>'Balance Sheet'!K36-'Balance Sheet'!J36</f>
        <v>0</v>
      </c>
      <c r="K33" s="80">
        <f>'Balance Sheet'!L36-'Balance Sheet'!K36</f>
        <v>0</v>
      </c>
      <c r="L33" s="80">
        <f>'Balance Sheet'!M36-'Balance Sheet'!L36</f>
        <v>0</v>
      </c>
      <c r="M33" s="80">
        <f>'Balance Sheet'!N36-'Balance Sheet'!M36</f>
        <v>0</v>
      </c>
      <c r="N33" s="80">
        <f>'Balance Sheet'!O36-'Balance Sheet'!N36</f>
        <v>0</v>
      </c>
      <c r="O33" s="80">
        <f>'Balance Sheet'!P36-'Balance Sheet'!O36</f>
        <v>0</v>
      </c>
      <c r="P33" s="80">
        <f>'Balance Sheet'!Q36-'Balance Sheet'!P36</f>
        <v>0</v>
      </c>
      <c r="Q33" s="80">
        <f>'Balance Sheet'!R36-'Balance Sheet'!Q36</f>
        <v>0</v>
      </c>
    </row>
    <row r="34" spans="2:17" s="75" customFormat="1" x14ac:dyDescent="0.15">
      <c r="B34" s="38" t="s">
        <v>25</v>
      </c>
      <c r="C34" s="77"/>
      <c r="D34" s="76">
        <f>'Balance Sheet'!E37-'Balance Sheet'!D37</f>
        <v>-93.86999999999999</v>
      </c>
      <c r="E34" s="76">
        <f>'Balance Sheet'!F37-'Balance Sheet'!E37</f>
        <v>-28.810000000000002</v>
      </c>
      <c r="F34" s="76">
        <f>'Balance Sheet'!G37-'Balance Sheet'!F37</f>
        <v>0.48000000000000398</v>
      </c>
      <c r="G34" s="76">
        <f>'Balance Sheet'!H37-'Balance Sheet'!G37</f>
        <v>41.179999999999993</v>
      </c>
      <c r="H34" s="80">
        <f>'Balance Sheet'!I37-'Balance Sheet'!H37</f>
        <v>6.5788007218973377</v>
      </c>
      <c r="I34" s="80">
        <f>'Balance Sheet'!J37-'Balance Sheet'!I37</f>
        <v>7.3592533264441613</v>
      </c>
      <c r="J34" s="80">
        <f>'Balance Sheet'!K37-'Balance Sheet'!J37</f>
        <v>8.2551337697546643</v>
      </c>
      <c r="K34" s="80">
        <f>'Balance Sheet'!L37-'Balance Sheet'!K37</f>
        <v>9.2865935138846396</v>
      </c>
      <c r="L34" s="80">
        <f>'Balance Sheet'!M37-'Balance Sheet'!L37</f>
        <v>10.47780185229341</v>
      </c>
      <c r="M34" s="80">
        <f>'Balance Sheet'!N37-'Balance Sheet'!M37</f>
        <v>11.857841514276743</v>
      </c>
      <c r="N34" s="80">
        <f>'Balance Sheet'!O37-'Balance Sheet'!N37</f>
        <v>13.461824178058237</v>
      </c>
      <c r="O34" s="80">
        <f>'Balance Sheet'!P37-'Balance Sheet'!O37</f>
        <v>15.332284728157958</v>
      </c>
      <c r="P34" s="80">
        <f>'Balance Sheet'!Q37-'Balance Sheet'!P37</f>
        <v>17.520930102260252</v>
      </c>
      <c r="Q34" s="80">
        <f>'Balance Sheet'!R37-'Balance Sheet'!Q37</f>
        <v>20.090840861398249</v>
      </c>
    </row>
    <row r="35" spans="2:17" x14ac:dyDescent="0.15">
      <c r="B35" s="38" t="s">
        <v>328</v>
      </c>
      <c r="C35" s="76"/>
      <c r="D35" s="76">
        <f>'Balance Sheet'!E38-'Balance Sheet'!D38</f>
        <v>-25.850000000000023</v>
      </c>
      <c r="E35" s="76">
        <f>'Balance Sheet'!F38-'Balance Sheet'!E38</f>
        <v>100.13999999999999</v>
      </c>
      <c r="F35" s="76">
        <f>'Balance Sheet'!G38-'Balance Sheet'!F38</f>
        <v>-46.329999999999984</v>
      </c>
      <c r="G35" s="76">
        <f>'Balance Sheet'!H38-'Balance Sheet'!G38</f>
        <v>-0.24000000000000909</v>
      </c>
      <c r="H35" s="80">
        <f>'Balance Sheet'!I38-'Balance Sheet'!H38</f>
        <v>31.563902325672757</v>
      </c>
      <c r="I35" s="80">
        <f>'Balance Sheet'!J38-'Balance Sheet'!I38</f>
        <v>35.308373517472035</v>
      </c>
      <c r="J35" s="80">
        <f>'Balance Sheet'!K38-'Balance Sheet'!J38</f>
        <v>39.606646713985242</v>
      </c>
      <c r="K35" s="80">
        <f>'Balance Sheet'!L38-'Balance Sheet'!K38</f>
        <v>44.555405004872114</v>
      </c>
      <c r="L35" s="80">
        <f>'Balance Sheet'!M38-'Balance Sheet'!L38</f>
        <v>50.270608312051309</v>
      </c>
      <c r="M35" s="80">
        <f>'Balance Sheet'!N38-'Balance Sheet'!M38</f>
        <v>56.891790338649457</v>
      </c>
      <c r="N35" s="80">
        <f>'Balance Sheet'!O38-'Balance Sheet'!N38</f>
        <v>64.587410600129147</v>
      </c>
      <c r="O35" s="80">
        <f>'Balance Sheet'!P38-'Balance Sheet'!O38</f>
        <v>73.561543820316729</v>
      </c>
      <c r="P35" s="80">
        <f>'Balance Sheet'!Q38-'Balance Sheet'!P38</f>
        <v>84.062270584050566</v>
      </c>
      <c r="Q35" s="80">
        <f>'Balance Sheet'!R38-'Balance Sheet'!Q38</f>
        <v>96.392240074862798</v>
      </c>
    </row>
    <row r="36" spans="2:17" x14ac:dyDescent="0.15">
      <c r="B36" s="38" t="s">
        <v>29</v>
      </c>
      <c r="C36" s="76"/>
      <c r="D36" s="76">
        <f>'Balance Sheet'!E39-'Balance Sheet'!D39</f>
        <v>0</v>
      </c>
      <c r="E36" s="76">
        <f>'Balance Sheet'!F39-'Balance Sheet'!E39</f>
        <v>0</v>
      </c>
      <c r="F36" s="76">
        <f>'Balance Sheet'!G39-'Balance Sheet'!F39</f>
        <v>0</v>
      </c>
      <c r="G36" s="76">
        <f>'Balance Sheet'!H39-'Balance Sheet'!G39</f>
        <v>7.74</v>
      </c>
      <c r="H36" s="80">
        <f>'Balance Sheet'!I39-'Balance Sheet'!H39</f>
        <v>0.60989241331279587</v>
      </c>
      <c r="I36" s="80">
        <f>'Balance Sheet'!J39-'Balance Sheet'!I39</f>
        <v>0.68224482868221159</v>
      </c>
      <c r="J36" s="80">
        <f>'Balance Sheet'!K39-'Balance Sheet'!J39</f>
        <v>0.76529806417416602</v>
      </c>
      <c r="K36" s="80">
        <f>'Balance Sheet'!L39-'Balance Sheet'!K39</f>
        <v>0.86092027545175576</v>
      </c>
      <c r="L36" s="80">
        <f>'Balance Sheet'!M39-'Balance Sheet'!L39</f>
        <v>0.97135209410409651</v>
      </c>
      <c r="M36" s="80">
        <f>'Balance Sheet'!N39-'Balance Sheet'!M39</f>
        <v>1.0992896552940703</v>
      </c>
      <c r="N36" s="80">
        <f>'Balance Sheet'!O39-'Balance Sheet'!N39</f>
        <v>1.2479880121951226</v>
      </c>
      <c r="O36" s="80">
        <f>'Balance Sheet'!P39-'Balance Sheet'!O39</f>
        <v>1.421390391615077</v>
      </c>
      <c r="P36" s="80">
        <f>'Balance Sheet'!Q39-'Balance Sheet'!P39</f>
        <v>1.6242903220923974</v>
      </c>
      <c r="Q36" s="80">
        <f>'Balance Sheet'!R39-'Balance Sheet'!Q39</f>
        <v>1.8625357320304516</v>
      </c>
    </row>
    <row r="37" spans="2:17" x14ac:dyDescent="0.15">
      <c r="B37" s="38"/>
      <c r="C37" s="76"/>
      <c r="D37" s="76"/>
      <c r="E37" s="76"/>
      <c r="F37" s="76"/>
      <c r="G37" s="76"/>
      <c r="H37" s="80"/>
      <c r="I37" s="80"/>
      <c r="J37" s="80"/>
      <c r="K37" s="80"/>
      <c r="L37" s="80"/>
      <c r="M37" s="80"/>
      <c r="N37" s="80"/>
      <c r="O37" s="80"/>
      <c r="P37" s="80"/>
      <c r="Q37" s="80"/>
    </row>
    <row r="38" spans="2:17" s="4" customFormat="1" x14ac:dyDescent="0.15">
      <c r="B38" s="85"/>
      <c r="C38" s="86"/>
      <c r="D38" s="87">
        <f t="shared" ref="D38:Q38" si="0">SUM(D13:D24)-SUM(D26:D36)</f>
        <v>1811.3500000000006</v>
      </c>
      <c r="E38" s="87">
        <f t="shared" si="0"/>
        <v>1070.1100000000006</v>
      </c>
      <c r="F38" s="87">
        <f t="shared" si="0"/>
        <v>430.02999999999952</v>
      </c>
      <c r="G38" s="87">
        <f t="shared" si="0"/>
        <v>2407.8199999999993</v>
      </c>
      <c r="H38" s="87">
        <f t="shared" ca="1" si="0"/>
        <v>2294.2200287679088</v>
      </c>
      <c r="I38" s="87">
        <f t="shared" ca="1" si="0"/>
        <v>2425.7629166411562</v>
      </c>
      <c r="J38" s="87">
        <f t="shared" ca="1" si="0"/>
        <v>2623.1012450007529</v>
      </c>
      <c r="K38" s="87">
        <f t="shared" ca="1" si="0"/>
        <v>2988.143391659295</v>
      </c>
      <c r="L38" s="87">
        <f t="shared" ca="1" si="0"/>
        <v>2985.9339515927945</v>
      </c>
      <c r="M38" s="87">
        <f t="shared" ca="1" si="0"/>
        <v>3162.3592987519369</v>
      </c>
      <c r="N38" s="87">
        <f t="shared" ca="1" si="0"/>
        <v>3423.455278696089</v>
      </c>
      <c r="O38" s="87">
        <f t="shared" ca="1" si="0"/>
        <v>3259.8560069095906</v>
      </c>
      <c r="P38" s="87">
        <f t="shared" ca="1" si="0"/>
        <v>3673.5920158586127</v>
      </c>
      <c r="Q38" s="87">
        <f t="shared" ca="1" si="0"/>
        <v>4102.6323551180431</v>
      </c>
    </row>
    <row r="39" spans="2:17" x14ac:dyDescent="0.15">
      <c r="B39" s="38"/>
      <c r="C39" s="76"/>
      <c r="D39" s="76"/>
      <c r="E39" s="76"/>
      <c r="F39" s="76"/>
      <c r="G39" s="76"/>
      <c r="H39" s="80"/>
      <c r="I39" s="80"/>
      <c r="J39" s="80"/>
      <c r="K39" s="80"/>
      <c r="L39" s="80"/>
      <c r="M39" s="80"/>
      <c r="N39" s="80"/>
      <c r="O39" s="80"/>
      <c r="P39" s="80"/>
      <c r="Q39" s="80"/>
    </row>
    <row r="40" spans="2:17" x14ac:dyDescent="0.15">
      <c r="B40" s="82" t="s">
        <v>98</v>
      </c>
      <c r="C40" s="76"/>
      <c r="D40" s="76"/>
      <c r="E40" s="76"/>
      <c r="F40" s="76"/>
      <c r="G40" s="76"/>
      <c r="H40" s="80"/>
      <c r="I40" s="80"/>
      <c r="J40" s="80"/>
      <c r="K40" s="80"/>
      <c r="L40" s="80"/>
      <c r="M40" s="80"/>
      <c r="N40" s="80"/>
      <c r="O40" s="80"/>
      <c r="P40" s="80"/>
      <c r="Q40" s="80"/>
    </row>
    <row r="41" spans="2:17" x14ac:dyDescent="0.15">
      <c r="B41" s="82"/>
      <c r="C41" s="76"/>
      <c r="D41" s="76"/>
      <c r="E41" s="76"/>
      <c r="F41" s="76"/>
      <c r="G41" s="76"/>
      <c r="H41" s="80"/>
      <c r="I41" s="80"/>
      <c r="J41" s="80"/>
      <c r="K41" s="80"/>
      <c r="L41" s="80"/>
      <c r="M41" s="80"/>
      <c r="N41" s="80"/>
      <c r="O41" s="80"/>
      <c r="P41" s="80"/>
      <c r="Q41" s="80"/>
    </row>
    <row r="42" spans="2:17" x14ac:dyDescent="0.15">
      <c r="B42" s="38" t="s">
        <v>7</v>
      </c>
      <c r="C42" s="76"/>
      <c r="D42" s="76">
        <f>'Income Statement'!D33</f>
        <v>67.069999999999993</v>
      </c>
      <c r="E42" s="76">
        <f>'Income Statement'!E33</f>
        <v>89.71</v>
      </c>
      <c r="F42" s="76">
        <f>'Income Statement'!F33</f>
        <v>168.41</v>
      </c>
      <c r="G42" s="76">
        <f>'Income Statement'!G33</f>
        <v>268.95</v>
      </c>
      <c r="H42" s="80">
        <f>'Income Statement'!H33</f>
        <v>290.12044632189799</v>
      </c>
      <c r="I42" s="80">
        <f>'Income Statement'!I33</f>
        <v>313.8253235107959</v>
      </c>
      <c r="J42" s="80">
        <f>'Income Statement'!J33</f>
        <v>340.41591952775758</v>
      </c>
      <c r="K42" s="80">
        <f>'Income Statement'!K33</f>
        <v>370.32894860624111</v>
      </c>
      <c r="L42" s="80">
        <f>'Income Statement'!L33</f>
        <v>404.07897664586994</v>
      </c>
      <c r="M42" s="80">
        <f>'Income Statement'!M33</f>
        <v>442.27424787145782</v>
      </c>
      <c r="N42" s="80">
        <f>'Income Statement'!N33</f>
        <v>485.63610466917652</v>
      </c>
      <c r="O42" s="80">
        <f>'Income Statement'!O33</f>
        <v>535.02289846253689</v>
      </c>
      <c r="P42" s="80">
        <f>'Income Statement'!P33</f>
        <v>591.45953379576065</v>
      </c>
      <c r="Q42" s="80">
        <f>'Income Statement'!Q33</f>
        <v>656.17410389077475</v>
      </c>
    </row>
    <row r="43" spans="2:17" x14ac:dyDescent="0.15">
      <c r="B43" s="38" t="s">
        <v>330</v>
      </c>
      <c r="C43" s="76"/>
      <c r="D43" s="76">
        <f>'Income Statement'!D39</f>
        <v>-0.01</v>
      </c>
      <c r="E43" s="76">
        <f>'Income Statement'!E39</f>
        <v>0.28000000000000003</v>
      </c>
      <c r="F43" s="76">
        <f>'Income Statement'!F39</f>
        <v>0</v>
      </c>
      <c r="G43" s="76">
        <f>'Income Statement'!G39</f>
        <v>0</v>
      </c>
      <c r="H43" s="80">
        <f>'Income Statement'!H39</f>
        <v>1.5074030578653961</v>
      </c>
      <c r="I43" s="80">
        <f>'Income Statement'!I39</f>
        <v>1.630568470072234</v>
      </c>
      <c r="J43" s="80">
        <f>'Income Statement'!J39</f>
        <v>1.7687274528485062</v>
      </c>
      <c r="K43" s="80">
        <f>'Income Statement'!K39</f>
        <v>1.924149078847567</v>
      </c>
      <c r="L43" s="80">
        <f>'Income Statement'!L39</f>
        <v>2.0995069211332908</v>
      </c>
      <c r="M43" s="80">
        <f>'Income Statement'!M39</f>
        <v>2.2979612850755253</v>
      </c>
      <c r="N43" s="80">
        <f>'Income Statement'!N39</f>
        <v>2.5232601096164173</v>
      </c>
      <c r="O43" s="80">
        <f>'Income Statement'!O39</f>
        <v>2.7798632030077708</v>
      </c>
      <c r="P43" s="80">
        <f>'Income Statement'!P39</f>
        <v>3.0730957474749911</v>
      </c>
      <c r="Q43" s="80">
        <f>'Income Statement'!Q39</f>
        <v>3.4093386496433991</v>
      </c>
    </row>
    <row r="44" spans="2:17" x14ac:dyDescent="0.15">
      <c r="B44" s="84"/>
      <c r="C44" s="76"/>
      <c r="D44" s="76"/>
      <c r="E44" s="76"/>
      <c r="F44" s="76"/>
      <c r="G44" s="76"/>
      <c r="H44" s="80"/>
      <c r="I44" s="80"/>
      <c r="J44" s="80"/>
      <c r="K44" s="80"/>
      <c r="L44" s="80"/>
      <c r="M44" s="80"/>
      <c r="N44" s="80"/>
      <c r="O44" s="80"/>
      <c r="P44" s="80"/>
      <c r="Q44" s="80"/>
    </row>
    <row r="45" spans="2:17" x14ac:dyDescent="0.15">
      <c r="B45" s="305" t="s">
        <v>333</v>
      </c>
      <c r="C45" s="76"/>
      <c r="D45" s="76">
        <f>'Balance Sheet'!E13+'Balance Sheet'!E15+'Balance Sheet'!E17-'Balance Sheet'!D17-'Balance Sheet'!D13-'Balance Sheet'!D15+'Income Statement'!D29</f>
        <v>89.780000000000371</v>
      </c>
      <c r="E45" s="76">
        <f>'Balance Sheet'!F13+'Balance Sheet'!F15+'Balance Sheet'!F17-'Balance Sheet'!E17-'Balance Sheet'!E13-'Balance Sheet'!E15+'Income Statement'!E29</f>
        <v>274.75000000000006</v>
      </c>
      <c r="F45" s="76">
        <f>'Balance Sheet'!G13+'Balance Sheet'!G15+'Balance Sheet'!G17-'Balance Sheet'!F17-'Balance Sheet'!F13-'Balance Sheet'!F15+'Income Statement'!F29</f>
        <v>507.31000000000006</v>
      </c>
      <c r="G45" s="76">
        <f>'Balance Sheet'!H13+'Balance Sheet'!H15+'Balance Sheet'!H17-'Balance Sheet'!G17-'Balance Sheet'!G13-'Balance Sheet'!G15+'Income Statement'!G29</f>
        <v>1534.2199999999993</v>
      </c>
      <c r="H45" s="80">
        <f ca="1">'Balance Sheet'!I13+'Balance Sheet'!I15+'Balance Sheet'!I17-'Balance Sheet'!H17-'Balance Sheet'!H13-'Balance Sheet'!H15+'Income Statement'!H29</f>
        <v>466.13680000000124</v>
      </c>
      <c r="I45" s="80">
        <f ca="1">'Balance Sheet'!J13+'Balance Sheet'!J15+'Balance Sheet'!J17-'Balance Sheet'!I17-'Balance Sheet'!I13-'Balance Sheet'!I15+'Income Statement'!I29</f>
        <v>474.7568899999996</v>
      </c>
      <c r="J45" s="80">
        <f ca="1">'Balance Sheet'!K13+'Balance Sheet'!K15+'Balance Sheet'!K17-'Balance Sheet'!J17-'Balance Sheet'!J13-'Balance Sheet'!J15+'Income Statement'!J29</f>
        <v>477.10613044999911</v>
      </c>
      <c r="K45" s="80">
        <f ca="1">'Balance Sheet'!L13+'Balance Sheet'!L15+'Balance Sheet'!L17-'Balance Sheet'!K17-'Balance Sheet'!K13-'Balance Sheet'!K15+'Income Statement'!K29</f>
        <v>475.14346910224953</v>
      </c>
      <c r="L45" s="80">
        <f ca="1">'Balance Sheet'!M13+'Balance Sheet'!M15+'Balance Sheet'!M17-'Balance Sheet'!L17-'Balance Sheet'!L13-'Balance Sheet'!L15+'Income Statement'!L29</f>
        <v>482.03626068776055</v>
      </c>
      <c r="M45" s="80">
        <f ca="1">'Balance Sheet'!N13+'Balance Sheet'!N15+'Balance Sheet'!N17-'Balance Sheet'!M17-'Balance Sheet'!M13-'Balance Sheet'!M15+'Income Statement'!M29</f>
        <v>484.42091623119882</v>
      </c>
      <c r="N45" s="80">
        <f ca="1">'Balance Sheet'!O13+'Balance Sheet'!O15+'Balance Sheet'!O17-'Balance Sheet'!N17-'Balance Sheet'!N13-'Balance Sheet'!N15+'Income Statement'!N29</f>
        <v>487.0217011323553</v>
      </c>
      <c r="O45" s="80">
        <f ca="1">'Balance Sheet'!P13+'Balance Sheet'!P15+'Balance Sheet'!P17-'Balance Sheet'!O17-'Balance Sheet'!O13-'Balance Sheet'!O15+'Income Statement'!O29</f>
        <v>489.43026284761845</v>
      </c>
      <c r="P45" s="80">
        <f ca="1">'Balance Sheet'!Q13+'Balance Sheet'!Q15+'Balance Sheet'!Q17-'Balance Sheet'!P17-'Balance Sheet'!P13-'Balance Sheet'!P15+'Income Statement'!P29</f>
        <v>491.85086737145582</v>
      </c>
      <c r="Q45" s="80">
        <f ca="1">'Balance Sheet'!R13+'Balance Sheet'!R15+'Balance Sheet'!R17-'Balance Sheet'!Q17-'Balance Sheet'!Q13-'Balance Sheet'!Q15+'Income Statement'!Q29</f>
        <v>494.05594924111233</v>
      </c>
    </row>
    <row r="46" spans="2:17" x14ac:dyDescent="0.15">
      <c r="B46" s="38" t="s">
        <v>332</v>
      </c>
      <c r="C46" s="76"/>
      <c r="D46" s="76">
        <f>'Balance Sheet'!E14-'Balance Sheet'!D14</f>
        <v>-2.7000000000000028</v>
      </c>
      <c r="E46" s="76">
        <f>'Balance Sheet'!F14-'Balance Sheet'!E14</f>
        <v>61.78</v>
      </c>
      <c r="F46" s="76">
        <f>'Balance Sheet'!G14-'Balance Sheet'!F14</f>
        <v>-73.14</v>
      </c>
      <c r="G46" s="76">
        <f>'Balance Sheet'!H14-'Balance Sheet'!G14</f>
        <v>47.120000000000005</v>
      </c>
      <c r="H46" s="80">
        <f>'Balance Sheet'!I14-'Balance Sheet'!H14</f>
        <v>6.6119999999999948</v>
      </c>
      <c r="I46" s="80">
        <f>'Balance Sheet'!J14-'Balance Sheet'!I14</f>
        <v>6.6450600000000009</v>
      </c>
      <c r="J46" s="80">
        <f>'Balance Sheet'!K14-'Balance Sheet'!J14</f>
        <v>6.6782852999999989</v>
      </c>
      <c r="K46" s="80">
        <f>'Balance Sheet'!L14-'Balance Sheet'!K14</f>
        <v>6.7116767265000021</v>
      </c>
      <c r="L46" s="80">
        <f>'Balance Sheet'!M14-'Balance Sheet'!L14</f>
        <v>6.7452351101324979</v>
      </c>
      <c r="M46" s="80">
        <f>'Balance Sheet'!N14-'Balance Sheet'!M14</f>
        <v>6.7789612856831525</v>
      </c>
      <c r="N46" s="80">
        <f>'Balance Sheet'!O14-'Balance Sheet'!N14</f>
        <v>6.8128560921115877</v>
      </c>
      <c r="O46" s="80">
        <f>'Balance Sheet'!P14-'Balance Sheet'!O14</f>
        <v>6.8469203725721286</v>
      </c>
      <c r="P46" s="80">
        <f>'Balance Sheet'!Q14-'Balance Sheet'!P14</f>
        <v>6.8811549744349918</v>
      </c>
      <c r="Q46" s="80">
        <f>'Balance Sheet'!R14-'Balance Sheet'!Q14</f>
        <v>6.9155607493071614</v>
      </c>
    </row>
    <row r="47" spans="2:17" x14ac:dyDescent="0.15">
      <c r="B47" s="82"/>
      <c r="C47" s="76"/>
      <c r="D47" s="76"/>
      <c r="E47" s="76"/>
      <c r="F47" s="76"/>
      <c r="G47" s="76"/>
      <c r="H47" s="80"/>
      <c r="I47" s="80"/>
      <c r="J47" s="80"/>
      <c r="K47" s="80"/>
      <c r="L47" s="80"/>
      <c r="M47" s="80"/>
      <c r="N47" s="80"/>
      <c r="O47" s="80"/>
      <c r="P47" s="80"/>
      <c r="Q47" s="80"/>
    </row>
    <row r="48" spans="2:17" x14ac:dyDescent="0.15">
      <c r="B48" s="38" t="s">
        <v>272</v>
      </c>
      <c r="C48" s="76"/>
      <c r="D48" s="76">
        <f>'Balance Sheet'!E18-'Balance Sheet'!D18</f>
        <v>-15.379999999999995</v>
      </c>
      <c r="E48" s="76">
        <f>'Balance Sheet'!F18-'Balance Sheet'!E18</f>
        <v>-19.420000000000002</v>
      </c>
      <c r="F48" s="76">
        <f>'Balance Sheet'!G18-'Balance Sheet'!F18</f>
        <v>0</v>
      </c>
      <c r="G48" s="76">
        <f>'Balance Sheet'!H18-'Balance Sheet'!G18</f>
        <v>0</v>
      </c>
      <c r="H48" s="80">
        <f>'Balance Sheet'!I18-'Balance Sheet'!H18</f>
        <v>0</v>
      </c>
      <c r="I48" s="80">
        <f>'Balance Sheet'!J18-'Balance Sheet'!I18</f>
        <v>0</v>
      </c>
      <c r="J48" s="80">
        <f>'Balance Sheet'!K18-'Balance Sheet'!J18</f>
        <v>0</v>
      </c>
      <c r="K48" s="80">
        <f>'Balance Sheet'!L18-'Balance Sheet'!K18</f>
        <v>0</v>
      </c>
      <c r="L48" s="80">
        <f>'Balance Sheet'!M18-'Balance Sheet'!L18</f>
        <v>0</v>
      </c>
      <c r="M48" s="80">
        <f>'Balance Sheet'!N18-'Balance Sheet'!M18</f>
        <v>0</v>
      </c>
      <c r="N48" s="80">
        <f>'Balance Sheet'!O18-'Balance Sheet'!N18</f>
        <v>0</v>
      </c>
      <c r="O48" s="80">
        <f>'Balance Sheet'!P18-'Balance Sheet'!O18</f>
        <v>0</v>
      </c>
      <c r="P48" s="80">
        <f>'Balance Sheet'!Q18-'Balance Sheet'!P18</f>
        <v>0</v>
      </c>
      <c r="Q48" s="80">
        <f>'Balance Sheet'!R18-'Balance Sheet'!Q18</f>
        <v>0</v>
      </c>
    </row>
    <row r="49" spans="2:17" x14ac:dyDescent="0.15">
      <c r="B49" s="38" t="s">
        <v>261</v>
      </c>
      <c r="C49" s="76"/>
      <c r="D49" s="76">
        <f>'Balance Sheet'!E20-'Balance Sheet'!D20</f>
        <v>2.5099999999999998</v>
      </c>
      <c r="E49" s="76">
        <f>'Balance Sheet'!F20-'Balance Sheet'!E20</f>
        <v>168.61</v>
      </c>
      <c r="F49" s="76">
        <f>'Balance Sheet'!G20-'Balance Sheet'!F20</f>
        <v>668.21</v>
      </c>
      <c r="G49" s="76">
        <f>'Balance Sheet'!H20-'Balance Sheet'!G20</f>
        <v>948.15</v>
      </c>
      <c r="H49" s="80">
        <f>'Balance Sheet'!I20-'Balance Sheet'!H20</f>
        <v>140.84890063932289</v>
      </c>
      <c r="I49" s="80">
        <f>'Balance Sheet'!J20-'Balance Sheet'!I20</f>
        <v>157.55800857530721</v>
      </c>
      <c r="J49" s="80">
        <f>'Balance Sheet'!K20-'Balance Sheet'!J20</f>
        <v>176.73836999354535</v>
      </c>
      <c r="K49" s="80">
        <f>'Balance Sheet'!L20-'Balance Sheet'!K20</f>
        <v>198.82141782487133</v>
      </c>
      <c r="L49" s="80">
        <f>'Balance Sheet'!M20-'Balance Sheet'!L20</f>
        <v>224.32460480222062</v>
      </c>
      <c r="M49" s="80">
        <f>'Balance Sheet'!N20-'Balance Sheet'!M20</f>
        <v>253.87057791279676</v>
      </c>
      <c r="N49" s="80">
        <f>'Balance Sheet'!O20-'Balance Sheet'!N20</f>
        <v>288.21106098689143</v>
      </c>
      <c r="O49" s="80">
        <f>'Balance Sheet'!P20-'Balance Sheet'!O20</f>
        <v>328.25670506513097</v>
      </c>
      <c r="P49" s="80">
        <f>'Balance Sheet'!Q20-'Balance Sheet'!P20</f>
        <v>375.11453035319391</v>
      </c>
      <c r="Q49" s="80">
        <f>'Balance Sheet'!R20-'Balance Sheet'!Q20</f>
        <v>430.13506076095473</v>
      </c>
    </row>
    <row r="50" spans="2:17" x14ac:dyDescent="0.15">
      <c r="B50" s="38" t="s">
        <v>262</v>
      </c>
      <c r="C50" s="76"/>
      <c r="D50" s="76">
        <f>'Balance Sheet'!E21-'Balance Sheet'!D21</f>
        <v>-0.84999999999999787</v>
      </c>
      <c r="E50" s="76">
        <f>'Balance Sheet'!F21-'Balance Sheet'!E21</f>
        <v>-21.75</v>
      </c>
      <c r="F50" s="76">
        <f>'Balance Sheet'!G21-'Balance Sheet'!F21</f>
        <v>0</v>
      </c>
      <c r="G50" s="76">
        <f>'Balance Sheet'!H21-'Balance Sheet'!G21</f>
        <v>-1.9999999999999997E-2</v>
      </c>
      <c r="H50" s="80">
        <f>'Balance Sheet'!I21-'Balance Sheet'!H21</f>
        <v>0</v>
      </c>
      <c r="I50" s="80">
        <f>'Balance Sheet'!J21-'Balance Sheet'!I21</f>
        <v>0</v>
      </c>
      <c r="J50" s="80">
        <f>'Balance Sheet'!K21-'Balance Sheet'!J21</f>
        <v>0</v>
      </c>
      <c r="K50" s="80">
        <f>'Balance Sheet'!L21-'Balance Sheet'!K21</f>
        <v>0</v>
      </c>
      <c r="L50" s="80">
        <f>'Balance Sheet'!M21-'Balance Sheet'!L21</f>
        <v>0</v>
      </c>
      <c r="M50" s="80">
        <f>'Balance Sheet'!N21-'Balance Sheet'!M21</f>
        <v>0</v>
      </c>
      <c r="N50" s="80">
        <f>'Balance Sheet'!O21-'Balance Sheet'!N21</f>
        <v>0</v>
      </c>
      <c r="O50" s="80">
        <f>'Balance Sheet'!P21-'Balance Sheet'!O21</f>
        <v>0</v>
      </c>
      <c r="P50" s="80">
        <f>'Balance Sheet'!Q21-'Balance Sheet'!P21</f>
        <v>0</v>
      </c>
      <c r="Q50" s="80">
        <f>'Balance Sheet'!R21-'Balance Sheet'!Q21</f>
        <v>0</v>
      </c>
    </row>
    <row r="51" spans="2:17" x14ac:dyDescent="0.15">
      <c r="B51" s="38" t="s">
        <v>25</v>
      </c>
      <c r="C51" s="76"/>
      <c r="D51" s="76">
        <f>'Balance Sheet'!E22-'Balance Sheet'!D22</f>
        <v>-33.270000000000003</v>
      </c>
      <c r="E51" s="76">
        <f>'Balance Sheet'!F22-'Balance Sheet'!E22</f>
        <v>21.73</v>
      </c>
      <c r="F51" s="76">
        <f>'Balance Sheet'!G22-'Balance Sheet'!F22</f>
        <v>-3.4800000000000004</v>
      </c>
      <c r="G51" s="76">
        <f>'Balance Sheet'!H22-'Balance Sheet'!G22</f>
        <v>3.3200000000000003</v>
      </c>
      <c r="H51" s="80">
        <f>'Balance Sheet'!I22-'Balance Sheet'!H22</f>
        <v>1.9644209126470322</v>
      </c>
      <c r="I51" s="80">
        <f>'Balance Sheet'!J22-'Balance Sheet'!I22</f>
        <v>2.1974629947089852</v>
      </c>
      <c r="J51" s="80">
        <f>'Balance Sheet'!K22-'Balance Sheet'!J22</f>
        <v>2.4649716718167909</v>
      </c>
      <c r="K51" s="80">
        <f>'Balance Sheet'!L22-'Balance Sheet'!K22</f>
        <v>2.77296414302484</v>
      </c>
      <c r="L51" s="80">
        <f>'Balance Sheet'!M22-'Balance Sheet'!L22</f>
        <v>3.1286573263585424</v>
      </c>
      <c r="M51" s="80">
        <f>'Balance Sheet'!N22-'Balance Sheet'!M22</f>
        <v>3.5407352850750939</v>
      </c>
      <c r="N51" s="80">
        <f>'Balance Sheet'!O22-'Balance Sheet'!N22</f>
        <v>4.0196823183494033</v>
      </c>
      <c r="O51" s="80">
        <f>'Balance Sheet'!P22-'Balance Sheet'!O22</f>
        <v>4.5781992846206521</v>
      </c>
      <c r="P51" s="80">
        <f>'Balance Sheet'!Q22-'Balance Sheet'!P22</f>
        <v>5.2317258048790052</v>
      </c>
      <c r="Q51" s="80">
        <f>'Balance Sheet'!R22-'Balance Sheet'!Q22</f>
        <v>5.9990976485166811</v>
      </c>
    </row>
    <row r="52" spans="2:17" x14ac:dyDescent="0.15">
      <c r="B52" s="38" t="s">
        <v>329</v>
      </c>
      <c r="C52" s="76"/>
      <c r="D52" s="76">
        <f>'Balance Sheet'!E23-'Balance Sheet'!D23</f>
        <v>30</v>
      </c>
      <c r="E52" s="76">
        <f>'Balance Sheet'!F23-'Balance Sheet'!E23</f>
        <v>54.720000000000027</v>
      </c>
      <c r="F52" s="76">
        <f>'Balance Sheet'!G23-'Balance Sheet'!F23</f>
        <v>-28.759999999999991</v>
      </c>
      <c r="G52" s="76">
        <f>'Balance Sheet'!H23-'Balance Sheet'!G23</f>
        <v>-318.58</v>
      </c>
      <c r="H52" s="80">
        <f>'Balance Sheet'!I23-'Balance Sheet'!H23</f>
        <v>30.27162382718052</v>
      </c>
      <c r="I52" s="80">
        <f>'Balance Sheet'!J23-'Balance Sheet'!I23</f>
        <v>33.862790159540737</v>
      </c>
      <c r="J52" s="80">
        <f>'Balance Sheet'!K23-'Balance Sheet'!J23</f>
        <v>37.985084924262196</v>
      </c>
      <c r="K52" s="80">
        <f>'Balance Sheet'!L23-'Balance Sheet'!K23</f>
        <v>42.731232845000193</v>
      </c>
      <c r="L52" s="80">
        <f>'Balance Sheet'!M23-'Balance Sheet'!L23</f>
        <v>48.212446252192535</v>
      </c>
      <c r="M52" s="80">
        <f>'Balance Sheet'!N23-'Balance Sheet'!M23</f>
        <v>54.562546107793764</v>
      </c>
      <c r="N52" s="80">
        <f>'Balance Sheet'!O23-'Balance Sheet'!N23</f>
        <v>61.943094915374672</v>
      </c>
      <c r="O52" s="80">
        <f>'Balance Sheet'!P23-'Balance Sheet'!O23</f>
        <v>70.549812241183986</v>
      </c>
      <c r="P52" s="80">
        <f>'Balance Sheet'!Q23-'Balance Sheet'!P23</f>
        <v>80.620621839565388</v>
      </c>
      <c r="Q52" s="80">
        <f>'Balance Sheet'!R23-'Balance Sheet'!Q23</f>
        <v>92.445781934643264</v>
      </c>
    </row>
    <row r="53" spans="2:17" x14ac:dyDescent="0.15">
      <c r="B53" s="38" t="s">
        <v>24</v>
      </c>
      <c r="C53" s="76"/>
      <c r="D53" s="76">
        <f>'Balance Sheet'!E24-'Balance Sheet'!D24</f>
        <v>9.82</v>
      </c>
      <c r="E53" s="76">
        <f>'Balance Sheet'!F24-'Balance Sheet'!E24</f>
        <v>38.64</v>
      </c>
      <c r="F53" s="76">
        <f>'Balance Sheet'!G24-'Balance Sheet'!F24</f>
        <v>-44.99</v>
      </c>
      <c r="G53" s="76">
        <f>'Balance Sheet'!H24-'Balance Sheet'!G24</f>
        <v>72.91</v>
      </c>
      <c r="H53" s="80">
        <f>'Balance Sheet'!I24-'Balance Sheet'!H24</f>
        <v>9.5809843068091709</v>
      </c>
      <c r="I53" s="80">
        <f>'Balance Sheet'!J24-'Balance Sheet'!I24</f>
        <v>10.717590273833338</v>
      </c>
      <c r="J53" s="80">
        <f>'Balance Sheet'!K24-'Balance Sheet'!J24</f>
        <v>12.022298659294165</v>
      </c>
      <c r="K53" s="80">
        <f>'Balance Sheet'!L24-'Balance Sheet'!K24</f>
        <v>13.524456885294455</v>
      </c>
      <c r="L53" s="80">
        <f>'Balance Sheet'!M24-'Balance Sheet'!L24</f>
        <v>15.259263710867828</v>
      </c>
      <c r="M53" s="80">
        <f>'Balance Sheet'!N24-'Balance Sheet'!M24</f>
        <v>17.269073538398715</v>
      </c>
      <c r="N53" s="80">
        <f>'Balance Sheet'!O24-'Balance Sheet'!N24</f>
        <v>19.605020982274539</v>
      </c>
      <c r="O53" s="80">
        <f>'Balance Sheet'!P24-'Balance Sheet'!O24</f>
        <v>22.329051384557772</v>
      </c>
      <c r="P53" s="80">
        <f>'Balance Sheet'!Q24-'Balance Sheet'!P24</f>
        <v>25.516467734265461</v>
      </c>
      <c r="Q53" s="80">
        <f>'Balance Sheet'!R24-'Balance Sheet'!Q24</f>
        <v>29.259136906664423</v>
      </c>
    </row>
    <row r="54" spans="2:17" x14ac:dyDescent="0.15">
      <c r="B54" s="38"/>
      <c r="C54" s="76"/>
      <c r="D54" s="76"/>
      <c r="E54" s="76"/>
      <c r="F54" s="76"/>
      <c r="G54" s="76"/>
      <c r="H54" s="80"/>
      <c r="I54" s="80"/>
      <c r="J54" s="80"/>
      <c r="K54" s="80"/>
      <c r="L54" s="80"/>
      <c r="M54" s="80"/>
      <c r="N54" s="80"/>
      <c r="O54" s="80"/>
      <c r="P54" s="80"/>
      <c r="Q54" s="80"/>
    </row>
    <row r="55" spans="2:17" s="4" customFormat="1" x14ac:dyDescent="0.15">
      <c r="B55" s="85"/>
      <c r="C55" s="86"/>
      <c r="D55" s="87">
        <f>(D42+D43)-SUM(D45:D53)</f>
        <v>-12.850000000000378</v>
      </c>
      <c r="E55" s="87">
        <f t="shared" ref="E55:Q55" si="1">(E42+E43)-SUM(E45:E53)</f>
        <v>-489.07000000000005</v>
      </c>
      <c r="F55" s="87">
        <f t="shared" si="1"/>
        <v>-856.74000000000012</v>
      </c>
      <c r="G55" s="87">
        <f t="shared" si="1"/>
        <v>-2018.1699999999994</v>
      </c>
      <c r="H55" s="87">
        <f t="shared" ca="1" si="1"/>
        <v>-363.78688030619736</v>
      </c>
      <c r="I55" s="87">
        <f t="shared" ca="1" si="1"/>
        <v>-370.28191002252174</v>
      </c>
      <c r="J55" s="87">
        <f t="shared" ca="1" si="1"/>
        <v>-370.81049401831149</v>
      </c>
      <c r="K55" s="87">
        <f t="shared" ca="1" si="1"/>
        <v>-367.45211984185181</v>
      </c>
      <c r="L55" s="87">
        <f t="shared" ca="1" si="1"/>
        <v>-373.52798432252928</v>
      </c>
      <c r="M55" s="87">
        <f t="shared" ca="1" si="1"/>
        <v>-375.87060120441305</v>
      </c>
      <c r="N55" s="87">
        <f t="shared" ca="1" si="1"/>
        <v>-379.45405164856396</v>
      </c>
      <c r="O55" s="87">
        <f t="shared" ca="1" si="1"/>
        <v>-384.18818953013931</v>
      </c>
      <c r="P55" s="87">
        <f t="shared" ca="1" si="1"/>
        <v>-390.68273853455889</v>
      </c>
      <c r="Q55" s="87">
        <f t="shared" ca="1" si="1"/>
        <v>-399.22714470078051</v>
      </c>
    </row>
    <row r="56" spans="2:17" x14ac:dyDescent="0.15">
      <c r="B56" s="38"/>
      <c r="C56" s="76"/>
      <c r="D56" s="76"/>
      <c r="E56" s="76"/>
      <c r="F56" s="76"/>
      <c r="G56" s="76"/>
      <c r="H56" s="80"/>
      <c r="I56" s="80"/>
      <c r="J56" s="80"/>
      <c r="K56" s="80"/>
      <c r="L56" s="80"/>
      <c r="M56" s="80"/>
      <c r="N56" s="80"/>
      <c r="O56" s="80"/>
      <c r="P56" s="80"/>
      <c r="Q56" s="80"/>
    </row>
    <row r="57" spans="2:17" s="75" customFormat="1" x14ac:dyDescent="0.15">
      <c r="B57" s="82" t="s">
        <v>106</v>
      </c>
      <c r="C57" s="77"/>
      <c r="D57" s="77"/>
      <c r="E57" s="77"/>
      <c r="F57" s="77"/>
      <c r="G57" s="77"/>
      <c r="H57" s="81"/>
      <c r="I57" s="81"/>
      <c r="J57" s="81"/>
      <c r="K57" s="81"/>
      <c r="L57" s="81"/>
      <c r="M57" s="81"/>
      <c r="N57" s="81"/>
      <c r="O57" s="81"/>
      <c r="P57" s="81"/>
      <c r="Q57" s="81"/>
    </row>
    <row r="58" spans="2:17" s="75" customFormat="1" x14ac:dyDescent="0.15">
      <c r="B58" s="82"/>
      <c r="C58" s="77"/>
      <c r="D58" s="77"/>
      <c r="E58" s="77"/>
      <c r="F58" s="77"/>
      <c r="G58" s="77"/>
      <c r="H58" s="81"/>
      <c r="I58" s="81"/>
      <c r="J58" s="81"/>
      <c r="K58" s="81"/>
      <c r="L58" s="81"/>
      <c r="M58" s="81"/>
      <c r="N58" s="81"/>
      <c r="O58" s="81"/>
      <c r="P58" s="81"/>
      <c r="Q58" s="81"/>
    </row>
    <row r="59" spans="2:17" x14ac:dyDescent="0.15">
      <c r="B59" s="82" t="s">
        <v>107</v>
      </c>
      <c r="C59" s="76"/>
      <c r="D59" s="76"/>
      <c r="E59" s="76"/>
      <c r="F59" s="76"/>
      <c r="G59" s="76"/>
      <c r="H59" s="80"/>
      <c r="I59" s="80"/>
      <c r="J59" s="80"/>
      <c r="K59" s="80"/>
      <c r="L59" s="80"/>
      <c r="M59" s="80"/>
      <c r="N59" s="80"/>
      <c r="O59" s="80"/>
      <c r="P59" s="80"/>
      <c r="Q59" s="80"/>
    </row>
    <row r="60" spans="2:17" x14ac:dyDescent="0.15">
      <c r="B60" s="38" t="s">
        <v>35</v>
      </c>
      <c r="C60" s="76"/>
      <c r="D60" s="76">
        <f>'Balance Sheet'!E55-'Balance Sheet'!D55</f>
        <v>-1664.9299999999998</v>
      </c>
      <c r="E60" s="76">
        <f>'Balance Sheet'!F55-'Balance Sheet'!E55</f>
        <v>-99.259999999999991</v>
      </c>
      <c r="F60" s="76">
        <f>'Balance Sheet'!G55-'Balance Sheet'!F55</f>
        <v>-191.73000000000002</v>
      </c>
      <c r="G60" s="76">
        <f>'Balance Sheet'!H55-'Balance Sheet'!G55</f>
        <v>-189.12</v>
      </c>
      <c r="H60" s="80">
        <f>'Balance Sheet'!I55-'Balance Sheet'!H55</f>
        <v>662.0012019327022</v>
      </c>
      <c r="I60" s="80">
        <f>'Balance Sheet'!J55-'Balance Sheet'!I55</f>
        <v>125.69928038219609</v>
      </c>
      <c r="J60" s="80">
        <f>'Balance Sheet'!K55-'Balance Sheet'!J55</f>
        <v>66.742304519223353</v>
      </c>
      <c r="K60" s="80">
        <f>'Balance Sheet'!L55-'Balance Sheet'!K55</f>
        <v>121.55781941836824</v>
      </c>
      <c r="L60" s="80">
        <f>'Balance Sheet'!M55-'Balance Sheet'!L55</f>
        <v>-17.546791345276233</v>
      </c>
      <c r="M60" s="80">
        <f>'Balance Sheet'!N55-'Balance Sheet'!M55</f>
        <v>-14.307947028504032</v>
      </c>
      <c r="N60" s="80">
        <f>'Balance Sheet'!O55-'Balance Sheet'!N55</f>
        <v>-11.104454433269325</v>
      </c>
      <c r="O60" s="80">
        <f>'Balance Sheet'!P55-'Balance Sheet'!O55</f>
        <v>-59.303363254257533</v>
      </c>
      <c r="P60" s="80">
        <f>'Balance Sheet'!Q55-'Balance Sheet'!P55</f>
        <v>-149.31013134312673</v>
      </c>
      <c r="Q60" s="80">
        <f>'Balance Sheet'!R55-'Balance Sheet'!Q55</f>
        <v>-81.474934480097659</v>
      </c>
    </row>
    <row r="61" spans="2:17" x14ac:dyDescent="0.15">
      <c r="B61" s="38" t="s">
        <v>271</v>
      </c>
      <c r="C61" s="76"/>
      <c r="D61" s="76">
        <f>'Balance Sheet'!E56-'Balance Sheet'!D56</f>
        <v>33.299999999999997</v>
      </c>
      <c r="E61" s="76">
        <f>'Balance Sheet'!F56-'Balance Sheet'!E56</f>
        <v>-3.0499999999999972</v>
      </c>
      <c r="F61" s="76">
        <f>'Balance Sheet'!G56-'Balance Sheet'!F56</f>
        <v>-6.8299999999999983</v>
      </c>
      <c r="G61" s="76">
        <f>'Balance Sheet'!H56-'Balance Sheet'!G56</f>
        <v>-21.78</v>
      </c>
      <c r="H61" s="80">
        <f>'Balance Sheet'!I56-'Balance Sheet'!H56</f>
        <v>2.8233133293278456</v>
      </c>
      <c r="I61" s="80">
        <f>'Balance Sheet'!J56-'Balance Sheet'!I56</f>
        <v>3.1582470557730744</v>
      </c>
      <c r="J61" s="80">
        <f>'Balance Sheet'!K56-'Balance Sheet'!J56</f>
        <v>3.5427170076693031</v>
      </c>
      <c r="K61" s="80">
        <f>'Balance Sheet'!L56-'Balance Sheet'!K56</f>
        <v>3.9853712492811866</v>
      </c>
      <c r="L61" s="80">
        <f>'Balance Sheet'!M56-'Balance Sheet'!L56</f>
        <v>4.496582110045189</v>
      </c>
      <c r="M61" s="80">
        <f>'Balance Sheet'!N56-'Balance Sheet'!M56</f>
        <v>5.088830536070617</v>
      </c>
      <c r="N61" s="80">
        <f>'Balance Sheet'!O56-'Balance Sheet'!N56</f>
        <v>5.7771848161435742</v>
      </c>
      <c r="O61" s="80">
        <f>'Balance Sheet'!P56-'Balance Sheet'!O56</f>
        <v>6.5798989317271435</v>
      </c>
      <c r="P61" s="80">
        <f>'Balance Sheet'!Q56-'Balance Sheet'!P56</f>
        <v>7.5191630801770941</v>
      </c>
      <c r="Q61" s="80">
        <f>'Balance Sheet'!R56-'Balance Sheet'!Q56</f>
        <v>8.6220484856138313</v>
      </c>
    </row>
    <row r="62" spans="2:17" x14ac:dyDescent="0.15">
      <c r="B62" s="38" t="s">
        <v>273</v>
      </c>
      <c r="C62" s="76"/>
      <c r="D62" s="76">
        <f>'Balance Sheet'!E57-'Balance Sheet'!D57</f>
        <v>-131.97999999999999</v>
      </c>
      <c r="E62" s="76">
        <f>'Balance Sheet'!F57-'Balance Sheet'!E57</f>
        <v>0</v>
      </c>
      <c r="F62" s="76">
        <f>'Balance Sheet'!G57-'Balance Sheet'!F57</f>
        <v>0</v>
      </c>
      <c r="G62" s="76">
        <f>'Balance Sheet'!H57-'Balance Sheet'!G57</f>
        <v>0</v>
      </c>
      <c r="H62" s="80">
        <f>'Balance Sheet'!I57-'Balance Sheet'!H57</f>
        <v>0</v>
      </c>
      <c r="I62" s="80">
        <f>'Balance Sheet'!J57-'Balance Sheet'!I57</f>
        <v>0</v>
      </c>
      <c r="J62" s="80">
        <f>'Balance Sheet'!K57-'Balance Sheet'!J57</f>
        <v>0</v>
      </c>
      <c r="K62" s="80">
        <f>'Balance Sheet'!L57-'Balance Sheet'!K57</f>
        <v>0</v>
      </c>
      <c r="L62" s="80">
        <f>'Balance Sheet'!M57-'Balance Sheet'!L57</f>
        <v>0</v>
      </c>
      <c r="M62" s="80">
        <f>'Balance Sheet'!N57-'Balance Sheet'!M57</f>
        <v>0</v>
      </c>
      <c r="N62" s="80">
        <f>'Balance Sheet'!O57-'Balance Sheet'!N57</f>
        <v>0</v>
      </c>
      <c r="O62" s="80">
        <f>'Balance Sheet'!P57-'Balance Sheet'!O57</f>
        <v>0</v>
      </c>
      <c r="P62" s="80">
        <f>'Balance Sheet'!Q57-'Balance Sheet'!P57</f>
        <v>0</v>
      </c>
      <c r="Q62" s="80">
        <f>'Balance Sheet'!R57-'Balance Sheet'!Q57</f>
        <v>0</v>
      </c>
    </row>
    <row r="63" spans="2:17" x14ac:dyDescent="0.15">
      <c r="B63" s="38" t="s">
        <v>36</v>
      </c>
      <c r="C63" s="76"/>
      <c r="D63" s="76">
        <f>'Balance Sheet'!E58-'Balance Sheet'!D58</f>
        <v>-2.2600000000000051</v>
      </c>
      <c r="E63" s="76">
        <f>'Balance Sheet'!F58-'Balance Sheet'!E58</f>
        <v>-7.7199999999999989</v>
      </c>
      <c r="F63" s="76">
        <f>'Balance Sheet'!G58-'Balance Sheet'!F58</f>
        <v>-3.5799999999999983</v>
      </c>
      <c r="G63" s="76">
        <f>'Balance Sheet'!H58-'Balance Sheet'!G58</f>
        <v>63.209999999999994</v>
      </c>
      <c r="H63" s="80">
        <f>'Balance Sheet'!I58-'Balance Sheet'!H58</f>
        <v>13.130022329497592</v>
      </c>
      <c r="I63" s="80">
        <f>'Balance Sheet'!J58-'Balance Sheet'!I58</f>
        <v>14.68765578854223</v>
      </c>
      <c r="J63" s="80">
        <f>'Balance Sheet'!K58-'Balance Sheet'!J58</f>
        <v>16.475661037899386</v>
      </c>
      <c r="K63" s="80">
        <f>'Balance Sheet'!L58-'Balance Sheet'!K58</f>
        <v>18.534256524357403</v>
      </c>
      <c r="L63" s="80">
        <f>'Balance Sheet'!M58-'Balance Sheet'!L58</f>
        <v>20.911679514284941</v>
      </c>
      <c r="M63" s="80">
        <f>'Balance Sheet'!N58-'Balance Sheet'!M58</f>
        <v>23.665973548016922</v>
      </c>
      <c r="N63" s="80">
        <f>'Balance Sheet'!O58-'Balance Sheet'!N58</f>
        <v>26.86721478967354</v>
      </c>
      <c r="O63" s="80">
        <f>'Balance Sheet'!P58-'Balance Sheet'!O58</f>
        <v>30.600294697005211</v>
      </c>
      <c r="P63" s="80">
        <f>'Balance Sheet'!Q58-'Balance Sheet'!P58</f>
        <v>34.968410383754019</v>
      </c>
      <c r="Q63" s="80">
        <f>'Balance Sheet'!R58-'Balance Sheet'!Q58</f>
        <v>40.097458530779591</v>
      </c>
    </row>
    <row r="64" spans="2:17" x14ac:dyDescent="0.15">
      <c r="B64" s="38" t="s">
        <v>38</v>
      </c>
      <c r="C64" s="76"/>
      <c r="D64" s="76">
        <f>'Balance Sheet'!E59-'Balance Sheet'!D59</f>
        <v>-37.700000000000003</v>
      </c>
      <c r="E64" s="76">
        <f>'Balance Sheet'!F59-'Balance Sheet'!E59</f>
        <v>12.909999999999997</v>
      </c>
      <c r="F64" s="76">
        <f>'Balance Sheet'!G59-'Balance Sheet'!F59</f>
        <v>9.57</v>
      </c>
      <c r="G64" s="76">
        <f>'Balance Sheet'!H59-'Balance Sheet'!G59</f>
        <v>42.300000000000004</v>
      </c>
      <c r="H64" s="80">
        <f>'Balance Sheet'!I59-'Balance Sheet'!H59</f>
        <v>8.179965300516983</v>
      </c>
      <c r="I64" s="80">
        <f>'Balance Sheet'!J59-'Balance Sheet'!I59</f>
        <v>9.1503663650517382</v>
      </c>
      <c r="J64" s="80">
        <f>'Balance Sheet'!K59-'Balance Sheet'!J59</f>
        <v>10.264288377509061</v>
      </c>
      <c r="K64" s="80">
        <f>'Balance Sheet'!L59-'Balance Sheet'!K59</f>
        <v>11.546787311969865</v>
      </c>
      <c r="L64" s="80">
        <f>'Balance Sheet'!M59-'Balance Sheet'!L59</f>
        <v>13.027914843533097</v>
      </c>
      <c r="M64" s="80">
        <f>'Balance Sheet'!N59-'Balance Sheet'!M59</f>
        <v>14.743831927141827</v>
      </c>
      <c r="N64" s="80">
        <f>'Balance Sheet'!O59-'Balance Sheet'!N59</f>
        <v>16.738195806973579</v>
      </c>
      <c r="O64" s="80">
        <f>'Balance Sheet'!P59-'Balance Sheet'!O59</f>
        <v>19.063893611571217</v>
      </c>
      <c r="P64" s="80">
        <f>'Balance Sheet'!Q59-'Balance Sheet'!P59</f>
        <v>21.785216839329678</v>
      </c>
      <c r="Q64" s="80">
        <f>'Balance Sheet'!R59-'Balance Sheet'!Q59</f>
        <v>24.980598752206873</v>
      </c>
    </row>
    <row r="65" spans="2:17" x14ac:dyDescent="0.15">
      <c r="B65" s="38" t="s">
        <v>39</v>
      </c>
      <c r="C65" s="76"/>
      <c r="D65" s="76">
        <f>'Balance Sheet'!E60-'Balance Sheet'!D60</f>
        <v>-0.29000000000000004</v>
      </c>
      <c r="E65" s="76">
        <f>'Balance Sheet'!F60-'Balance Sheet'!E60</f>
        <v>-4.59</v>
      </c>
      <c r="F65" s="76">
        <f>'Balance Sheet'!G60-'Balance Sheet'!F60</f>
        <v>-0.72</v>
      </c>
      <c r="G65" s="76">
        <f>'Balance Sheet'!H60-'Balance Sheet'!G60</f>
        <v>-0.8600000000000001</v>
      </c>
      <c r="H65" s="80">
        <f>'Balance Sheet'!I60-'Balance Sheet'!H60</f>
        <v>5.5946203288383178E-2</v>
      </c>
      <c r="I65" s="80">
        <f>'Balance Sheet'!J60-'Balance Sheet'!I60</f>
        <v>6.2583181959220968E-2</v>
      </c>
      <c r="J65" s="80">
        <f>'Balance Sheet'!K60-'Balance Sheet'!J60</f>
        <v>7.0201760408741376E-2</v>
      </c>
      <c r="K65" s="80">
        <f>'Balance Sheet'!L60-'Balance Sheet'!K60</f>
        <v>7.8973306921285125E-2</v>
      </c>
      <c r="L65" s="80">
        <f>'Balance Sheet'!M60-'Balance Sheet'!L60</f>
        <v>8.9103357469497046E-2</v>
      </c>
      <c r="M65" s="80">
        <f>'Balance Sheet'!N60-'Balance Sheet'!M60</f>
        <v>0.1008392319455802</v>
      </c>
      <c r="N65" s="80">
        <f>'Balance Sheet'!O60-'Balance Sheet'!N60</f>
        <v>0.11447952049851917</v>
      </c>
      <c r="O65" s="80">
        <f>'Balance Sheet'!P60-'Balance Sheet'!O60</f>
        <v>0.13038594031611139</v>
      </c>
      <c r="P65" s="80">
        <f>'Balance Sheet'!Q60-'Balance Sheet'!P60</f>
        <v>0.14899820784051721</v>
      </c>
      <c r="Q65" s="80">
        <f>'Balance Sheet'!R60-'Balance Sheet'!Q60</f>
        <v>0.17085276094852975</v>
      </c>
    </row>
    <row r="66" spans="2:17" x14ac:dyDescent="0.15">
      <c r="B66" s="38" t="s">
        <v>116</v>
      </c>
      <c r="C66" s="76"/>
      <c r="D66" s="76">
        <f>'Balance Sheet'!E49-'Balance Sheet'!D49-('Income Statement'!D47)</f>
        <v>-180.30000000000109</v>
      </c>
      <c r="E66" s="76">
        <f>'Balance Sheet'!F49-'Balance Sheet'!E49-('Income Statement'!E47)</f>
        <v>333.6299999999992</v>
      </c>
      <c r="F66" s="76">
        <f>'Balance Sheet'!G49-'Balance Sheet'!F49-('Income Statement'!F47)</f>
        <v>535.82999999999993</v>
      </c>
      <c r="G66" s="76">
        <f>'Balance Sheet'!H49-'Balance Sheet'!G49-('Income Statement'!G47)</f>
        <v>-635.1199999999983</v>
      </c>
      <c r="H66" s="80">
        <f ca="1">'Balance Sheet'!I49-'Balance Sheet'!H49-('Income Statement'!H47)</f>
        <v>2013.7707403411432</v>
      </c>
      <c r="I66" s="80">
        <f ca="1">'Balance Sheet'!J49-'Balance Sheet'!I49-('Income Statement'!I47)</f>
        <v>2227.224041052923</v>
      </c>
      <c r="J66" s="80">
        <f ca="1">'Balance Sheet'!K49-'Balance Sheet'!J49-('Income Statement'!J47)</f>
        <v>2436.1373940025687</v>
      </c>
      <c r="K66" s="80">
        <f ca="1">'Balance Sheet'!L49-'Balance Sheet'!K49-('Income Statement'!K47)</f>
        <v>2710.6810562708661</v>
      </c>
      <c r="L66" s="80">
        <f ca="1">'Balance Sheet'!M49-'Balance Sheet'!L49-('Income Statement'!L47)</f>
        <v>2975.5335543890242</v>
      </c>
      <c r="M66" s="80">
        <f ca="1">'Balance Sheet'!N49-'Balance Sheet'!M49-('Income Statement'!M47)</f>
        <v>3323.7277059355047</v>
      </c>
      <c r="N66" s="80">
        <f ca="1">'Balance Sheet'!O49-'Balance Sheet'!N49-('Income Statement'!N47)</f>
        <v>3664.5435503637659</v>
      </c>
      <c r="O66" s="80">
        <f ca="1">'Balance Sheet'!P49-'Balance Sheet'!O49-('Income Statement'!O47)</f>
        <v>4110.2139479020652</v>
      </c>
      <c r="P66" s="80">
        <f ca="1">'Balance Sheet'!Q49-'Balance Sheet'!P49-('Income Statement'!P47)</f>
        <v>4552.5288503543179</v>
      </c>
      <c r="Q66" s="80">
        <f ca="1">'Balance Sheet'!R49-'Balance Sheet'!Q49-('Income Statement'!Q47)</f>
        <v>5121.9004104115738</v>
      </c>
    </row>
    <row r="67" spans="2:17" x14ac:dyDescent="0.15">
      <c r="B67" s="38" t="s">
        <v>327</v>
      </c>
      <c r="C67" s="76"/>
      <c r="D67" s="76">
        <f>'Balance Sheet'!E48-'Balance Sheet'!D48</f>
        <v>1.9999999999996021E-2</v>
      </c>
      <c r="E67" s="76">
        <f>'Balance Sheet'!F48-'Balance Sheet'!E48</f>
        <v>1.0000000000005116E-2</v>
      </c>
      <c r="F67" s="76">
        <f>'Balance Sheet'!G48-'Balance Sheet'!F48</f>
        <v>9.9999999999909051E-3</v>
      </c>
      <c r="G67" s="76">
        <f>'Balance Sheet'!H48-'Balance Sheet'!G48</f>
        <v>1.0000000000005116E-2</v>
      </c>
      <c r="H67" s="80">
        <f>'Balance Sheet'!I48-'Balance Sheet'!H48</f>
        <v>0</v>
      </c>
      <c r="I67" s="80">
        <f>'Balance Sheet'!J48-'Balance Sheet'!I48</f>
        <v>0</v>
      </c>
      <c r="J67" s="80">
        <f>'Balance Sheet'!K48-'Balance Sheet'!J48</f>
        <v>0</v>
      </c>
      <c r="K67" s="80">
        <f>'Balance Sheet'!L48-'Balance Sheet'!K48</f>
        <v>0</v>
      </c>
      <c r="L67" s="80">
        <f>'Balance Sheet'!M48-'Balance Sheet'!L48</f>
        <v>0</v>
      </c>
      <c r="M67" s="80">
        <f>'Balance Sheet'!N48-'Balance Sheet'!M48</f>
        <v>0</v>
      </c>
      <c r="N67" s="80">
        <f>'Balance Sheet'!O48-'Balance Sheet'!N48</f>
        <v>0</v>
      </c>
      <c r="O67" s="80">
        <f>'Balance Sheet'!P48-'Balance Sheet'!O48</f>
        <v>0</v>
      </c>
      <c r="P67" s="80">
        <f>'Balance Sheet'!Q48-'Balance Sheet'!P48</f>
        <v>0</v>
      </c>
      <c r="Q67" s="80">
        <f>'Balance Sheet'!R48-'Balance Sheet'!Q48</f>
        <v>0</v>
      </c>
    </row>
    <row r="68" spans="2:17" x14ac:dyDescent="0.15">
      <c r="B68" s="84" t="s">
        <v>105</v>
      </c>
      <c r="C68" s="76"/>
      <c r="D68" s="76"/>
      <c r="E68" s="76"/>
      <c r="F68" s="76"/>
      <c r="G68" s="76"/>
      <c r="H68" s="80"/>
      <c r="I68" s="80"/>
      <c r="J68" s="80"/>
      <c r="K68" s="80"/>
      <c r="L68" s="80"/>
      <c r="M68" s="80"/>
      <c r="N68" s="80"/>
      <c r="O68" s="80"/>
      <c r="P68" s="80"/>
      <c r="Q68" s="80"/>
    </row>
    <row r="69" spans="2:17" x14ac:dyDescent="0.15">
      <c r="B69" s="38" t="s">
        <v>115</v>
      </c>
      <c r="C69" s="76"/>
      <c r="D69" s="76">
        <f>'Income Statement'!D35</f>
        <v>126.63</v>
      </c>
      <c r="E69" s="76">
        <f>'Income Statement'!E35</f>
        <v>110.16</v>
      </c>
      <c r="F69" s="76">
        <f>'Income Statement'!F35</f>
        <v>175.74</v>
      </c>
      <c r="G69" s="76">
        <f>'Income Statement'!G35</f>
        <v>296.37</v>
      </c>
      <c r="H69" s="80">
        <f>'Income Statement'!H35</f>
        <v>201.07483958165233</v>
      </c>
      <c r="I69" s="80">
        <f>'Income Statement'!I35</f>
        <v>219.30823617296411</v>
      </c>
      <c r="J69" s="80">
        <f>'Income Statement'!J35</f>
        <v>232.09668740884771</v>
      </c>
      <c r="K69" s="80">
        <f>'Income Statement'!K35</f>
        <v>245.86156325250678</v>
      </c>
      <c r="L69" s="80">
        <f>'Income Statement'!L35</f>
        <v>260.70963870286175</v>
      </c>
      <c r="M69" s="80">
        <f>'Income Statement'!M35</f>
        <v>275.62307922755554</v>
      </c>
      <c r="N69" s="80">
        <f>'Income Statement'!N35</f>
        <v>291.69504099868135</v>
      </c>
      <c r="O69" s="80">
        <f>'Income Statement'!O35</f>
        <v>309.05492473768618</v>
      </c>
      <c r="P69" s="80">
        <f>'Income Statement'!P35</f>
        <v>327.85258971497183</v>
      </c>
      <c r="Q69" s="80">
        <f>'Income Statement'!Q35</f>
        <v>357.50554663418245</v>
      </c>
    </row>
    <row r="70" spans="2:17" x14ac:dyDescent="0.15">
      <c r="B70" s="38"/>
      <c r="C70" s="76"/>
      <c r="D70" s="76"/>
      <c r="E70" s="76"/>
      <c r="F70" s="76"/>
      <c r="G70" s="76"/>
      <c r="H70" s="80"/>
      <c r="I70" s="80"/>
      <c r="J70" s="80"/>
      <c r="K70" s="80"/>
      <c r="L70" s="80"/>
      <c r="M70" s="80"/>
      <c r="N70" s="80"/>
      <c r="O70" s="80"/>
      <c r="P70" s="80"/>
      <c r="Q70" s="80"/>
    </row>
    <row r="71" spans="2:17" s="4" customFormat="1" x14ac:dyDescent="0.15">
      <c r="B71" s="85"/>
      <c r="C71" s="86"/>
      <c r="D71" s="87">
        <f t="shared" ref="D71:Q71" si="2">SUM(D59:D67)-D69</f>
        <v>-2110.7700000000009</v>
      </c>
      <c r="E71" s="87">
        <f t="shared" si="2"/>
        <v>121.76999999999921</v>
      </c>
      <c r="F71" s="87">
        <f t="shared" si="2"/>
        <v>166.80999999999995</v>
      </c>
      <c r="G71" s="87">
        <f t="shared" si="2"/>
        <v>-1037.7299999999982</v>
      </c>
      <c r="H71" s="87">
        <f t="shared" ca="1" si="2"/>
        <v>2498.8863498548239</v>
      </c>
      <c r="I71" s="87">
        <f t="shared" ca="1" si="2"/>
        <v>2160.6739376534815</v>
      </c>
      <c r="J71" s="87">
        <f t="shared" ca="1" si="2"/>
        <v>2301.1358792964311</v>
      </c>
      <c r="K71" s="87">
        <f t="shared" ca="1" si="2"/>
        <v>2620.5227008292572</v>
      </c>
      <c r="L71" s="87">
        <f t="shared" ca="1" si="2"/>
        <v>2735.8024041662188</v>
      </c>
      <c r="M71" s="87">
        <f t="shared" ca="1" si="2"/>
        <v>3077.3961549226201</v>
      </c>
      <c r="N71" s="87">
        <f t="shared" ca="1" si="2"/>
        <v>3411.2411298651045</v>
      </c>
      <c r="O71" s="87">
        <f t="shared" ca="1" si="2"/>
        <v>3798.2301330907408</v>
      </c>
      <c r="P71" s="87">
        <f t="shared" ca="1" si="2"/>
        <v>4139.7879178073208</v>
      </c>
      <c r="Q71" s="87">
        <f t="shared" ca="1" si="2"/>
        <v>4756.7908878268418</v>
      </c>
    </row>
    <row r="72" spans="2:17" x14ac:dyDescent="0.15">
      <c r="B72" s="38"/>
      <c r="C72" s="76"/>
      <c r="D72" s="76"/>
      <c r="E72" s="76"/>
      <c r="F72" s="76"/>
      <c r="G72" s="76"/>
      <c r="H72" s="76"/>
      <c r="I72" s="76"/>
      <c r="J72" s="76"/>
      <c r="K72" s="76"/>
      <c r="L72" s="76"/>
      <c r="M72" s="76"/>
      <c r="N72" s="76"/>
      <c r="O72" s="76"/>
      <c r="P72" s="76"/>
      <c r="Q72" s="76"/>
    </row>
    <row r="73" spans="2:17" x14ac:dyDescent="0.15">
      <c r="B73" s="88" t="s">
        <v>109</v>
      </c>
      <c r="C73" s="89"/>
      <c r="D73" s="89">
        <f t="shared" ref="D73:Q73" si="3">D38+D55+D71</f>
        <v>-312.27000000000066</v>
      </c>
      <c r="E73" s="89">
        <f t="shared" si="3"/>
        <v>702.80999999999972</v>
      </c>
      <c r="F73" s="89">
        <f t="shared" si="3"/>
        <v>-259.90000000000066</v>
      </c>
      <c r="G73" s="89">
        <f t="shared" si="3"/>
        <v>-648.07999999999834</v>
      </c>
      <c r="H73" s="89">
        <f t="shared" ca="1" si="3"/>
        <v>4429.3194983165358</v>
      </c>
      <c r="I73" s="89">
        <f t="shared" ca="1" si="3"/>
        <v>4216.1549442721162</v>
      </c>
      <c r="J73" s="89">
        <f t="shared" ca="1" si="3"/>
        <v>4553.4266302788728</v>
      </c>
      <c r="K73" s="89">
        <f t="shared" ca="1" si="3"/>
        <v>5241.2139726467003</v>
      </c>
      <c r="L73" s="89">
        <f t="shared" ca="1" si="3"/>
        <v>5348.2083714364835</v>
      </c>
      <c r="M73" s="89">
        <f t="shared" ca="1" si="3"/>
        <v>5863.8848524701443</v>
      </c>
      <c r="N73" s="89">
        <f t="shared" ca="1" si="3"/>
        <v>6455.2423569126295</v>
      </c>
      <c r="O73" s="89">
        <f t="shared" ca="1" si="3"/>
        <v>6673.897950470192</v>
      </c>
      <c r="P73" s="89">
        <f t="shared" ca="1" si="3"/>
        <v>7422.6971951313744</v>
      </c>
      <c r="Q73" s="89">
        <f t="shared" ca="1" si="3"/>
        <v>8460.1960982441051</v>
      </c>
    </row>
    <row r="74" spans="2:17" x14ac:dyDescent="0.15">
      <c r="B74" s="88" t="s">
        <v>110</v>
      </c>
      <c r="C74" s="89"/>
      <c r="D74" s="89">
        <f>'Balance Sheet'!D34</f>
        <v>602.87</v>
      </c>
      <c r="E74" s="89">
        <f>D75</f>
        <v>290.59999999999934</v>
      </c>
      <c r="F74" s="89">
        <f t="shared" ref="F74:Q74" si="4">E75</f>
        <v>993.40999999999906</v>
      </c>
      <c r="G74" s="89">
        <f t="shared" si="4"/>
        <v>733.5099999999984</v>
      </c>
      <c r="H74" s="89">
        <f t="shared" si="4"/>
        <v>85.430000000000064</v>
      </c>
      <c r="I74" s="89">
        <f t="shared" ca="1" si="4"/>
        <v>4514.7494983165361</v>
      </c>
      <c r="J74" s="89">
        <f t="shared" ca="1" si="4"/>
        <v>8730.9044425886532</v>
      </c>
      <c r="K74" s="89">
        <f t="shared" ca="1" si="4"/>
        <v>13284.331072867526</v>
      </c>
      <c r="L74" s="89">
        <f t="shared" ca="1" si="4"/>
        <v>18525.545045514227</v>
      </c>
      <c r="M74" s="89">
        <f t="shared" ca="1" si="4"/>
        <v>23873.753416950713</v>
      </c>
      <c r="N74" s="89">
        <f t="shared" ca="1" si="4"/>
        <v>29737.638269420859</v>
      </c>
      <c r="O74" s="89">
        <f t="shared" ca="1" si="4"/>
        <v>36192.880626333485</v>
      </c>
      <c r="P74" s="89">
        <f t="shared" ca="1" si="4"/>
        <v>42866.778576803677</v>
      </c>
      <c r="Q74" s="89">
        <f t="shared" ca="1" si="4"/>
        <v>50289.475771935053</v>
      </c>
    </row>
    <row r="75" spans="2:17" s="4" customFormat="1" ht="15" thickBot="1" x14ac:dyDescent="0.2">
      <c r="B75" s="90" t="s">
        <v>111</v>
      </c>
      <c r="C75" s="91"/>
      <c r="D75" s="92">
        <f>D73+D74</f>
        <v>290.59999999999934</v>
      </c>
      <c r="E75" s="92">
        <f>E73+E74</f>
        <v>993.40999999999906</v>
      </c>
      <c r="F75" s="92">
        <f t="shared" ref="F75:Q75" si="5">F73+F74</f>
        <v>733.5099999999984</v>
      </c>
      <c r="G75" s="92">
        <f t="shared" si="5"/>
        <v>85.430000000000064</v>
      </c>
      <c r="H75" s="92">
        <f t="shared" ca="1" si="5"/>
        <v>4514.7494983165361</v>
      </c>
      <c r="I75" s="92">
        <f t="shared" ca="1" si="5"/>
        <v>8730.9044425886532</v>
      </c>
      <c r="J75" s="92">
        <f t="shared" ca="1" si="5"/>
        <v>13284.331072867526</v>
      </c>
      <c r="K75" s="92">
        <f t="shared" ca="1" si="5"/>
        <v>18525.545045514227</v>
      </c>
      <c r="L75" s="92">
        <f t="shared" ca="1" si="5"/>
        <v>23873.753416950713</v>
      </c>
      <c r="M75" s="92">
        <f t="shared" ca="1" si="5"/>
        <v>29737.638269420859</v>
      </c>
      <c r="N75" s="92">
        <f t="shared" ca="1" si="5"/>
        <v>36192.880626333485</v>
      </c>
      <c r="O75" s="92">
        <f t="shared" ca="1" si="5"/>
        <v>42866.778576803677</v>
      </c>
      <c r="P75" s="92">
        <f t="shared" ca="1" si="5"/>
        <v>50289.475771935053</v>
      </c>
      <c r="Q75" s="92">
        <f t="shared" ca="1" si="5"/>
        <v>58749.671870179154</v>
      </c>
    </row>
    <row r="76" spans="2:17" ht="15" thickTop="1" x14ac:dyDescent="0.15"/>
    <row r="77" spans="2:17" s="218" customFormat="1" x14ac:dyDescent="0.15">
      <c r="D77" s="218">
        <f>D75-'Balance Sheet'!E34</f>
        <v>-233.53000000000065</v>
      </c>
      <c r="E77" s="218">
        <f>E75-'Balance Sheet'!F34</f>
        <v>242.4899999999991</v>
      </c>
      <c r="F77" s="218">
        <f>F75-'Balance Sheet'!G34</f>
        <v>375.88999999999839</v>
      </c>
      <c r="G77" s="218">
        <f>G75-'Balance Sheet'!H34</f>
        <v>-317.34999999999991</v>
      </c>
      <c r="H77" s="218">
        <f ca="1">H75-'Balance Sheet'!I34</f>
        <v>-310.03129104024265</v>
      </c>
      <c r="I77" s="218">
        <f ca="1">I75-'Balance Sheet'!J34</f>
        <v>-301.8443530960576</v>
      </c>
      <c r="J77" s="218">
        <f ca="1">J75-'Balance Sheet'!K34</f>
        <v>-292.66077632596171</v>
      </c>
      <c r="K77" s="218">
        <f ca="1">K75-'Balance Sheet'!L34</f>
        <v>-282.32973302054233</v>
      </c>
      <c r="L77" s="218">
        <f ca="1">L75-'Balance Sheet'!M34</f>
        <v>-270.67350789129341</v>
      </c>
      <c r="M77" s="218">
        <f ca="1">M75-'Balance Sheet'!N34</f>
        <v>-257.48203202775767</v>
      </c>
      <c r="N77" s="218">
        <f ca="1">N75-'Balance Sheet'!O34</f>
        <v>-242.50617588142632</v>
      </c>
      <c r="O77" s="218">
        <f ca="1">O75-'Balance Sheet'!P34</f>
        <v>-225.44949118205113</v>
      </c>
      <c r="P77" s="218">
        <f ca="1">P75-'Balance Sheet'!Q34</f>
        <v>-205.9580073169418</v>
      </c>
      <c r="Q77" s="218">
        <f ca="1">Q75-'Balance Sheet'!R34</f>
        <v>-183.60757853256655</v>
      </c>
    </row>
    <row r="78" spans="2:17" x14ac:dyDescent="0.15">
      <c r="E78" s="102"/>
      <c r="F78" s="102"/>
      <c r="G78" s="102"/>
      <c r="H78" s="102"/>
      <c r="I78" s="102"/>
      <c r="J78" s="102"/>
      <c r="K78" s="102"/>
      <c r="L78" s="102"/>
      <c r="M78" s="102"/>
      <c r="N78" s="102"/>
      <c r="O78" s="102"/>
      <c r="P78" s="102"/>
      <c r="Q78" s="102"/>
    </row>
    <row r="79" spans="2:17" x14ac:dyDescent="0.15">
      <c r="F79" s="45"/>
    </row>
    <row r="81" spans="4:4" x14ac:dyDescent="0.15">
      <c r="D81" s="316"/>
    </row>
  </sheetData>
  <mergeCells count="3">
    <mergeCell ref="P6:Q6"/>
    <mergeCell ref="B8:B9"/>
    <mergeCell ref="B7:Q7"/>
  </mergeCells>
  <pageMargins left="0.7" right="0.7" top="0.75" bottom="0.75" header="0.3" footer="0.3"/>
  <pageSetup orientation="portrait"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rgb="FF92D050"/>
  </sheetPr>
  <dimension ref="B6:T49"/>
  <sheetViews>
    <sheetView showGridLines="0" zoomScale="50" zoomScaleNormal="100" workbookViewId="0">
      <selection activeCell="T17" sqref="T17"/>
    </sheetView>
  </sheetViews>
  <sheetFormatPr baseColWidth="10" defaultColWidth="8.83203125" defaultRowHeight="15" x14ac:dyDescent="0.2"/>
  <cols>
    <col min="1" max="1" width="6.1640625" customWidth="1"/>
    <col min="2" max="2" width="24.1640625" bestFit="1" customWidth="1"/>
    <col min="3" max="3" width="9.5" customWidth="1"/>
    <col min="18" max="18" width="15.1640625" customWidth="1"/>
    <col min="20" max="20" width="206.6640625" customWidth="1"/>
  </cols>
  <sheetData>
    <row r="6" spans="2:20" ht="12" customHeight="1" x14ac:dyDescent="0.2">
      <c r="P6" s="392" t="str">
        <f>'Income Statement'!P6:Q6</f>
        <v>(INR in Crores)</v>
      </c>
      <c r="Q6" s="392"/>
      <c r="R6" s="25"/>
    </row>
    <row r="7" spans="2:20" ht="16" x14ac:dyDescent="0.2">
      <c r="B7" s="396" t="s">
        <v>190</v>
      </c>
      <c r="C7" s="397"/>
      <c r="D7" s="397"/>
      <c r="E7" s="397"/>
      <c r="F7" s="397"/>
      <c r="G7" s="397"/>
      <c r="H7" s="397"/>
      <c r="I7" s="397"/>
      <c r="J7" s="397"/>
      <c r="K7" s="397"/>
      <c r="L7" s="397"/>
      <c r="M7" s="397"/>
      <c r="N7" s="397"/>
      <c r="O7" s="397"/>
      <c r="P7" s="397"/>
      <c r="Q7" s="397"/>
      <c r="R7" s="397"/>
      <c r="T7" s="393" t="s">
        <v>228</v>
      </c>
    </row>
    <row r="8" spans="2:20" x14ac:dyDescent="0.2">
      <c r="B8" s="389" t="s">
        <v>0</v>
      </c>
      <c r="C8" s="234">
        <v>2020</v>
      </c>
      <c r="D8" s="234">
        <v>2021</v>
      </c>
      <c r="E8" s="234">
        <v>2022</v>
      </c>
      <c r="F8" s="234">
        <v>2023</v>
      </c>
      <c r="G8" s="234">
        <v>2024</v>
      </c>
      <c r="H8" s="263">
        <v>2025</v>
      </c>
      <c r="I8" s="263">
        <v>2026</v>
      </c>
      <c r="J8" s="263">
        <v>2027</v>
      </c>
      <c r="K8" s="263">
        <v>2028</v>
      </c>
      <c r="L8" s="263">
        <v>2029</v>
      </c>
      <c r="M8" s="263">
        <v>2030</v>
      </c>
      <c r="N8" s="263">
        <v>2031</v>
      </c>
      <c r="O8" s="263">
        <v>2032</v>
      </c>
      <c r="P8" s="263">
        <v>2033</v>
      </c>
      <c r="Q8" s="263">
        <v>2034</v>
      </c>
      <c r="R8" s="394" t="s">
        <v>274</v>
      </c>
      <c r="T8" s="393"/>
    </row>
    <row r="9" spans="2:20" x14ac:dyDescent="0.2">
      <c r="B9" s="387"/>
      <c r="C9" s="13" t="s">
        <v>2</v>
      </c>
      <c r="D9" s="13" t="s">
        <v>2</v>
      </c>
      <c r="E9" s="13" t="s">
        <v>2</v>
      </c>
      <c r="F9" s="13" t="s">
        <v>2</v>
      </c>
      <c r="G9" s="13" t="s">
        <v>2</v>
      </c>
      <c r="H9" s="119" t="s">
        <v>60</v>
      </c>
      <c r="I9" s="119" t="s">
        <v>61</v>
      </c>
      <c r="J9" s="119" t="s">
        <v>61</v>
      </c>
      <c r="K9" s="119" t="s">
        <v>61</v>
      </c>
      <c r="L9" s="119" t="s">
        <v>61</v>
      </c>
      <c r="M9" s="119" t="s">
        <v>61</v>
      </c>
      <c r="N9" s="119" t="s">
        <v>61</v>
      </c>
      <c r="O9" s="119" t="s">
        <v>61</v>
      </c>
      <c r="P9" s="119" t="s">
        <v>61</v>
      </c>
      <c r="Q9" s="119" t="s">
        <v>61</v>
      </c>
      <c r="R9" s="395"/>
      <c r="T9" s="393"/>
    </row>
    <row r="10" spans="2:20" x14ac:dyDescent="0.2">
      <c r="B10" s="155"/>
      <c r="H10" s="63"/>
      <c r="I10" s="63"/>
      <c r="J10" s="63"/>
      <c r="K10" s="63"/>
      <c r="L10" s="63"/>
      <c r="M10" s="63"/>
      <c r="N10" s="63"/>
      <c r="O10" s="63"/>
      <c r="P10" s="63"/>
      <c r="Q10" s="63"/>
      <c r="R10" s="63"/>
      <c r="T10" s="2"/>
    </row>
    <row r="11" spans="2:20" x14ac:dyDescent="0.2">
      <c r="B11" s="156" t="s">
        <v>191</v>
      </c>
      <c r="C11" s="132"/>
      <c r="D11" s="4"/>
      <c r="E11" s="4"/>
      <c r="F11" s="4"/>
      <c r="G11" s="4"/>
      <c r="H11" s="43"/>
      <c r="I11" s="43"/>
      <c r="J11" s="43"/>
      <c r="K11" s="43"/>
      <c r="L11" s="43"/>
      <c r="M11" s="43"/>
      <c r="N11" s="43"/>
      <c r="O11" s="43"/>
      <c r="P11" s="43"/>
      <c r="Q11" s="43"/>
      <c r="R11" s="43"/>
      <c r="T11" s="4"/>
    </row>
    <row r="12" spans="2:20" ht="32" customHeight="1" x14ac:dyDescent="0.2">
      <c r="B12" s="157" t="s">
        <v>192</v>
      </c>
      <c r="C12" s="134">
        <f>'Cost Buildup'!C23</f>
        <v>0.56999636759898287</v>
      </c>
      <c r="D12" s="134">
        <f>'Cost Buildup'!D23</f>
        <v>0.55303383378881488</v>
      </c>
      <c r="E12" s="134">
        <f>'Cost Buildup'!E23</f>
        <v>0.50514478882417635</v>
      </c>
      <c r="F12" s="134">
        <f>'Cost Buildup'!F23</f>
        <v>0.4966352432455165</v>
      </c>
      <c r="G12" s="134">
        <f>'Cost Buildup'!G23</f>
        <v>0.55162807327695373</v>
      </c>
      <c r="H12" s="135">
        <f>'Cost Buildup'!H23</f>
        <v>0.55487538592759567</v>
      </c>
      <c r="I12" s="135">
        <f>'Cost Buildup'!I23</f>
        <v>0.55475289757285506</v>
      </c>
      <c r="J12" s="135">
        <f>'Cost Buildup'!J23</f>
        <v>0.55462302465317714</v>
      </c>
      <c r="K12" s="135">
        <f>'Cost Buildup'!K23</f>
        <v>0.55448633470470154</v>
      </c>
      <c r="L12" s="135">
        <f>'Cost Buildup'!L23</f>
        <v>0.55434346395272283</v>
      </c>
      <c r="M12" s="135">
        <f>'Cost Buildup'!M23</f>
        <v>0.55419511320824189</v>
      </c>
      <c r="N12" s="135">
        <f>'Cost Buildup'!N23</f>
        <v>0.5540420424472996</v>
      </c>
      <c r="O12" s="135">
        <f>'Cost Buildup'!O23</f>
        <v>0.55388506406775162</v>
      </c>
      <c r="P12" s="135">
        <f>'Cost Buildup'!P23</f>
        <v>0.55372503485411384</v>
      </c>
      <c r="Q12" s="135">
        <f>'Cost Buildup'!Q23</f>
        <v>0.55356284672099509</v>
      </c>
      <c r="R12" s="135"/>
      <c r="T12" s="154" t="s">
        <v>414</v>
      </c>
    </row>
    <row r="13" spans="2:20" ht="35" customHeight="1" x14ac:dyDescent="0.2">
      <c r="B13" s="157" t="s">
        <v>193</v>
      </c>
      <c r="C13" s="136">
        <f>'Income Statement'!C27/'Income Statement'!C11</f>
        <v>0.21623178754490047</v>
      </c>
      <c r="D13" s="136">
        <f>'Income Statement'!D27/'Income Statement'!D11</f>
        <v>0.21655021208455821</v>
      </c>
      <c r="E13" s="136">
        <f>'Income Statement'!E27/'Income Statement'!E11</f>
        <v>0.195097136806093</v>
      </c>
      <c r="F13" s="136">
        <f>'Income Statement'!F27/'Income Statement'!F11</f>
        <v>0.18252218952130406</v>
      </c>
      <c r="G13" s="136">
        <f>'Income Statement'!G27/'Income Statement'!G11</f>
        <v>0.20881434665308374</v>
      </c>
      <c r="H13" s="137">
        <f>'Income Statement'!H27/'Income Statement'!H11</f>
        <v>0.21206165930372572</v>
      </c>
      <c r="I13" s="137">
        <f>'Income Statement'!I27/'Income Statement'!I11</f>
        <v>0.21193917094898515</v>
      </c>
      <c r="J13" s="137">
        <f>'Income Statement'!J27/'Income Statement'!J11</f>
        <v>0.21180929802930717</v>
      </c>
      <c r="K13" s="137">
        <f>'Income Statement'!K27/'Income Statement'!K11</f>
        <v>0.21167260808083158</v>
      </c>
      <c r="L13" s="137">
        <f>'Income Statement'!L27/'Income Statement'!L11</f>
        <v>0.21152973732885283</v>
      </c>
      <c r="M13" s="137">
        <f>'Income Statement'!M27/'Income Statement'!M11</f>
        <v>0.21138138658437192</v>
      </c>
      <c r="N13" s="137">
        <f>'Income Statement'!N27/'Income Statement'!N11</f>
        <v>0.21122831582342963</v>
      </c>
      <c r="O13" s="137">
        <f>'Income Statement'!O27/'Income Statement'!O11</f>
        <v>0.21107133744388171</v>
      </c>
      <c r="P13" s="137">
        <f>'Income Statement'!P27/'Income Statement'!P11</f>
        <v>0.2109113082302439</v>
      </c>
      <c r="Q13" s="137">
        <f>'Income Statement'!Q27/'Income Statement'!Q11</f>
        <v>0.21074912009712515</v>
      </c>
      <c r="R13" s="135"/>
      <c r="T13" s="154" t="s">
        <v>415</v>
      </c>
    </row>
    <row r="14" spans="2:20" ht="47" customHeight="1" x14ac:dyDescent="0.2">
      <c r="B14" s="157" t="s">
        <v>194</v>
      </c>
      <c r="C14" s="136">
        <f>'Income Statement'!C31/'Income Statement'!C11</f>
        <v>0.19632622997134433</v>
      </c>
      <c r="D14" s="136">
        <f>'Income Statement'!D31/'Income Statement'!D11</f>
        <v>0.19806648519941755</v>
      </c>
      <c r="E14" s="136">
        <f>'Income Statement'!E31/'Income Statement'!E11</f>
        <v>0.17799698611167683</v>
      </c>
      <c r="F14" s="136">
        <f>'Income Statement'!F31/'Income Statement'!F11</f>
        <v>0.16477733127965888</v>
      </c>
      <c r="G14" s="136">
        <f>'Income Statement'!G31/'Income Statement'!G11</f>
        <v>0.1917202689252567</v>
      </c>
      <c r="H14" s="137">
        <f ca="1">'Income Statement'!H31/'Income Statement'!H11</f>
        <v>0.20253581923898034</v>
      </c>
      <c r="I14" s="137">
        <f ca="1">'Income Statement'!I31/'Income Statement'!I11</f>
        <v>0.20308883616733306</v>
      </c>
      <c r="J14" s="137">
        <f ca="1">'Income Statement'!J31/'Income Statement'!J11</f>
        <v>0.2036094862350078</v>
      </c>
      <c r="K14" s="137">
        <f ca="1">'Income Statement'!K31/'Income Statement'!K11</f>
        <v>0.20409744223212198</v>
      </c>
      <c r="L14" s="137">
        <f ca="1">'Income Statement'!L31/'Income Statement'!L11</f>
        <v>0.20455256236247812</v>
      </c>
      <c r="M14" s="137">
        <f ca="1">'Income Statement'!M31/'Income Statement'!M11</f>
        <v>0.204974894724333</v>
      </c>
      <c r="N14" s="137">
        <f ca="1">'Income Statement'!N31/'Income Statement'!N11</f>
        <v>0.2053646795052905</v>
      </c>
      <c r="O14" s="137">
        <f ca="1">'Income Statement'!O31/'Income Statement'!O11</f>
        <v>0.2057223486875773</v>
      </c>
      <c r="P14" s="137">
        <f ca="1">'Income Statement'!P31/'Income Statement'!P11</f>
        <v>0.20604852310084587</v>
      </c>
      <c r="Q14" s="137">
        <f ca="1">'Income Statement'!Q31/'Income Statement'!Q11</f>
        <v>0.20634720496336206</v>
      </c>
      <c r="R14" s="135"/>
      <c r="T14" s="154" t="s">
        <v>416</v>
      </c>
    </row>
    <row r="15" spans="2:20" ht="44" customHeight="1" x14ac:dyDescent="0.2">
      <c r="B15" s="157" t="s">
        <v>195</v>
      </c>
      <c r="C15" s="136">
        <f>'Income Statement'!C43/'Income Statement'!C11</f>
        <v>0.17762440973483465</v>
      </c>
      <c r="D15" s="136">
        <f>'Income Statement'!D43/'Income Statement'!D11</f>
        <v>0.18863284799004776</v>
      </c>
      <c r="E15" s="136">
        <f>'Income Statement'!E43/'Income Statement'!E11</f>
        <v>0.17555980939192775</v>
      </c>
      <c r="F15" s="136">
        <f>'Income Statement'!F43/'Income Statement'!F11</f>
        <v>0.16016332268696903</v>
      </c>
      <c r="G15" s="136">
        <f>'Income Statement'!G43/'Income Statement'!G11</f>
        <v>1.406274497006621E-2</v>
      </c>
      <c r="H15" s="137">
        <f ca="1">'Income Statement'!H43/'Income Statement'!H11</f>
        <v>0.16993786144657586</v>
      </c>
      <c r="I15" s="137">
        <f ca="1">'Income Statement'!I43/'Income Statement'!I11</f>
        <v>0.1703811980436829</v>
      </c>
      <c r="J15" s="137">
        <f ca="1">'Income Statement'!J43/'Income Statement'!J11</f>
        <v>0.17122654804173279</v>
      </c>
      <c r="K15" s="137">
        <f ca="1">'Income Statement'!K43/'Income Statement'!K11</f>
        <v>0.17205605861302078</v>
      </c>
      <c r="L15" s="137">
        <f ca="1">'Income Statement'!L43/'Income Statement'!L11</f>
        <v>0.17286805144506617</v>
      </c>
      <c r="M15" s="137">
        <f ca="1">'Income Statement'!M43/'Income Statement'!M11</f>
        <v>0.17371010221833214</v>
      </c>
      <c r="N15" s="137">
        <f ca="1">'Income Statement'!N43/'Income Statement'!N11</f>
        <v>0.17453009562735713</v>
      </c>
      <c r="O15" s="137">
        <f ca="1">'Income Statement'!O43/'Income Statement'!O11</f>
        <v>0.17532651292402532</v>
      </c>
      <c r="P15" s="137">
        <f ca="1">'Income Statement'!P43/'Income Statement'!P11</f>
        <v>0.17609791563166058</v>
      </c>
      <c r="Q15" s="137">
        <f ca="1">'Income Statement'!Q43/'Income Statement'!Q11</f>
        <v>0.1765774164556658</v>
      </c>
      <c r="R15" s="135"/>
      <c r="T15" s="154" t="s">
        <v>417</v>
      </c>
    </row>
    <row r="16" spans="2:20" ht="17" customHeight="1" x14ac:dyDescent="0.2">
      <c r="B16" s="157" t="s">
        <v>196</v>
      </c>
      <c r="C16" s="136">
        <f>'Cost Buildup'!C34</f>
        <v>0.14986366734833007</v>
      </c>
      <c r="D16" s="136">
        <f>'Cost Buildup'!D34</f>
        <v>0.17282585706320058</v>
      </c>
      <c r="E16" s="136">
        <f>'Cost Buildup'!E34</f>
        <v>0.17254066794725453</v>
      </c>
      <c r="F16" s="136">
        <f>'Cost Buildup'!F34</f>
        <v>0.20174611882423005</v>
      </c>
      <c r="G16" s="136">
        <f>'Cost Buildup'!G34</f>
        <v>3.8277758159713282</v>
      </c>
      <c r="H16" s="137">
        <f>'Cost Buildup'!H34</f>
        <v>0.21174611882423006</v>
      </c>
      <c r="I16" s="137">
        <f>'Cost Buildup'!I34</f>
        <v>0.21174611882423006</v>
      </c>
      <c r="J16" s="137">
        <f>'Cost Buildup'!J34</f>
        <v>0.22174611882423007</v>
      </c>
      <c r="K16" s="137">
        <f>'Cost Buildup'!K34</f>
        <v>0.22174611882423007</v>
      </c>
      <c r="L16" s="137">
        <f>'Cost Buildup'!L34</f>
        <v>0.23174611882423007</v>
      </c>
      <c r="M16" s="137">
        <f>'Cost Buildup'!M34</f>
        <v>0.23174611882423007</v>
      </c>
      <c r="N16" s="137">
        <f>'Cost Buildup'!N34</f>
        <v>0.24174611882423008</v>
      </c>
      <c r="O16" s="137">
        <f>'Cost Buildup'!O34</f>
        <v>0.24174611882423008</v>
      </c>
      <c r="P16" s="137">
        <f>'Cost Buildup'!P34</f>
        <v>0.25174611882423009</v>
      </c>
      <c r="Q16" s="137">
        <f>'Cost Buildup'!Q34</f>
        <v>0.25174611882423009</v>
      </c>
      <c r="R16" s="135"/>
      <c r="T16" s="154" t="s">
        <v>413</v>
      </c>
    </row>
    <row r="17" spans="2:20" ht="47" customHeight="1" x14ac:dyDescent="0.2">
      <c r="B17" s="157" t="s">
        <v>197</v>
      </c>
      <c r="C17" s="136">
        <f>'Income Statement'!C47/'Income Statement'!C11</f>
        <v>0.1510049642813899</v>
      </c>
      <c r="D17" s="136">
        <f>'Income Statement'!D47/'Income Statement'!D11</f>
        <v>0.15603221436589532</v>
      </c>
      <c r="E17" s="136">
        <f>'Income Statement'!E47/'Income Statement'!E11</f>
        <v>0.14526860261475186</v>
      </c>
      <c r="F17" s="136">
        <f>'Income Statement'!F47/'Income Statement'!F11</f>
        <v>0.12785099395688029</v>
      </c>
      <c r="G17" s="136">
        <f>'Income Statement'!G47/'Income Statement'!G11</f>
        <v>-3.9766290132525917E-2</v>
      </c>
      <c r="H17" s="137">
        <f ca="1">'Income Statement'!H47/'Income Statement'!H11</f>
        <v>0.13395417884397365</v>
      </c>
      <c r="I17" s="137">
        <f ca="1">'Income Statement'!I47/'Income Statement'!I11</f>
        <v>0.13430364063731054</v>
      </c>
      <c r="J17" s="137">
        <f ca="1">'Income Statement'!J47/'Income Statement'!J11</f>
        <v>0.13325772557380797</v>
      </c>
      <c r="K17" s="137">
        <f ca="1">'Income Statement'!K47/'Income Statement'!K11</f>
        <v>0.13390329539538917</v>
      </c>
      <c r="L17" s="137">
        <f ca="1">'Income Statement'!L47/'Income Statement'!L11</f>
        <v>0.13280655145396475</v>
      </c>
      <c r="M17" s="137">
        <f ca="1">'Income Statement'!M47/'Income Statement'!M11</f>
        <v>0.13345346022867341</v>
      </c>
      <c r="N17" s="137">
        <f ca="1">'Income Statement'!N47/'Income Statement'!N11</f>
        <v>0.13233812239142184</v>
      </c>
      <c r="O17" s="137">
        <f ca="1">'Income Statement'!O47/'Income Statement'!O11</f>
        <v>0.13294200889765598</v>
      </c>
      <c r="P17" s="137">
        <f ca="1">'Income Statement'!P47/'Income Statement'!P11</f>
        <v>0.13176594883835333</v>
      </c>
      <c r="Q17" s="137">
        <f ca="1">'Income Statement'!Q47/'Income Statement'!Q11</f>
        <v>0.1321247371909422</v>
      </c>
      <c r="R17" s="135"/>
      <c r="T17" s="154" t="s">
        <v>418</v>
      </c>
    </row>
    <row r="18" spans="2:20" x14ac:dyDescent="0.2">
      <c r="B18" s="157"/>
      <c r="C18" s="133"/>
      <c r="D18" s="133"/>
      <c r="E18" s="133"/>
      <c r="F18" s="133" t="s">
        <v>198</v>
      </c>
      <c r="G18" s="133"/>
      <c r="H18" s="138"/>
      <c r="I18" s="138"/>
      <c r="J18" s="138"/>
      <c r="K18" s="138"/>
      <c r="L18" s="138"/>
      <c r="M18" s="138"/>
      <c r="N18" s="138"/>
      <c r="O18" s="138"/>
      <c r="P18" s="138"/>
      <c r="Q18" s="138"/>
      <c r="R18" s="138"/>
      <c r="T18" s="152"/>
    </row>
    <row r="19" spans="2:20" ht="15" customHeight="1" x14ac:dyDescent="0.2">
      <c r="B19" s="156" t="s">
        <v>199</v>
      </c>
      <c r="C19" s="132"/>
      <c r="D19" s="132"/>
      <c r="E19" s="132"/>
      <c r="F19" s="132"/>
      <c r="G19" s="132"/>
      <c r="H19" s="139"/>
      <c r="I19" s="139"/>
      <c r="J19" s="139"/>
      <c r="K19" s="139"/>
      <c r="L19" s="139"/>
      <c r="M19" s="139"/>
      <c r="N19" s="139"/>
      <c r="O19" s="139"/>
      <c r="P19" s="139"/>
      <c r="Q19" s="139"/>
      <c r="R19" s="139"/>
      <c r="T19" s="153"/>
    </row>
    <row r="20" spans="2:20" ht="32" customHeight="1" x14ac:dyDescent="0.2">
      <c r="B20" s="157" t="s">
        <v>200</v>
      </c>
      <c r="C20" s="133"/>
      <c r="D20" s="136">
        <f>'Income Statement'!D11/AVERAGE('Balance Sheet'!D43:E43)</f>
        <v>0.75435595897787366</v>
      </c>
      <c r="E20" s="136">
        <f>'Income Statement'!E11/AVERAGE('Balance Sheet'!E43:F43)</f>
        <v>0.80721625623666848</v>
      </c>
      <c r="F20" s="136">
        <f>'Income Statement'!F11/AVERAGE('Balance Sheet'!F43:G43)</f>
        <v>0.79184356475503248</v>
      </c>
      <c r="G20" s="136">
        <f>'Income Statement'!G11/AVERAGE('Balance Sheet'!G43:H43)</f>
        <v>0.78323340184349566</v>
      </c>
      <c r="H20" s="137">
        <f ca="1">'Income Statement'!H11/AVERAGE('Balance Sheet'!H43:I43)</f>
        <v>0.71991971234911722</v>
      </c>
      <c r="I20" s="137">
        <f ca="1">'Income Statement'!I11/AVERAGE('Balance Sheet'!I43:J43)</f>
        <v>0.62546981794281187</v>
      </c>
      <c r="J20" s="137">
        <f ca="1">'Income Statement'!J11/AVERAGE('Balance Sheet'!J43:K43)</f>
        <v>0.5647468930099061</v>
      </c>
      <c r="K20" s="137">
        <f ca="1">'Income Statement'!K11/AVERAGE('Balance Sheet'!K43:L43)</f>
        <v>0.51814684212215234</v>
      </c>
      <c r="L20" s="137">
        <f ca="1">'Income Statement'!L11/AVERAGE('Balance Sheet'!L43:M43)</f>
        <v>0.48359327352939296</v>
      </c>
      <c r="M20" s="137">
        <f ca="1">'Income Statement'!M11/AVERAGE('Balance Sheet'!M43:N43)</f>
        <v>0.45882052557932945</v>
      </c>
      <c r="N20" s="137">
        <f ca="1">'Income Statement'!N11/AVERAGE('Balance Sheet'!N43:O43)</f>
        <v>0.43964773676631086</v>
      </c>
      <c r="O20" s="137">
        <f ca="1">'Income Statement'!O11/AVERAGE('Balance Sheet'!O43:P43)</f>
        <v>0.42631270084450767</v>
      </c>
      <c r="P20" s="137">
        <f ca="1">'Income Statement'!P11/AVERAGE('Balance Sheet'!P43:Q43)</f>
        <v>0.41741928411892398</v>
      </c>
      <c r="Q20" s="137">
        <f ca="1">'Income Statement'!Q11/AVERAGE('Balance Sheet'!Q43:R43)</f>
        <v>0.4104651546656477</v>
      </c>
      <c r="R20" s="135"/>
      <c r="T20" s="154" t="s">
        <v>419</v>
      </c>
    </row>
    <row r="21" spans="2:20" ht="33" customHeight="1" x14ac:dyDescent="0.2">
      <c r="B21" s="157" t="s">
        <v>201</v>
      </c>
      <c r="C21" s="133"/>
      <c r="D21" s="136">
        <f>'Income Statement'!D43/AVERAGE('Balance Sheet'!D43:E43)</f>
        <v>0.14229631294025993</v>
      </c>
      <c r="E21" s="136">
        <f>'Income Statement'!E43/AVERAGE('Balance Sheet'!E43:F43)</f>
        <v>0.14171473208297503</v>
      </c>
      <c r="F21" s="136">
        <f>'Income Statement'!F43/AVERAGE('Balance Sheet'!F43:G43)</f>
        <v>0.12682429637946013</v>
      </c>
      <c r="G21" s="136">
        <f>'Income Statement'!G43/AVERAGE('Balance Sheet'!G43:H43)</f>
        <v>1.1014411582162466E-2</v>
      </c>
      <c r="H21" s="137">
        <f ca="1">'Income Statement'!H43/AVERAGE('Balance Sheet'!H43:I43)</f>
        <v>0.12234161632984303</v>
      </c>
      <c r="I21" s="137">
        <f ca="1">'Income Statement'!I43/AVERAGE('Balance Sheet'!I43:J43)</f>
        <v>0.10656829692126052</v>
      </c>
      <c r="J21" s="137">
        <f ca="1">'Income Statement'!J43/AVERAGE('Balance Sheet'!J43:K43)</f>
        <v>9.6699661007380019E-2</v>
      </c>
      <c r="K21" s="137">
        <f ca="1">'Income Statement'!K43/AVERAGE('Balance Sheet'!K43:L43)</f>
        <v>8.9150303438320672E-2</v>
      </c>
      <c r="L21" s="137">
        <f ca="1">'Income Statement'!L43/AVERAGE('Balance Sheet'!L43:M43)</f>
        <v>8.3597826886967055E-2</v>
      </c>
      <c r="M21" s="137">
        <f ca="1">'Income Statement'!M43/AVERAGE('Balance Sheet'!M43:N43)</f>
        <v>7.9701760398254204E-2</v>
      </c>
      <c r="N21" s="137">
        <f ca="1">'Income Statement'!N43/AVERAGE('Balance Sheet'!N43:O43)</f>
        <v>7.6731761540175372E-2</v>
      </c>
      <c r="O21" s="137">
        <f ca="1">'Income Statement'!O43/AVERAGE('Balance Sheet'!O43:P43)</f>
        <v>7.4743919254290719E-2</v>
      </c>
      <c r="P21" s="137">
        <f ca="1">'Income Statement'!P43/AVERAGE('Balance Sheet'!P43:Q43)</f>
        <v>7.3506665877802441E-2</v>
      </c>
      <c r="Q21" s="137">
        <f ca="1">'Income Statement'!Q43/AVERAGE('Balance Sheet'!Q43:R43)</f>
        <v>7.2478876555935351E-2</v>
      </c>
      <c r="R21" s="135"/>
      <c r="T21" s="154" t="s">
        <v>420</v>
      </c>
    </row>
    <row r="22" spans="2:20" ht="47" customHeight="1" x14ac:dyDescent="0.2">
      <c r="B22" s="157" t="s">
        <v>202</v>
      </c>
      <c r="C22" s="133"/>
      <c r="D22" s="136">
        <f>'Income Statement'!D43/AVERAGE('Balance Sheet'!D51:E51)</f>
        <v>0.23998717213677373</v>
      </c>
      <c r="E22" s="136">
        <f>'Income Statement'!E43/AVERAGE('Balance Sheet'!E51:F51)</f>
        <v>0.20531340334739562</v>
      </c>
      <c r="F22" s="136">
        <f>'Income Statement'!F43/AVERAGE('Balance Sheet'!F51:G51)</f>
        <v>0.16826165988695924</v>
      </c>
      <c r="G22" s="136">
        <f>'Income Statement'!G43/AVERAGE('Balance Sheet'!G51:H51)</f>
        <v>1.5021521020884483E-2</v>
      </c>
      <c r="H22" s="137">
        <f ca="1">'Income Statement'!H43/AVERAGE('Balance Sheet'!H51:I51)</f>
        <v>0.17671124465769306</v>
      </c>
      <c r="I22" s="137">
        <f ca="1">'Income Statement'!I43/AVERAGE('Balance Sheet'!I51:J51)</f>
        <v>0.14854374518718569</v>
      </c>
      <c r="J22" s="137">
        <f ca="1">'Income Statement'!J43/AVERAGE('Balance Sheet'!J51:K51)</f>
        <v>0.13004940094592216</v>
      </c>
      <c r="K22" s="137">
        <f ca="1">'Income Statement'!K43/AVERAGE('Balance Sheet'!K51:L51)</f>
        <v>0.11696134018021076</v>
      </c>
      <c r="L22" s="137">
        <f ca="1">'Income Statement'!L43/AVERAGE('Balance Sheet'!L51:M51)</f>
        <v>0.1073593500230416</v>
      </c>
      <c r="M22" s="137">
        <f ca="1">'Income Statement'!M43/AVERAGE('Balance Sheet'!M51:N51)</f>
        <v>0.10015660860413901</v>
      </c>
      <c r="N22" s="137">
        <f ca="1">'Income Statement'!N43/AVERAGE('Balance Sheet'!N51:O51)</f>
        <v>9.4661462688557546E-2</v>
      </c>
      <c r="O22" s="137">
        <f ca="1">'Income Statement'!O43/AVERAGE('Balance Sheet'!O51:P51)</f>
        <v>9.0435561330921121E-2</v>
      </c>
      <c r="P22" s="137">
        <f ca="1">'Income Statement'!P43/AVERAGE('Balance Sheet'!P51:Q51)</f>
        <v>8.7201930526665195E-2</v>
      </c>
      <c r="Q22" s="137">
        <f ca="1">'Income Statement'!Q43/AVERAGE('Balance Sheet'!Q51:R51)</f>
        <v>8.4634507619460259E-2</v>
      </c>
      <c r="R22" s="135"/>
      <c r="T22" s="154" t="s">
        <v>421</v>
      </c>
    </row>
    <row r="23" spans="2:20" x14ac:dyDescent="0.2">
      <c r="B23" s="157" t="s">
        <v>203</v>
      </c>
      <c r="C23" s="142">
        <f>'Income Statement'!C47/'Income Statement'!C43</f>
        <v>0.85013633265166988</v>
      </c>
      <c r="D23" s="142">
        <f>'Income Statement'!D47/'Income Statement'!D43</f>
        <v>0.82717414293679947</v>
      </c>
      <c r="E23" s="142">
        <f>'Income Statement'!E47/'Income Statement'!E43</f>
        <v>0.82745933205274547</v>
      </c>
      <c r="F23" s="142">
        <f>'Income Statement'!F47/'Income Statement'!F43</f>
        <v>0.7982538811757699</v>
      </c>
      <c r="G23" s="142">
        <f>'Income Statement'!G47/'Income Statement'!G43</f>
        <v>-2.827775815971346</v>
      </c>
      <c r="H23" s="143">
        <f ca="1">'Income Statement'!H47/'Income Statement'!H43</f>
        <v>0.78825388117576989</v>
      </c>
      <c r="I23" s="143">
        <f ca="1">'Income Statement'!I47/'Income Statement'!I43</f>
        <v>0.78825388117576989</v>
      </c>
      <c r="J23" s="143">
        <f ca="1">'Income Statement'!J47/'Income Statement'!J43</f>
        <v>0.77825388117576988</v>
      </c>
      <c r="K23" s="143">
        <f ca="1">'Income Statement'!K47/'Income Statement'!K43</f>
        <v>0.77825388117576999</v>
      </c>
      <c r="L23" s="143">
        <f ca="1">'Income Statement'!L47/'Income Statement'!L43</f>
        <v>0.76825388117576998</v>
      </c>
      <c r="M23" s="143">
        <f ca="1">'Income Statement'!M47/'Income Statement'!M43</f>
        <v>0.76825388117576998</v>
      </c>
      <c r="N23" s="143">
        <f ca="1">'Income Statement'!N47/'Income Statement'!N43</f>
        <v>0.75825388117576997</v>
      </c>
      <c r="O23" s="143">
        <f ca="1">'Income Statement'!O47/'Income Statement'!O43</f>
        <v>0.75825388117576986</v>
      </c>
      <c r="P23" s="143">
        <f ca="1">'Income Statement'!P47/'Income Statement'!P43</f>
        <v>0.74825388117576985</v>
      </c>
      <c r="Q23" s="143">
        <f ca="1">'Income Statement'!Q47/'Income Statement'!Q43</f>
        <v>0.74825388117576996</v>
      </c>
      <c r="R23" s="135"/>
      <c r="T23" s="151"/>
    </row>
    <row r="24" spans="2:20" ht="48" customHeight="1" x14ac:dyDescent="0.2">
      <c r="B24" s="157" t="s">
        <v>204</v>
      </c>
      <c r="C24" s="133"/>
      <c r="D24" s="136">
        <f>'Income Statement'!D47/AVERAGE('Balance Sheet'!D51:E51)</f>
        <v>0.19851118342806195</v>
      </c>
      <c r="E24" s="136">
        <f>'Income Statement'!E47/AVERAGE('Balance Sheet'!E51:F51)</f>
        <v>0.16988849159531191</v>
      </c>
      <c r="F24" s="136">
        <f>'Income Statement'!F47/AVERAGE('Balance Sheet'!F51:G51)</f>
        <v>0.13431552305784256</v>
      </c>
      <c r="G24" s="136">
        <f>'Income Statement'!G47/AVERAGE('Balance Sheet'!G51:H51)</f>
        <v>-4.2477493861962347E-2</v>
      </c>
      <c r="H24" s="137">
        <f ca="1">'Income Statement'!H47/AVERAGE('Balance Sheet'!H51:I51)</f>
        <v>0.13929332444882758</v>
      </c>
      <c r="I24" s="137">
        <f ca="1">'Income Statement'!I47/AVERAGE('Balance Sheet'!I51:J51)</f>
        <v>0.11709018366818372</v>
      </c>
      <c r="J24" s="137">
        <f ca="1">'Income Statement'!J47/AVERAGE('Balance Sheet'!J51:K51)</f>
        <v>0.10121145103074776</v>
      </c>
      <c r="K24" s="137">
        <f ca="1">'Income Statement'!K47/AVERAGE('Balance Sheet'!K51:L51)</f>
        <v>9.1025616942768547E-2</v>
      </c>
      <c r="L24" s="137">
        <f ca="1">'Income Statement'!L47/AVERAGE('Balance Sheet'!L51:M51)</f>
        <v>8.2479237335709693E-2</v>
      </c>
      <c r="M24" s="137">
        <f ca="1">'Income Statement'!M47/AVERAGE('Balance Sheet'!M51:N51)</f>
        <v>7.6945703285532324E-2</v>
      </c>
      <c r="N24" s="137">
        <f ca="1">'Income Statement'!N47/AVERAGE('Balance Sheet'!N51:O51)</f>
        <v>7.1777421481374087E-2</v>
      </c>
      <c r="O24" s="137">
        <f ca="1">'Income Statement'!O47/AVERAGE('Balance Sheet'!O51:P51)</f>
        <v>6.8573115375480317E-2</v>
      </c>
      <c r="P24" s="137">
        <f ca="1">'Income Statement'!P47/AVERAGE('Balance Sheet'!P51:Q51)</f>
        <v>6.5249182962597074E-2</v>
      </c>
      <c r="Q24" s="137">
        <f ca="1">'Income Statement'!Q47/AVERAGE('Balance Sheet'!Q51:R51)</f>
        <v>6.3328098807661409E-2</v>
      </c>
      <c r="R24" s="135"/>
      <c r="T24" s="154" t="s">
        <v>422</v>
      </c>
    </row>
    <row r="25" spans="2:20" ht="47" customHeight="1" x14ac:dyDescent="0.2">
      <c r="B25" s="157" t="s">
        <v>205</v>
      </c>
      <c r="C25" s="144">
        <f>('Income Statement'!C47-'Income Statement'!C54)/'Income Statement'!C47</f>
        <v>0.45354073955284674</v>
      </c>
      <c r="D25" s="144">
        <f>('Income Statement'!D47-'Income Statement'!D54)/'Income Statement'!D47</f>
        <v>1</v>
      </c>
      <c r="E25" s="144">
        <f>('Income Statement'!E47-'Income Statement'!E54)/'Income Statement'!E47</f>
        <v>1</v>
      </c>
      <c r="F25" s="144">
        <f>('Income Statement'!F47-'Income Statement'!F54)/'Income Statement'!F47</f>
        <v>1</v>
      </c>
      <c r="G25" s="144">
        <f>('Income Statement'!G47-'Income Statement'!G54)/'Income Statement'!G47</f>
        <v>1.9123360984747126</v>
      </c>
      <c r="H25" s="145">
        <f ca="1">('Income Statement'!H47-'Income Statement'!H54)/'Income Statement'!H47</f>
        <v>0.74892875954395721</v>
      </c>
      <c r="I25" s="145">
        <f ca="1">('Income Statement'!I47-'Income Statement'!I54)/'Income Statement'!I47</f>
        <v>0.76849743836328188</v>
      </c>
      <c r="J25" s="145">
        <f ca="1">('Income Statement'!J47-'Income Statement'!J54)/'Income Statement'!J47</f>
        <v>0.78490549607466187</v>
      </c>
      <c r="K25" s="145">
        <f ca="1">('Income Statement'!K47-'Income Statement'!K54)/'Income Statement'!K47</f>
        <v>0.803232827833533</v>
      </c>
      <c r="L25" s="145">
        <f ca="1">('Income Statement'!L47-'Income Statement'!L54)/'Income Statement'!L47</f>
        <v>0.8181782571624896</v>
      </c>
      <c r="M25" s="145">
        <f ca="1">('Income Statement'!M47-'Income Statement'!M54)/'Income Statement'!M47</f>
        <v>0.83468583029108845</v>
      </c>
      <c r="N25" s="145">
        <f ca="1">('Income Statement'!N47-'Income Statement'!N54)/'Income Statement'!N47</f>
        <v>0.84817767563351032</v>
      </c>
      <c r="O25" s="145">
        <f ca="1">('Income Statement'!O47-'Income Statement'!O54)/'Income Statement'!O47</f>
        <v>0.86281805229097241</v>
      </c>
      <c r="P25" s="145">
        <f ca="1">('Income Statement'!P47-'Income Statement'!P54)/'Income Statement'!P47</f>
        <v>0.87480028469949378</v>
      </c>
      <c r="Q25" s="145">
        <f ca="1">('Income Statement'!Q47-'Income Statement'!Q54)/'Income Statement'!Q47</f>
        <v>0.88745444469474355</v>
      </c>
      <c r="R25" s="135"/>
      <c r="T25" s="154" t="s">
        <v>423</v>
      </c>
    </row>
    <row r="26" spans="2:20" ht="47" customHeight="1" x14ac:dyDescent="0.2">
      <c r="B26" s="157" t="s">
        <v>206</v>
      </c>
      <c r="C26" s="133"/>
      <c r="D26" s="136">
        <f>('Income Statement'!D47-'Income Statement'!D54)/AVERAGE('Balance Sheet'!D51:E51)</f>
        <v>0.19851118342806195</v>
      </c>
      <c r="E26" s="136">
        <f>('Income Statement'!E47-'Income Statement'!E54)/AVERAGE('Balance Sheet'!E51:F51)</f>
        <v>0.16988849159531191</v>
      </c>
      <c r="F26" s="136">
        <f>('Income Statement'!F47-'Income Statement'!F54)/AVERAGE('Balance Sheet'!F51:G51)</f>
        <v>0.13431552305784256</v>
      </c>
      <c r="G26" s="136">
        <f>('Income Statement'!G47-'Income Statement'!G54)/AVERAGE('Balance Sheet'!G51:H51)</f>
        <v>-8.123124488496862E-2</v>
      </c>
      <c r="H26" s="137">
        <f ca="1">('Income Statement'!H47-'Income Statement'!H54)/AVERAGE('Balance Sheet'!H51:I51)</f>
        <v>0.1043207766922144</v>
      </c>
      <c r="I26" s="137">
        <f ca="1">('Income Statement'!I47-'Income Statement'!I54)/AVERAGE('Balance Sheet'!I51:J51)</f>
        <v>8.9983506206485375E-2</v>
      </c>
      <c r="J26" s="137">
        <f ca="1">('Income Statement'!J47-'Income Statement'!J54)/AVERAGE('Balance Sheet'!J51:K51)</f>
        <v>7.9441424179725426E-2</v>
      </c>
      <c r="K26" s="137">
        <f ca="1">('Income Statement'!K47-'Income Statement'!K54)/AVERAGE('Balance Sheet'!K51:L51)</f>
        <v>7.3114763702231939E-2</v>
      </c>
      <c r="L26" s="137">
        <f ca="1">('Income Statement'!L47-'Income Statement'!L54)/AVERAGE('Balance Sheet'!L51:M51)</f>
        <v>6.7482718655422311E-2</v>
      </c>
      <c r="M26" s="137">
        <f ca="1">('Income Statement'!M47-'Income Statement'!M54)/AVERAGE('Balance Sheet'!M51:N51)</f>
        <v>6.4225488234216269E-2</v>
      </c>
      <c r="N26" s="137">
        <f ca="1">('Income Statement'!N47-'Income Statement'!N54)/AVERAGE('Balance Sheet'!N51:O51)</f>
        <v>6.0880006515038665E-2</v>
      </c>
      <c r="O26" s="137">
        <f ca="1">('Income Statement'!O47-'Income Statement'!O54)/AVERAGE('Balance Sheet'!O51:P51)</f>
        <v>5.9166121847796058E-2</v>
      </c>
      <c r="P26" s="137">
        <f ca="1">('Income Statement'!P47-'Income Statement'!P54)/AVERAGE('Balance Sheet'!P51:Q51)</f>
        <v>5.7080003832089284E-2</v>
      </c>
      <c r="Q26" s="137">
        <f ca="1">('Income Statement'!Q47-'Income Statement'!Q54)/AVERAGE('Balance Sheet'!Q51:R51)</f>
        <v>5.6200802760927003E-2</v>
      </c>
      <c r="R26" s="135"/>
      <c r="T26" s="154" t="s">
        <v>424</v>
      </c>
    </row>
    <row r="27" spans="2:20" x14ac:dyDescent="0.2">
      <c r="B27" s="157"/>
      <c r="C27" s="133"/>
      <c r="D27" s="133"/>
      <c r="E27" s="133"/>
      <c r="F27" s="133"/>
      <c r="G27" s="133"/>
      <c r="H27" s="138"/>
      <c r="I27" s="138"/>
      <c r="J27" s="138"/>
      <c r="K27" s="138"/>
      <c r="L27" s="138"/>
      <c r="M27" s="138"/>
      <c r="N27" s="138"/>
      <c r="O27" s="138"/>
      <c r="P27" s="138"/>
      <c r="Q27" s="138"/>
      <c r="R27" s="138"/>
      <c r="T27" s="152"/>
    </row>
    <row r="28" spans="2:20" ht="14" customHeight="1" x14ac:dyDescent="0.2">
      <c r="B28" s="156" t="s">
        <v>207</v>
      </c>
      <c r="C28" s="132"/>
      <c r="D28" s="132"/>
      <c r="E28" s="132"/>
      <c r="F28" s="132"/>
      <c r="G28" s="132"/>
      <c r="H28" s="139"/>
      <c r="I28" s="139"/>
      <c r="J28" s="139"/>
      <c r="K28" s="139"/>
      <c r="L28" s="139"/>
      <c r="M28" s="139"/>
      <c r="N28" s="139"/>
      <c r="O28" s="139"/>
      <c r="P28" s="139"/>
      <c r="Q28" s="139"/>
      <c r="R28" s="139"/>
      <c r="T28" s="153"/>
    </row>
    <row r="29" spans="2:20" ht="50" customHeight="1" x14ac:dyDescent="0.2">
      <c r="B29" s="157" t="s">
        <v>161</v>
      </c>
      <c r="C29" s="144">
        <f>('Balance Sheet'!D41-'Balance Sheet'!D30)/'Balance Sheet'!D74</f>
        <v>0.6829822987049553</v>
      </c>
      <c r="D29" s="144">
        <f>('Balance Sheet'!E41-'Balance Sheet'!E30)/'Balance Sheet'!E74</f>
        <v>0.66643292896711304</v>
      </c>
      <c r="E29" s="144">
        <f>('Balance Sheet'!F41-'Balance Sheet'!F30)/'Balance Sheet'!F74</f>
        <v>0.89571231817827046</v>
      </c>
      <c r="F29" s="144">
        <f>('Balance Sheet'!G41-'Balance Sheet'!G30)/'Balance Sheet'!G74</f>
        <v>1.2969972442583657</v>
      </c>
      <c r="G29" s="144">
        <f>('Balance Sheet'!H41-'Balance Sheet'!H30)/'Balance Sheet'!H74</f>
        <v>0.7674506380649474</v>
      </c>
      <c r="H29" s="145">
        <f ca="1">('Balance Sheet'!I41-'Balance Sheet'!I30)/'Balance Sheet'!I74</f>
        <v>1.4675424062992173</v>
      </c>
      <c r="I29" s="145">
        <f ca="1">('Balance Sheet'!J41-'Balance Sheet'!J30)/'Balance Sheet'!J74</f>
        <v>2.0321989775613312</v>
      </c>
      <c r="J29" s="145">
        <f ca="1">('Balance Sheet'!K41-'Balance Sheet'!K30)/'Balance Sheet'!K74</f>
        <v>2.5411936527922632</v>
      </c>
      <c r="K29" s="145">
        <f ca="1">('Balance Sheet'!L41-'Balance Sheet'!L30)/'Balance Sheet'!L74</f>
        <v>2.991667839012484</v>
      </c>
      <c r="L29" s="145">
        <f ca="1">('Balance Sheet'!M41-'Balance Sheet'!M30)/'Balance Sheet'!M74</f>
        <v>3.4404757753939221</v>
      </c>
      <c r="M29" s="145">
        <f ca="1">('Balance Sheet'!N41-'Balance Sheet'!N30)/'Balance Sheet'!N74</f>
        <v>3.9048565846095267</v>
      </c>
      <c r="N29" s="145">
        <f ca="1">('Balance Sheet'!O41-'Balance Sheet'!O30)/'Balance Sheet'!O74</f>
        <v>4.3504608917856222</v>
      </c>
      <c r="O29" s="145">
        <f ca="1">('Balance Sheet'!P41-'Balance Sheet'!P30)/'Balance Sheet'!P74</f>
        <v>4.972523526920396</v>
      </c>
      <c r="P29" s="145">
        <f ca="1">('Balance Sheet'!Q41-'Balance Sheet'!Q30)/'Balance Sheet'!Q74</f>
        <v>5.5598725084764613</v>
      </c>
      <c r="Q29" s="145">
        <f ca="1">('Balance Sheet'!R41-'Balance Sheet'!R30)/'Balance Sheet'!R74</f>
        <v>6.1617925918284175</v>
      </c>
      <c r="R29" s="135"/>
      <c r="T29" s="154" t="s">
        <v>425</v>
      </c>
    </row>
    <row r="30" spans="2:20" ht="51" customHeight="1" x14ac:dyDescent="0.2">
      <c r="B30" s="157" t="s">
        <v>160</v>
      </c>
      <c r="C30" s="140">
        <f>'Balance Sheet'!D41/'Balance Sheet'!D74</f>
        <v>1.0575775971283787</v>
      </c>
      <c r="D30" s="140">
        <f>'Balance Sheet'!E41/'Balance Sheet'!E74</f>
        <v>1.081418094683112</v>
      </c>
      <c r="E30" s="140">
        <f>'Balance Sheet'!F41/'Balance Sheet'!F74</f>
        <v>1.431980985041331</v>
      </c>
      <c r="F30" s="140">
        <f>'Balance Sheet'!G41/'Balance Sheet'!G74</f>
        <v>1.7640301278214454</v>
      </c>
      <c r="G30" s="140">
        <f>'Balance Sheet'!H41/'Balance Sheet'!H74</f>
        <v>0.99479280329997777</v>
      </c>
      <c r="H30" s="141">
        <f ca="1">'Balance Sheet'!I41/'Balance Sheet'!I74</f>
        <v>1.6860375096123568</v>
      </c>
      <c r="I30" s="141">
        <f ca="1">'Balance Sheet'!J41/'Balance Sheet'!J74</f>
        <v>2.2439675278785871</v>
      </c>
      <c r="J30" s="141">
        <f ca="1">'Balance Sheet'!K41/'Balance Sheet'!K74</f>
        <v>2.7455687788348602</v>
      </c>
      <c r="K30" s="141">
        <f ca="1">'Balance Sheet'!L41/'Balance Sheet'!L74</f>
        <v>3.1853725029273203</v>
      </c>
      <c r="L30" s="141">
        <f ca="1">'Balance Sheet'!M41/'Balance Sheet'!M74</f>
        <v>3.6292288539928745</v>
      </c>
      <c r="M30" s="141">
        <f ca="1">'Balance Sheet'!N41/'Balance Sheet'!N74</f>
        <v>4.0904814341551816</v>
      </c>
      <c r="N30" s="141">
        <f ca="1">'Balance Sheet'!O41/'Balance Sheet'!O74</f>
        <v>4.5325459162700357</v>
      </c>
      <c r="O30" s="141">
        <f ca="1">'Balance Sheet'!P41/'Balance Sheet'!P74</f>
        <v>5.1596479056996696</v>
      </c>
      <c r="P30" s="141">
        <f ca="1">'Balance Sheet'!Q41/'Balance Sheet'!Q74</f>
        <v>5.7492711251849267</v>
      </c>
      <c r="Q30" s="141">
        <f ca="1">'Balance Sheet'!R41/'Balance Sheet'!R74</f>
        <v>6.3522795737101037</v>
      </c>
      <c r="R30" s="135"/>
      <c r="T30" s="154" t="s">
        <v>426</v>
      </c>
    </row>
    <row r="31" spans="2:20" ht="52" customHeight="1" x14ac:dyDescent="0.2">
      <c r="B31" s="157" t="s">
        <v>208</v>
      </c>
      <c r="C31" s="144">
        <f>'Working Capital'!C22</f>
        <v>-23.631381686427034</v>
      </c>
      <c r="D31" s="144">
        <f>'Working Capital'!D22</f>
        <v>0.40806119691336562</v>
      </c>
      <c r="E31" s="144">
        <f>'Working Capital'!E22</f>
        <v>30.767352740836174</v>
      </c>
      <c r="F31" s="144">
        <f>'Working Capital'!F22</f>
        <v>18.30456021221616</v>
      </c>
      <c r="G31" s="144">
        <f>'Working Capital'!G22</f>
        <v>16.16829103805118</v>
      </c>
      <c r="H31" s="145">
        <f>'Working Capital'!H22</f>
        <v>15.573072712598744</v>
      </c>
      <c r="I31" s="145">
        <f>'Working Capital'!I22</f>
        <v>15.12262737441759</v>
      </c>
      <c r="J31" s="145">
        <f>'Working Capital'!J22</f>
        <v>14.644624161808437</v>
      </c>
      <c r="K31" s="145">
        <f>'Working Capital'!K22</f>
        <v>14.141084627330244</v>
      </c>
      <c r="L31" s="145">
        <f>'Working Capital'!L22</f>
        <v>13.61428782049849</v>
      </c>
      <c r="M31" s="145">
        <f>'Working Capital'!M22</f>
        <v>13.066757284628366</v>
      </c>
      <c r="N31" s="145">
        <f>'Working Capital'!N22</f>
        <v>12.501243129408707</v>
      </c>
      <c r="O31" s="145">
        <f>'Working Capital'!O22</f>
        <v>11.92069907438777</v>
      </c>
      <c r="P31" s="145">
        <f>'Working Capital'!P22</f>
        <v>11.328254490487026</v>
      </c>
      <c r="Q31" s="145">
        <f>'Working Capital'!Q22</f>
        <v>10.727181617549519</v>
      </c>
      <c r="R31" s="135"/>
      <c r="T31" s="154" t="s">
        <v>427</v>
      </c>
    </row>
    <row r="32" spans="2:20" x14ac:dyDescent="0.2">
      <c r="B32" s="157"/>
      <c r="C32" s="133"/>
      <c r="D32" s="133"/>
      <c r="E32" s="133"/>
      <c r="F32" s="133"/>
      <c r="G32" s="133"/>
      <c r="H32" s="138"/>
      <c r="I32" s="138"/>
      <c r="J32" s="138"/>
      <c r="K32" s="138"/>
      <c r="L32" s="138"/>
      <c r="M32" s="138"/>
      <c r="N32" s="138"/>
      <c r="O32" s="138"/>
      <c r="P32" s="138"/>
      <c r="Q32" s="138"/>
      <c r="R32" s="135"/>
      <c r="T32" s="152"/>
    </row>
    <row r="33" spans="2:20" x14ac:dyDescent="0.2">
      <c r="B33" s="156" t="s">
        <v>209</v>
      </c>
      <c r="C33" s="132"/>
      <c r="D33" s="132"/>
      <c r="E33" s="132"/>
      <c r="F33" s="132"/>
      <c r="G33" s="132"/>
      <c r="H33" s="139"/>
      <c r="I33" s="139"/>
      <c r="J33" s="139"/>
      <c r="K33" s="139"/>
      <c r="L33" s="139"/>
      <c r="M33" s="139"/>
      <c r="N33" s="139"/>
      <c r="O33" s="139"/>
      <c r="P33" s="139"/>
      <c r="Q33" s="139"/>
      <c r="R33" s="135"/>
      <c r="T33" s="153"/>
    </row>
    <row r="34" spans="2:20" ht="52" customHeight="1" x14ac:dyDescent="0.2">
      <c r="B34" s="157" t="s">
        <v>210</v>
      </c>
      <c r="C34" s="140">
        <f>'Balance Sheet'!D43/'Balance Sheet'!D51</f>
        <v>1.8936855245899147</v>
      </c>
      <c r="D34" s="140">
        <f>'Balance Sheet'!E43/'Balance Sheet'!E51</f>
        <v>1.5131869179671362</v>
      </c>
      <c r="E34" s="140">
        <f>'Balance Sheet'!F43/'Balance Sheet'!F51</f>
        <v>1.3961714894430826</v>
      </c>
      <c r="F34" s="140">
        <f>'Balance Sheet'!G43/'Balance Sheet'!G51</f>
        <v>1.2685572155894171</v>
      </c>
      <c r="G34" s="140">
        <f>'Balance Sheet'!H43/'Balance Sheet'!H51</f>
        <v>1.4680943948400491</v>
      </c>
      <c r="H34" s="141">
        <f ca="1">'Balance Sheet'!I43/'Balance Sheet'!I51</f>
        <v>1.4264850145479204</v>
      </c>
      <c r="I34" s="141">
        <f ca="1">'Balance Sheet'!J43/'Balance Sheet'!J51</f>
        <v>1.3681405506793924</v>
      </c>
      <c r="J34" s="141">
        <f ca="1">'Balance Sheet'!K43/'Balance Sheet'!K51</f>
        <v>1.3259420635808292</v>
      </c>
      <c r="K34" s="141">
        <f ca="1">'Balance Sheet'!L43/'Balance Sheet'!L51</f>
        <v>1.3003508033876783</v>
      </c>
      <c r="L34" s="141">
        <f ca="1">'Balance Sheet'!M43/'Balance Sheet'!M51</f>
        <v>1.2706426300241123</v>
      </c>
      <c r="M34" s="141">
        <f ca="1">'Balance Sheet'!N43/'Balance Sheet'!N51</f>
        <v>1.2447115511813569</v>
      </c>
      <c r="N34" s="141">
        <f ca="1">'Balance Sheet'!O43/'Balance Sheet'!O51</f>
        <v>1.2241627054835762</v>
      </c>
      <c r="O34" s="141">
        <f ca="1">'Balance Sheet'!P43/'Balance Sheet'!P51</f>
        <v>1.1976275474825675</v>
      </c>
      <c r="P34" s="141">
        <f ca="1">'Balance Sheet'!Q43/'Balance Sheet'!Q51</f>
        <v>1.1764591847106736</v>
      </c>
      <c r="Q34" s="141">
        <f ca="1">'Balance Sheet'!R43/'Balance Sheet'!R51</f>
        <v>1.1600701480247042</v>
      </c>
      <c r="R34" s="135"/>
      <c r="T34" s="154" t="s">
        <v>428</v>
      </c>
    </row>
    <row r="35" spans="2:20" ht="65" customHeight="1" x14ac:dyDescent="0.2">
      <c r="B35" s="157" t="s">
        <v>211</v>
      </c>
      <c r="C35" s="144">
        <f>('Balance Sheet'!D55+'Balance Sheet'!D66)/'Balance Sheet'!D51</f>
        <v>0.33725229034888254</v>
      </c>
      <c r="D35" s="144">
        <f>('Balance Sheet'!E55+'Balance Sheet'!E66)/'Balance Sheet'!E51</f>
        <v>8.0467003570331291E-2</v>
      </c>
      <c r="E35" s="144">
        <f>('Balance Sheet'!F55+'Balance Sheet'!F66)/'Balance Sheet'!F51</f>
        <v>0.13911991505659863</v>
      </c>
      <c r="F35" s="144">
        <f>('Balance Sheet'!G55+'Balance Sheet'!G66)/'Balance Sheet'!G51</f>
        <v>7.4955977970499271E-2</v>
      </c>
      <c r="G35" s="144">
        <f>('Balance Sheet'!H55+'Balance Sheet'!H66)/'Balance Sheet'!H51</f>
        <v>0.25039667200325111</v>
      </c>
      <c r="H35" s="145">
        <f ca="1">('Balance Sheet'!I55+'Balance Sheet'!I66)/'Balance Sheet'!I51</f>
        <v>0.24416665099844836</v>
      </c>
      <c r="I35" s="145">
        <f ca="1">('Balance Sheet'!J55+'Balance Sheet'!J66)/'Balance Sheet'!J51</f>
        <v>0.21194293009296453</v>
      </c>
      <c r="J35" s="145">
        <f ca="1">('Balance Sheet'!K55+'Balance Sheet'!K66)/'Balance Sheet'!K51</f>
        <v>0.18717016751315485</v>
      </c>
      <c r="K35" s="145">
        <f ca="1">('Balance Sheet'!L55+'Balance Sheet'!L66)/'Balance Sheet'!L51</f>
        <v>0.17742320244413731</v>
      </c>
      <c r="L35" s="145">
        <f ca="1">('Balance Sheet'!M55+'Balance Sheet'!M66)/'Balance Sheet'!M51</f>
        <v>0.16042643071851082</v>
      </c>
      <c r="M35" s="145">
        <f ca="1">('Balance Sheet'!N55+'Balance Sheet'!N66)/'Balance Sheet'!N51</f>
        <v>0.14470988439251833</v>
      </c>
      <c r="N35" s="145">
        <f ca="1">('Balance Sheet'!O55+'Balance Sheet'!O66)/'Balance Sheet'!O51</f>
        <v>0.13236633144097512</v>
      </c>
      <c r="O35" s="145">
        <f ca="1">('Balance Sheet'!P55+'Balance Sheet'!P66)/'Balance Sheet'!P51</f>
        <v>0.11271315731832746</v>
      </c>
      <c r="P35" s="145">
        <f ca="1">('Balance Sheet'!Q55+'Balance Sheet'!Q66)/'Balance Sheet'!Q51</f>
        <v>9.5503994298194783E-2</v>
      </c>
      <c r="Q35" s="145">
        <f ca="1">('Balance Sheet'!R55+'Balance Sheet'!R66)/'Balance Sheet'!R51</f>
        <v>8.2274134599626444E-2</v>
      </c>
      <c r="R35" s="135"/>
      <c r="T35" s="154" t="s">
        <v>429</v>
      </c>
    </row>
    <row r="36" spans="2:20" ht="49" customHeight="1" x14ac:dyDescent="0.2">
      <c r="B36" s="157" t="s">
        <v>212</v>
      </c>
      <c r="C36" s="136">
        <f>'Balance Sheet'!D55/('Balance Sheet'!D51+'Balance Sheet'!D55+'Balance Sheet'!D66)</f>
        <v>0.20308840098086553</v>
      </c>
      <c r="D36" s="136">
        <f>'Balance Sheet'!E55/('Balance Sheet'!E51+'Balance Sheet'!E55+'Balance Sheet'!E66)</f>
        <v>4.7076900147277716E-2</v>
      </c>
      <c r="E36" s="136">
        <f>'Balance Sheet'!F55/('Balance Sheet'!F51+'Balance Sheet'!F55+'Balance Sheet'!F66)</f>
        <v>2.8932077039774105E-2</v>
      </c>
      <c r="F36" s="136">
        <f>'Balance Sheet'!G55/('Balance Sheet'!G51+'Balance Sheet'!G55+'Balance Sheet'!G66)</f>
        <v>1.2754085292945397E-2</v>
      </c>
      <c r="G36" s="136">
        <f>'Balance Sheet'!H55/('Balance Sheet'!H51+'Balance Sheet'!H55+'Balance Sheet'!H66)</f>
        <v>0</v>
      </c>
      <c r="H36" s="137">
        <f ca="1">'Balance Sheet'!I55/('Balance Sheet'!I51+'Balance Sheet'!I55+'Balance Sheet'!I66)</f>
        <v>3.1958224068737696E-2</v>
      </c>
      <c r="I36" s="137">
        <f ca="1">'Balance Sheet'!J55/('Balance Sheet'!J51+'Balance Sheet'!J55+'Balance Sheet'!J66)</f>
        <v>3.0823999449831975E-2</v>
      </c>
      <c r="J36" s="137">
        <f ca="1">'Balance Sheet'!K55/('Balance Sheet'!K51+'Balance Sheet'!K55+'Balance Sheet'!K66)</f>
        <v>2.7789189355744544E-2</v>
      </c>
      <c r="K36" s="137">
        <f ca="1">'Balance Sheet'!L55/('Balance Sheet'!L51+'Balance Sheet'!L55+'Balance Sheet'!L66)</f>
        <v>2.6560120910494877E-2</v>
      </c>
      <c r="L36" s="137">
        <f ca="1">'Balance Sheet'!M55/('Balance Sheet'!M51+'Balance Sheet'!M55+'Balance Sheet'!M66)</f>
        <v>2.2324212859531387E-2</v>
      </c>
      <c r="M36" s="137">
        <f ca="1">'Balance Sheet'!N55/('Balance Sheet'!N51+'Balance Sheet'!N55+'Balance Sheet'!N66)</f>
        <v>1.8997654562873185E-2</v>
      </c>
      <c r="N36" s="137">
        <f ca="1">'Balance Sheet'!O55/('Balance Sheet'!O51+'Balance Sheet'!O55+'Balance Sheet'!O66)</f>
        <v>1.6332962319493528E-2</v>
      </c>
      <c r="O36" s="137">
        <f ca="1">'Balance Sheet'!P55/('Balance Sheet'!P51+'Balance Sheet'!P55+'Balance Sheet'!P66)</f>
        <v>1.3471828624814459E-2</v>
      </c>
      <c r="P36" s="137">
        <f ca="1">'Balance Sheet'!Q55/('Balance Sheet'!Q51+'Balance Sheet'!Q55+'Balance Sheet'!Q66)</f>
        <v>9.8808946811706523E-3</v>
      </c>
      <c r="Q36" s="137">
        <f ca="1">'Balance Sheet'!R55/('Balance Sheet'!R51+'Balance Sheet'!R55+'Balance Sheet'!R66)</f>
        <v>7.7565078441083034E-3</v>
      </c>
      <c r="R36" s="135"/>
      <c r="T36" s="151" t="s">
        <v>430</v>
      </c>
    </row>
    <row r="37" spans="2:20" x14ac:dyDescent="0.2">
      <c r="B37" s="157"/>
      <c r="C37" s="133"/>
      <c r="D37" s="133"/>
      <c r="E37" s="133"/>
      <c r="F37" s="133"/>
      <c r="G37" s="133"/>
      <c r="H37" s="138"/>
      <c r="I37" s="138"/>
      <c r="J37" s="138"/>
      <c r="K37" s="138"/>
      <c r="L37" s="138"/>
      <c r="M37" s="138"/>
      <c r="N37" s="138"/>
      <c r="O37" s="138"/>
      <c r="P37" s="138"/>
      <c r="Q37" s="138"/>
      <c r="R37" s="135"/>
      <c r="T37" s="153"/>
    </row>
    <row r="38" spans="2:20" x14ac:dyDescent="0.2">
      <c r="B38" s="156" t="s">
        <v>213</v>
      </c>
      <c r="C38" s="132"/>
      <c r="D38" s="132"/>
      <c r="E38" s="132"/>
      <c r="F38" s="132"/>
      <c r="G38" s="132"/>
      <c r="H38" s="139"/>
      <c r="I38" s="139"/>
      <c r="J38" s="139"/>
      <c r="K38" s="139"/>
      <c r="L38" s="139"/>
      <c r="M38" s="139"/>
      <c r="N38" s="139"/>
      <c r="O38" s="139"/>
      <c r="P38" s="139"/>
      <c r="Q38" s="139"/>
      <c r="R38" s="135"/>
      <c r="T38" s="152"/>
    </row>
    <row r="39" spans="2:20" ht="50" customHeight="1" x14ac:dyDescent="0.2">
      <c r="B39" s="157" t="s">
        <v>214</v>
      </c>
      <c r="C39" s="133"/>
      <c r="D39" s="140">
        <f>'Income Statement'!D11/AVERAGE('Balance Sheet'!D33:E33)</f>
        <v>10.203418526656645</v>
      </c>
      <c r="E39" s="140">
        <f>'Income Statement'!E11/AVERAGE('Balance Sheet'!E33:F33)</f>
        <v>11.577125828688905</v>
      </c>
      <c r="F39" s="140">
        <f>'Income Statement'!F11/AVERAGE('Balance Sheet'!F33:G33)</f>
        <v>11.277074864498644</v>
      </c>
      <c r="G39" s="140">
        <f>'Income Statement'!G11/AVERAGE('Balance Sheet'!G33:H33)</f>
        <v>10.138715767895997</v>
      </c>
      <c r="H39" s="141">
        <f>'Income Statement'!H11/AVERAGE('Balance Sheet'!H33:I33)</f>
        <v>9.6627842604203256</v>
      </c>
      <c r="I39" s="141">
        <f>'Income Statement'!I11/AVERAGE('Balance Sheet'!I33:J33)</f>
        <v>9.9545729236846494</v>
      </c>
      <c r="J39" s="141">
        <f>'Income Statement'!J11/AVERAGE('Balance Sheet'!J33:K33)</f>
        <v>10.283837601463102</v>
      </c>
      <c r="K39" s="141">
        <f>'Income Statement'!K11/AVERAGE('Balance Sheet'!K33:L33)</f>
        <v>10.654760972765793</v>
      </c>
      <c r="L39" s="141">
        <f>'Income Statement'!L11/AVERAGE('Balance Sheet'!L33:M33)</f>
        <v>11.072176639264701</v>
      </c>
      <c r="M39" s="141">
        <f>'Income Statement'!M11/AVERAGE('Balance Sheet'!M33:N33)</f>
        <v>11.541681980041764</v>
      </c>
      <c r="N39" s="141">
        <f>'Income Statement'!N11/AVERAGE('Balance Sheet'!N33:O33)</f>
        <v>12.069773460360706</v>
      </c>
      <c r="O39" s="141">
        <f>'Income Statement'!O11/AVERAGE('Balance Sheet'!O33:P33)</f>
        <v>12.664009353547545</v>
      </c>
      <c r="P39" s="141">
        <f>'Income Statement'!P11/AVERAGE('Balance Sheet'!P33:Q33)</f>
        <v>13.333206039731971</v>
      </c>
      <c r="Q39" s="141">
        <f>'Income Statement'!Q11/AVERAGE('Balance Sheet'!Q33:R33)</f>
        <v>14.087675568340119</v>
      </c>
      <c r="R39" s="135"/>
      <c r="T39" s="154" t="s">
        <v>431</v>
      </c>
    </row>
    <row r="40" spans="2:20" ht="50" customHeight="1" x14ac:dyDescent="0.2">
      <c r="B40" s="157" t="s">
        <v>215</v>
      </c>
      <c r="C40" s="144">
        <f>'Working Capital'!C18</f>
        <v>42.035960770069018</v>
      </c>
      <c r="D40" s="144">
        <f>'Working Capital'!D18</f>
        <v>32.789233829799194</v>
      </c>
      <c r="E40" s="144">
        <f>'Working Capital'!E18</f>
        <v>32.735323585712543</v>
      </c>
      <c r="F40" s="144">
        <f>'Working Capital'!F18</f>
        <v>33.666402072098393</v>
      </c>
      <c r="G40" s="144">
        <f>'Working Capital'!G18</f>
        <v>39.211754164801491</v>
      </c>
      <c r="H40" s="145">
        <f>'Working Capital'!H18</f>
        <v>38.165033790047211</v>
      </c>
      <c r="I40" s="145">
        <f>'Working Capital'!I18</f>
        <v>37.046339469516418</v>
      </c>
      <c r="J40" s="145">
        <f>'Working Capital'!J18</f>
        <v>35.860201424457635</v>
      </c>
      <c r="K40" s="145">
        <f>'Working Capital'!K18</f>
        <v>34.61180300032099</v>
      </c>
      <c r="L40" s="145">
        <f>'Working Capital'!L18</f>
        <v>33.306954885193072</v>
      </c>
      <c r="M40" s="145">
        <f>'Working Capital'!M18</f>
        <v>31.952057632724998</v>
      </c>
      <c r="N40" s="145">
        <f>'Working Capital'!N18</f>
        <v>30.554052154832817</v>
      </c>
      <c r="O40" s="145">
        <f>'Working Capital'!O18</f>
        <v>29.120358135361951</v>
      </c>
      <c r="P40" s="145">
        <f>'Working Capital'!P18</f>
        <v>27.658800644491603</v>
      </c>
      <c r="Q40" s="145">
        <f>'Working Capital'!Q18</f>
        <v>26.177525597881839</v>
      </c>
      <c r="R40" s="135"/>
      <c r="T40" s="154" t="s">
        <v>432</v>
      </c>
    </row>
    <row r="41" spans="2:20" ht="52" customHeight="1" x14ac:dyDescent="0.2">
      <c r="B41" s="157" t="s">
        <v>216</v>
      </c>
      <c r="C41" s="133"/>
      <c r="D41" s="140">
        <f>'Cost Buildup'!D21/AVERAGE('Balance Sheet'!D30:E30)</f>
        <v>2.8832328762315869</v>
      </c>
      <c r="E41" s="140">
        <f>'Cost Buildup'!E21/AVERAGE('Balance Sheet'!E30:F30)</f>
        <v>3.1590910272743815</v>
      </c>
      <c r="F41" s="140">
        <f>'Cost Buildup'!F21/AVERAGE('Balance Sheet'!F30:G30)</f>
        <v>3.6557349331878921</v>
      </c>
      <c r="G41" s="140">
        <f>'Cost Buildup'!G21/AVERAGE('Balance Sheet'!G30:H30)</f>
        <v>4.5015259591107055</v>
      </c>
      <c r="H41" s="141">
        <f>'Cost Buildup'!H21/AVERAGE('Balance Sheet'!H30:I30)</f>
        <v>5.196114707571426</v>
      </c>
      <c r="I41" s="141">
        <f>'Cost Buildup'!I21/AVERAGE('Balance Sheet'!I30:J30)</f>
        <v>5.3544956583175782</v>
      </c>
      <c r="J41" s="141">
        <f>'Cost Buildup'!J21/AVERAGE('Balance Sheet'!J30:K30)</f>
        <v>5.5332183411328328</v>
      </c>
      <c r="K41" s="141">
        <f>'Cost Buildup'!K21/AVERAGE('Balance Sheet'!K30:L30)</f>
        <v>5.7345530864367324</v>
      </c>
      <c r="L41" s="141">
        <f>'Cost Buildup'!L21/AVERAGE('Balance Sheet'!L30:M30)</f>
        <v>5.9611235411515837</v>
      </c>
      <c r="M41" s="141">
        <f>'Cost Buildup'!M21/AVERAGE('Balance Sheet'!M30:N30)</f>
        <v>6.2159679255110465</v>
      </c>
      <c r="N41" s="141">
        <f>'Cost Buildup'!N21/AVERAGE('Balance Sheet'!N30:O30)</f>
        <v>6.502612477763889</v>
      </c>
      <c r="O41" s="141">
        <f>'Cost Buildup'!O21/AVERAGE('Balance Sheet'!O30:P30)</f>
        <v>6.825159778531237</v>
      </c>
      <c r="P41" s="141">
        <f>'Cost Buildup'!P21/AVERAGE('Balance Sheet'!P30:Q30)</f>
        <v>7.1883953004612042</v>
      </c>
      <c r="Q41" s="141">
        <f>'Cost Buildup'!Q21/AVERAGE('Balance Sheet'!Q30:R30)</f>
        <v>7.5979163555740046</v>
      </c>
      <c r="R41" s="135"/>
      <c r="T41" s="154" t="s">
        <v>433</v>
      </c>
    </row>
    <row r="42" spans="2:20" ht="33" customHeight="1" x14ac:dyDescent="0.2">
      <c r="B42" s="157" t="s">
        <v>217</v>
      </c>
      <c r="C42" s="144">
        <f>'Working Capital'!C19</f>
        <v>143.86889677310353</v>
      </c>
      <c r="D42" s="144">
        <f>'Working Capital'!D19</f>
        <v>125.3392894093017</v>
      </c>
      <c r="E42" s="144">
        <f>'Working Capital'!E19</f>
        <v>126.21146353387358</v>
      </c>
      <c r="F42" s="144">
        <f>'Working Capital'!F19</f>
        <v>82.558755383952061</v>
      </c>
      <c r="G42" s="144">
        <f>'Working Capital'!G19</f>
        <v>72.390740945841188</v>
      </c>
      <c r="H42" s="145">
        <f>'Working Capital'!H19</f>
        <v>70.972353105968992</v>
      </c>
      <c r="I42" s="145">
        <f>'Working Capital'!I19</f>
        <v>68.873057583307784</v>
      </c>
      <c r="J42" s="145">
        <f>'Working Capital'!J19</f>
        <v>66.648461179172713</v>
      </c>
      <c r="K42" s="145">
        <f>'Working Capital'!K19</f>
        <v>64.308496624978744</v>
      </c>
      <c r="L42" s="145">
        <f>'Working Capital'!L19</f>
        <v>61.864258517553921</v>
      </c>
      <c r="M42" s="145">
        <f>'Working Capital'!M19</f>
        <v>59.327926434652369</v>
      </c>
      <c r="N42" s="145">
        <f>'Working Capital'!N19</f>
        <v>56.712665727189986</v>
      </c>
      <c r="O42" s="145">
        <f>'Working Capital'!O19</f>
        <v>54.032506164161774</v>
      </c>
      <c r="P42" s="145">
        <f>'Working Capital'!P19</f>
        <v>51.302199223965495</v>
      </c>
      <c r="Q42" s="145">
        <f>'Working Capital'!Q19</f>
        <v>48.537055496054819</v>
      </c>
      <c r="R42" s="135"/>
      <c r="T42" s="154" t="s">
        <v>434</v>
      </c>
    </row>
    <row r="43" spans="2:20" ht="36" customHeight="1" x14ac:dyDescent="0.2">
      <c r="B43" s="157" t="s">
        <v>218</v>
      </c>
      <c r="C43" s="144"/>
      <c r="D43" s="144">
        <f>'Cost Buildup'!D21/AVERAGE('Balance Sheet'!D68:E68)</f>
        <v>2.1246904720341884</v>
      </c>
      <c r="E43" s="144">
        <f>'Cost Buildup'!E21/AVERAGE('Balance Sheet'!E68:F68)</f>
        <v>2.810784926087861</v>
      </c>
      <c r="F43" s="144">
        <f>'Cost Buildup'!F21/AVERAGE('Balance Sheet'!F68:G68)</f>
        <v>3.362972031217466</v>
      </c>
      <c r="G43" s="144">
        <f>'Cost Buildup'!G21/AVERAGE('Balance Sheet'!G68:H68)</f>
        <v>3.6129935832392492</v>
      </c>
      <c r="H43" s="145">
        <f>'Cost Buildup'!H21/AVERAGE('Balance Sheet'!H68:I68)</f>
        <v>3.9414651945392825</v>
      </c>
      <c r="I43" s="145">
        <f>'Cost Buildup'!I21/AVERAGE('Balance Sheet'!I68:J68)</f>
        <v>4.0616036133340749</v>
      </c>
      <c r="J43" s="145">
        <f>'Cost Buildup'!J21/AVERAGE('Balance Sheet'!J68:K68)</f>
        <v>4.1971720665794523</v>
      </c>
      <c r="K43" s="145">
        <f>'Cost Buildup'!K21/AVERAGE('Balance Sheet'!K68:L68)</f>
        <v>4.3498926926099815</v>
      </c>
      <c r="L43" s="145">
        <f>'Cost Buildup'!L21/AVERAGE('Balance Sheet'!L68:M68)</f>
        <v>4.5217556347556345</v>
      </c>
      <c r="M43" s="145">
        <f>'Cost Buildup'!M21/AVERAGE('Balance Sheet'!M68:N68)</f>
        <v>4.7150655071325822</v>
      </c>
      <c r="N43" s="145">
        <f>'Cost Buildup'!N21/AVERAGE('Balance Sheet'!N68:O68)</f>
        <v>4.9324971054501878</v>
      </c>
      <c r="O43" s="145">
        <f>'Cost Buildup'!O21/AVERAGE('Balance Sheet'!O68:P68)</f>
        <v>5.1771624046427993</v>
      </c>
      <c r="P43" s="145">
        <f>'Cost Buildup'!P21/AVERAGE('Balance Sheet'!P68:Q68)</f>
        <v>5.4526913811338567</v>
      </c>
      <c r="Q43" s="145">
        <f>'Cost Buildup'!Q21/AVERAGE('Balance Sheet'!Q68:R68)</f>
        <v>5.7633298246628497</v>
      </c>
      <c r="R43" s="135"/>
      <c r="T43" s="154" t="s">
        <v>435</v>
      </c>
    </row>
    <row r="44" spans="2:20" ht="51" customHeight="1" x14ac:dyDescent="0.2">
      <c r="B44" s="157" t="s">
        <v>219</v>
      </c>
      <c r="C44" s="144">
        <f>'Working Capital'!C20</f>
        <v>209.53623922959957</v>
      </c>
      <c r="D44" s="144">
        <f>'Working Capital'!D20</f>
        <v>157.72046204218753</v>
      </c>
      <c r="E44" s="144">
        <f>'Working Capital'!E20</f>
        <v>128.17943437874996</v>
      </c>
      <c r="F44" s="144">
        <f>'Working Capital'!F20</f>
        <v>97.920597243834294</v>
      </c>
      <c r="G44" s="144">
        <f>'Working Capital'!G20</f>
        <v>95.434204072591498</v>
      </c>
      <c r="H44" s="145">
        <f>'Working Capital'!H20</f>
        <v>93.564314183417466</v>
      </c>
      <c r="I44" s="145">
        <f>'Working Capital'!I20</f>
        <v>90.796769678406605</v>
      </c>
      <c r="J44" s="145">
        <f>'Working Capital'!J20</f>
        <v>87.864038441821904</v>
      </c>
      <c r="K44" s="145">
        <f>'Working Capital'!K20</f>
        <v>84.77921499796949</v>
      </c>
      <c r="L44" s="145">
        <f>'Working Capital'!L20</f>
        <v>81.556925582248496</v>
      </c>
      <c r="M44" s="145">
        <f>'Working Capital'!M20</f>
        <v>78.213226782749004</v>
      </c>
      <c r="N44" s="145">
        <f>'Working Capital'!N20</f>
        <v>74.765474752614097</v>
      </c>
      <c r="O44" s="145">
        <f>'Working Capital'!O20</f>
        <v>71.232165225135958</v>
      </c>
      <c r="P44" s="145">
        <f>'Working Capital'!P20</f>
        <v>67.632745377970068</v>
      </c>
      <c r="Q44" s="145">
        <f>'Working Capital'!Q20</f>
        <v>63.987399476387139</v>
      </c>
      <c r="R44" s="135"/>
      <c r="T44" s="154" t="s">
        <v>436</v>
      </c>
    </row>
    <row r="45" spans="2:20" ht="36" customHeight="1" x14ac:dyDescent="0.2">
      <c r="B45" s="157" t="s">
        <v>220</v>
      </c>
      <c r="C45" s="133"/>
      <c r="D45" s="140">
        <f>'Income Statement'!D11/AVERAGE('Balance Sheet'!E13,'Balance Sheet'!E16,'Balance Sheet'!D13,'Balance Sheet'!D16)</f>
        <v>3.423864965489301</v>
      </c>
      <c r="E45" s="140">
        <f>'Income Statement'!E11/AVERAGE('Balance Sheet'!F13,'Balance Sheet'!F16,'Balance Sheet'!E13,'Balance Sheet'!E16)</f>
        <v>3.7797775052975844</v>
      </c>
      <c r="F45" s="140">
        <f>'Income Statement'!F11/AVERAGE('Balance Sheet'!G13,'Balance Sheet'!G16,'Balance Sheet'!F13,'Balance Sheet'!F16)</f>
        <v>3.8288074126522589</v>
      </c>
      <c r="G45" s="140">
        <f>'Income Statement'!G11/AVERAGE('Balance Sheet'!H13,'Balance Sheet'!H16,'Balance Sheet'!G13,'Balance Sheet'!G16)</f>
        <v>4.1559102812720887</v>
      </c>
      <c r="H45" s="141">
        <f>'Income Statement'!H11/AVERAGE('Balance Sheet'!I13,'Balance Sheet'!I16,'Balance Sheet'!H13,'Balance Sheet'!H16)</f>
        <v>4.8061965811502327</v>
      </c>
      <c r="I45" s="141">
        <f>'Income Statement'!I11/AVERAGE('Balance Sheet'!J13,'Balance Sheet'!J16,'Balance Sheet'!I13,'Balance Sheet'!I16)</f>
        <v>5.1651180320172765</v>
      </c>
      <c r="J45" s="141">
        <f>'Income Statement'!J11/AVERAGE('Balance Sheet'!K13,'Balance Sheet'!K16,'Balance Sheet'!J13,'Balance Sheet'!J16)</f>
        <v>5.5659673280085009</v>
      </c>
      <c r="K45" s="141">
        <f>'Income Statement'!K11/AVERAGE('Balance Sheet'!L13,'Balance Sheet'!L16,'Balance Sheet'!K13,'Balance Sheet'!K16)</f>
        <v>6.0173973953069702</v>
      </c>
      <c r="L45" s="141">
        <f>'Income Statement'!L11/AVERAGE('Balance Sheet'!M13,'Balance Sheet'!M16,'Balance Sheet'!L13,'Balance Sheet'!L16)</f>
        <v>6.5249210097940118</v>
      </c>
      <c r="M45" s="141">
        <f>'Income Statement'!M11/AVERAGE('Balance Sheet'!N13,'Balance Sheet'!N16,'Balance Sheet'!M13,'Balance Sheet'!M16)</f>
        <v>7.0948423396606595</v>
      </c>
      <c r="N45" s="141">
        <f>'Income Statement'!N11/AVERAGE('Balance Sheet'!O13,'Balance Sheet'!O16,'Balance Sheet'!N13,'Balance Sheet'!N16)</f>
        <v>7.7393348174471512</v>
      </c>
      <c r="O45" s="141">
        <f>'Income Statement'!O11/AVERAGE('Balance Sheet'!P13,'Balance Sheet'!P16,'Balance Sheet'!O13,'Balance Sheet'!O16)</f>
        <v>8.4704436883716916</v>
      </c>
      <c r="P45" s="141">
        <f>'Income Statement'!P11/AVERAGE('Balance Sheet'!Q13,'Balance Sheet'!Q16,'Balance Sheet'!P13,'Balance Sheet'!P16)</f>
        <v>9.3026401061769146</v>
      </c>
      <c r="Q45" s="141">
        <f>'Income Statement'!Q11/AVERAGE('Balance Sheet'!R13,'Balance Sheet'!R16,'Balance Sheet'!Q13,'Balance Sheet'!Q16)</f>
        <v>10.25315870713135</v>
      </c>
      <c r="R45" s="135"/>
      <c r="T45" s="154" t="s">
        <v>437</v>
      </c>
    </row>
    <row r="46" spans="2:20" ht="51" customHeight="1" x14ac:dyDescent="0.2">
      <c r="B46" s="157" t="s">
        <v>221</v>
      </c>
      <c r="C46" s="133"/>
      <c r="D46" s="146">
        <f>AVERAGE('Balance Sheet'!E41-'Balance Sheet'!E74,'Balance Sheet'!D41-'Balance Sheet'!D74)/'Income Statement'!D11-AVERAGE('Balance Sheet'!D41-'Balance Sheet'!D74,'Balance Sheet'!C41-'Balance Sheet'!C74)/'Income Statement'!C11</f>
        <v>1.392714315776471E-2</v>
      </c>
      <c r="E46" s="146">
        <f>AVERAGE('Balance Sheet'!F41-'Balance Sheet'!F74,'Balance Sheet'!E41-'Balance Sheet'!E74)/'Income Statement'!E11-AVERAGE('Balance Sheet'!E41-'Balance Sheet'!E74,'Balance Sheet'!D41-'Balance Sheet'!D74)/'Income Statement'!D11</f>
        <v>5.6455837506607418E-2</v>
      </c>
      <c r="F46" s="146">
        <f>AVERAGE('Balance Sheet'!G41-'Balance Sheet'!G74,'Balance Sheet'!F41-'Balance Sheet'!F74)/'Income Statement'!F11-AVERAGE('Balance Sheet'!F41-'Balance Sheet'!F74,'Balance Sheet'!E41-'Balance Sheet'!E74)/'Income Statement'!E11</f>
        <v>7.5254069047127184E-2</v>
      </c>
      <c r="G46" s="146">
        <f>AVERAGE('Balance Sheet'!H41-'Balance Sheet'!H74,'Balance Sheet'!G41-'Balance Sheet'!G74)/'Income Statement'!G11-AVERAGE('Balance Sheet'!G41-'Balance Sheet'!G74,'Balance Sheet'!F41-'Balance Sheet'!F74)/'Income Statement'!F11</f>
        <v>-7.0679460119065077E-2</v>
      </c>
      <c r="H46" s="147">
        <f ca="1">AVERAGE('Balance Sheet'!I41-'Balance Sheet'!I74,'Balance Sheet'!H41-'Balance Sheet'!H74)/'Income Statement'!H11-AVERAGE('Balance Sheet'!H41-'Balance Sheet'!H74,'Balance Sheet'!G41-'Balance Sheet'!G74)/'Income Statement'!G11</f>
        <v>4.864523962702573E-2</v>
      </c>
      <c r="I46" s="147">
        <f ca="1">AVERAGE('Balance Sheet'!J41-'Balance Sheet'!J74,'Balance Sheet'!I41-'Balance Sheet'!I74)/'Income Statement'!I11-AVERAGE('Balance Sheet'!I41-'Balance Sheet'!I74,'Balance Sheet'!H41-'Balance Sheet'!H74)/'Income Statement'!H11</f>
        <v>0.24073835251175282</v>
      </c>
      <c r="J46" s="147">
        <f ca="1">AVERAGE('Balance Sheet'!K41-'Balance Sheet'!K74,'Balance Sheet'!J41-'Balance Sheet'!J74)/'Income Statement'!J11-AVERAGE('Balance Sheet'!J41-'Balance Sheet'!J74,'Balance Sheet'!I41-'Balance Sheet'!I74)/'Income Statement'!I11</f>
        <v>0.20521975645116214</v>
      </c>
      <c r="K46" s="147">
        <f ca="1">AVERAGE('Balance Sheet'!L41-'Balance Sheet'!L74,'Balance Sheet'!K41-'Balance Sheet'!K74)/'Income Statement'!K11-AVERAGE('Balance Sheet'!K41-'Balance Sheet'!K74,'Balance Sheet'!J41-'Balance Sheet'!J74)/'Income Statement'!J11</f>
        <v>0.18984652618995657</v>
      </c>
      <c r="L46" s="147">
        <f ca="1">AVERAGE('Balance Sheet'!M41-'Balance Sheet'!M74,'Balance Sheet'!L41-'Balance Sheet'!L74)/'Income Statement'!L11-AVERAGE('Balance Sheet'!L41-'Balance Sheet'!L74,'Balance Sheet'!K41-'Balance Sheet'!K74)/'Income Statement'!K11</f>
        <v>0.17220946608951337</v>
      </c>
      <c r="M46" s="147">
        <f ca="1">AVERAGE('Balance Sheet'!N41-'Balance Sheet'!N74,'Balance Sheet'!M41-'Balance Sheet'!M74)/'Income Statement'!M11-AVERAGE('Balance Sheet'!M41-'Balance Sheet'!M74,'Balance Sheet'!L41-'Balance Sheet'!L74)/'Income Statement'!L11</f>
        <v>0.1540904706937124</v>
      </c>
      <c r="N46" s="147">
        <f ca="1">AVERAGE('Balance Sheet'!O41-'Balance Sheet'!O74,'Balance Sheet'!N41-'Balance Sheet'!N74)/'Income Statement'!N11-AVERAGE('Balance Sheet'!N41-'Balance Sheet'!N74,'Balance Sheet'!M41-'Balance Sheet'!M74)/'Income Statement'!M11</f>
        <v>0.13955220492508191</v>
      </c>
      <c r="O46" s="147">
        <f ca="1">AVERAGE('Balance Sheet'!P41-'Balance Sheet'!P74,'Balance Sheet'!O41-'Balance Sheet'!O74)/'Income Statement'!O11-AVERAGE('Balance Sheet'!O41-'Balance Sheet'!O74,'Balance Sheet'!N41-'Balance Sheet'!N74)/'Income Statement'!N11</f>
        <v>0.12432057701870791</v>
      </c>
      <c r="P46" s="147">
        <f ca="1">AVERAGE('Balance Sheet'!Q41-'Balance Sheet'!Q74,'Balance Sheet'!P41-'Balance Sheet'!P74)/'Income Statement'!P11-AVERAGE('Balance Sheet'!P41-'Balance Sheet'!P74,'Balance Sheet'!O41-'Balance Sheet'!O74)/'Income Statement'!O11</f>
        <v>0.10777432853041846</v>
      </c>
      <c r="Q46" s="147">
        <f ca="1">AVERAGE('Balance Sheet'!R41-'Balance Sheet'!R74,'Balance Sheet'!Q41-'Balance Sheet'!Q74)/'Income Statement'!Q11-AVERAGE('Balance Sheet'!Q41-'Balance Sheet'!Q74,'Balance Sheet'!P41-'Balance Sheet'!P74)/'Income Statement'!P11</f>
        <v>9.3781674472312782E-2</v>
      </c>
      <c r="R46" s="135"/>
      <c r="T46" s="154" t="s">
        <v>438</v>
      </c>
    </row>
    <row r="47" spans="2:20" ht="51" customHeight="1" x14ac:dyDescent="0.2">
      <c r="B47" s="157" t="s">
        <v>222</v>
      </c>
      <c r="C47" s="136">
        <f>'Income Statement'!C47/SUM('Balance Sheet'!D51,'Balance Sheet'!D55,'Balance Sheet'!D66)</f>
        <v>0.1416934132416848</v>
      </c>
      <c r="D47" s="136">
        <f>'Income Statement'!D47/SUM('Balance Sheet'!E51,'Balance Sheet'!E55,'Balance Sheet'!E66)</f>
        <v>0.16873398036166393</v>
      </c>
      <c r="E47" s="136">
        <f>'Income Statement'!E47/SUM('Balance Sheet'!F51,'Balance Sheet'!F55,'Balance Sheet'!F66)</f>
        <v>0.13547899926995607</v>
      </c>
      <c r="F47" s="136">
        <f>'Income Statement'!F47/SUM('Balance Sheet'!G51,'Balance Sheet'!G55,'Balance Sheet'!G66)</f>
        <v>0.11481239449993554</v>
      </c>
      <c r="G47" s="136">
        <f>'Income Statement'!G47/SUM('Balance Sheet'!H51,'Balance Sheet'!H55,'Balance Sheet'!H66)</f>
        <v>-3.5583223990539065E-2</v>
      </c>
      <c r="H47" s="137">
        <f ca="1">'Income Statement'!H47/SUM('Balance Sheet'!I51,'Balance Sheet'!I55,'Balance Sheet'!I66)</f>
        <v>9.833753665354443E-2</v>
      </c>
      <c r="I47" s="137">
        <f ca="1">'Income Statement'!I47/SUM('Balance Sheet'!J51,'Balance Sheet'!J55,'Balance Sheet'!J66)</f>
        <v>8.6449902894679409E-2</v>
      </c>
      <c r="J47" s="137">
        <f ca="1">'Income Statement'!J47/SUM('Balance Sheet'!K51,'Balance Sheet'!K55,'Balance Sheet'!K66)</f>
        <v>7.7331424566850313E-2</v>
      </c>
      <c r="K47" s="137">
        <f ca="1">'Income Statement'!K47/SUM('Balance Sheet'!L51,'Balance Sheet'!L55,'Balance Sheet'!L66)</f>
        <v>7.0732620806505456E-2</v>
      </c>
      <c r="L47" s="137">
        <f ca="1">'Income Statement'!L47/SUM('Balance Sheet'!M51,'Balance Sheet'!M55,'Balance Sheet'!M66)</f>
        <v>6.5516634775365776E-2</v>
      </c>
      <c r="M47" s="137">
        <f ca="1">'Income Statement'!M47/SUM('Balance Sheet'!N51,'Balance Sheet'!N55,'Balance Sheet'!N66)</f>
        <v>6.2250557253461292E-2</v>
      </c>
      <c r="N47" s="137">
        <f ca="1">'Income Statement'!N47/SUM('Balance Sheet'!O51,'Balance Sheet'!O55,'Balance Sheet'!O66)</f>
        <v>5.8968602755175598E-2</v>
      </c>
      <c r="O47" s="137">
        <f ca="1">'Income Statement'!O47/SUM('Balance Sheet'!P51,'Balance Sheet'!P55,'Balance Sheet'!P66)</f>
        <v>5.7483177896688498E-2</v>
      </c>
      <c r="P47" s="137">
        <f ca="1">'Income Statement'!P47/SUM('Balance Sheet'!Q51,'Balance Sheet'!Q55,'Balance Sheet'!Q66)</f>
        <v>5.571731548428794E-2</v>
      </c>
      <c r="Q47" s="137">
        <f ca="1">'Income Statement'!Q47/SUM('Balance Sheet'!R51,'Balance Sheet'!R55,'Balance Sheet'!R66)</f>
        <v>5.482152407730085E-2</v>
      </c>
      <c r="R47" s="135"/>
      <c r="T47" s="154" t="s">
        <v>439</v>
      </c>
    </row>
    <row r="49" spans="5:18" x14ac:dyDescent="0.2">
      <c r="E49" s="55"/>
      <c r="F49" s="55"/>
      <c r="G49" s="55"/>
      <c r="H49" s="55"/>
      <c r="I49" s="55"/>
      <c r="J49" s="55"/>
      <c r="K49" s="55"/>
      <c r="L49" s="55"/>
      <c r="M49" s="55"/>
      <c r="N49" s="55"/>
      <c r="O49" s="55"/>
      <c r="P49" s="55"/>
      <c r="Q49" s="55"/>
      <c r="R49" s="55"/>
    </row>
  </sheetData>
  <mergeCells count="5">
    <mergeCell ref="B8:B9"/>
    <mergeCell ref="P6:Q6"/>
    <mergeCell ref="T7:T9"/>
    <mergeCell ref="R8:R9"/>
    <mergeCell ref="B7:R7"/>
  </mergeCells>
  <pageMargins left="0.7" right="0.7" top="0.75" bottom="0.75" header="0.3" footer="0.3"/>
  <drawing r:id="rId1"/>
  <extLst>
    <ext xmlns:x14="http://schemas.microsoft.com/office/spreadsheetml/2009/9/main" uri="{05C60535-1F16-4fd2-B633-F4F36F0B64E0}">
      <x14:sparklineGroups xmlns:xm="http://schemas.microsoft.com/office/excel/2006/main">
        <x14:sparklineGroup displayEmptyCellsAs="gap" xr2:uid="{DA73E46B-AB22-49B1-AB7C-00C24E8E73A2}">
          <x14:colorSeries theme="4" tint="-0.249977111117893"/>
          <x14:colorNegative theme="5"/>
          <x14:colorAxis rgb="FF000000"/>
          <x14:colorMarkers theme="5" tint="-0.249977111117893"/>
          <x14:colorFirst theme="5" tint="-0.249977111117893"/>
          <x14:colorLast theme="5" tint="-0.249977111117893"/>
          <x14:colorHigh theme="5" tint="-0.249977111117893"/>
          <x14:colorLow theme="5" tint="-0.249977111117893"/>
          <x14:sparklines>
            <x14:sparkline>
              <xm:f>'Ratio Analysis'!C29:Q29</xm:f>
              <xm:sqref>R29</xm:sqref>
            </x14:sparkline>
            <x14:sparkline>
              <xm:f>'Ratio Analysis'!C30:Q30</xm:f>
              <xm:sqref>R30</xm:sqref>
            </x14:sparkline>
            <x14:sparkline>
              <xm:f>'Ratio Analysis'!C31:Q31</xm:f>
              <xm:sqref>R31</xm:sqref>
            </x14:sparkline>
            <x14:sparkline>
              <xm:f>'Ratio Analysis'!C32:Q32</xm:f>
              <xm:sqref>R32</xm:sqref>
            </x14:sparkline>
            <x14:sparkline>
              <xm:f>'Ratio Analysis'!C33:Q33</xm:f>
              <xm:sqref>R33</xm:sqref>
            </x14:sparkline>
            <x14:sparkline>
              <xm:f>'Ratio Analysis'!C34:Q34</xm:f>
              <xm:sqref>R34</xm:sqref>
            </x14:sparkline>
            <x14:sparkline>
              <xm:f>'Ratio Analysis'!C35:Q35</xm:f>
              <xm:sqref>R35</xm:sqref>
            </x14:sparkline>
            <x14:sparkline>
              <xm:f>'Ratio Analysis'!C36:Q36</xm:f>
              <xm:sqref>R36</xm:sqref>
            </x14:sparkline>
            <x14:sparkline>
              <xm:f>'Ratio Analysis'!C37:Q37</xm:f>
              <xm:sqref>R37</xm:sqref>
            </x14:sparkline>
            <x14:sparkline>
              <xm:f>'Ratio Analysis'!C38:Q38</xm:f>
              <xm:sqref>R38</xm:sqref>
            </x14:sparkline>
            <x14:sparkline>
              <xm:f>'Ratio Analysis'!C39:Q39</xm:f>
              <xm:sqref>R39</xm:sqref>
            </x14:sparkline>
            <x14:sparkline>
              <xm:f>'Ratio Analysis'!C40:Q40</xm:f>
              <xm:sqref>R40</xm:sqref>
            </x14:sparkline>
            <x14:sparkline>
              <xm:f>'Ratio Analysis'!C41:Q41</xm:f>
              <xm:sqref>R41</xm:sqref>
            </x14:sparkline>
            <x14:sparkline>
              <xm:f>'Ratio Analysis'!C42:Q42</xm:f>
              <xm:sqref>R42</xm:sqref>
            </x14:sparkline>
            <x14:sparkline>
              <xm:f>'Ratio Analysis'!C43:Q43</xm:f>
              <xm:sqref>R43</xm:sqref>
            </x14:sparkline>
            <x14:sparkline>
              <xm:f>'Ratio Analysis'!C44:Q44</xm:f>
              <xm:sqref>R44</xm:sqref>
            </x14:sparkline>
            <x14:sparkline>
              <xm:f>'Ratio Analysis'!C45:Q45</xm:f>
              <xm:sqref>R45</xm:sqref>
            </x14:sparkline>
            <x14:sparkline>
              <xm:f>'Ratio Analysis'!C46:Q46</xm:f>
              <xm:sqref>R46</xm:sqref>
            </x14:sparkline>
            <x14:sparkline>
              <xm:f>'Ratio Analysis'!C47:Q47</xm:f>
              <xm:sqref>R47</xm:sqref>
            </x14:sparkline>
          </x14:sparklines>
        </x14:sparklineGroup>
        <x14:sparklineGroup displayEmptyCellsAs="gap" xr2:uid="{83E6E95F-B8BD-4F74-A3D8-9B9160FDF0C3}">
          <x14:colorSeries theme="4" tint="-0.249977111117893"/>
          <x14:colorNegative theme="5"/>
          <x14:colorAxis rgb="FF000000"/>
          <x14:colorMarkers theme="5" tint="-0.249977111117893"/>
          <x14:colorFirst theme="5" tint="-0.249977111117893"/>
          <x14:colorLast theme="5" tint="-0.249977111117893"/>
          <x14:colorHigh theme="5" tint="-0.249977111117893"/>
          <x14:colorLow theme="5" tint="-0.249977111117893"/>
          <x14:sparklines>
            <x14:sparkline>
              <xm:f>'Ratio Analysis'!C20:Q20</xm:f>
              <xm:sqref>R20</xm:sqref>
            </x14:sparkline>
            <x14:sparkline>
              <xm:f>'Ratio Analysis'!C21:Q21</xm:f>
              <xm:sqref>R21</xm:sqref>
            </x14:sparkline>
            <x14:sparkline>
              <xm:f>'Ratio Analysis'!C22:Q22</xm:f>
              <xm:sqref>R22</xm:sqref>
            </x14:sparkline>
            <x14:sparkline>
              <xm:f>'Ratio Analysis'!C23:Q23</xm:f>
              <xm:sqref>R23</xm:sqref>
            </x14:sparkline>
            <x14:sparkline>
              <xm:f>'Ratio Analysis'!C24:Q24</xm:f>
              <xm:sqref>R24</xm:sqref>
            </x14:sparkline>
            <x14:sparkline>
              <xm:f>'Ratio Analysis'!C25:Q25</xm:f>
              <xm:sqref>R25</xm:sqref>
            </x14:sparkline>
            <x14:sparkline>
              <xm:f>'Ratio Analysis'!C26:Q26</xm:f>
              <xm:sqref>R26</xm:sqref>
            </x14:sparkline>
          </x14:sparklines>
        </x14:sparklineGroup>
        <x14:sparklineGroup displayEmptyCellsAs="gap" xr2:uid="{8070737E-C303-4686-887E-A1F37020FEBC}">
          <x14:colorSeries theme="4" tint="-0.249977111117893"/>
          <x14:colorNegative theme="5"/>
          <x14:colorAxis rgb="FF000000"/>
          <x14:colorMarkers theme="5" tint="-0.249977111117893"/>
          <x14:colorFirst theme="5" tint="-0.249977111117893"/>
          <x14:colorLast theme="5" tint="-0.249977111117893"/>
          <x14:colorHigh theme="5" tint="-0.249977111117893"/>
          <x14:colorLow theme="5" tint="-0.249977111117893"/>
          <x14:sparklines>
            <x14:sparkline>
              <xm:f>'Ratio Analysis'!C12:Q12</xm:f>
              <xm:sqref>R12</xm:sqref>
            </x14:sparkline>
          </x14:sparklines>
        </x14:sparklineGroup>
        <x14:sparklineGroup displayEmptyCellsAs="gap" xr2:uid="{E81036A0-41E1-474D-AA93-5EAB2B703F7F}">
          <x14:colorSeries theme="4" tint="-0.249977111117893"/>
          <x14:colorNegative theme="5"/>
          <x14:colorAxis rgb="FF000000"/>
          <x14:colorMarkers theme="5" tint="-0.249977111117893"/>
          <x14:colorFirst theme="5" tint="-0.249977111117893"/>
          <x14:colorLast theme="5" tint="-0.249977111117893"/>
          <x14:colorHigh theme="5" tint="-0.249977111117893"/>
          <x14:colorLow theme="5" tint="-0.249977111117893"/>
          <x14:sparklines>
            <x14:sparkline>
              <xm:f>'Ratio Analysis'!C13:Q13</xm:f>
              <xm:sqref>R13</xm:sqref>
            </x14:sparkline>
            <x14:sparkline>
              <xm:f>'Ratio Analysis'!C14:Q14</xm:f>
              <xm:sqref>R14</xm:sqref>
            </x14:sparkline>
            <x14:sparkline>
              <xm:f>'Ratio Analysis'!C15:Q15</xm:f>
              <xm:sqref>R15</xm:sqref>
            </x14:sparkline>
            <x14:sparkline>
              <xm:f>'Ratio Analysis'!C16:Q16</xm:f>
              <xm:sqref>R16</xm:sqref>
            </x14:sparkline>
            <x14:sparkline>
              <xm:f>'Ratio Analysis'!C17:Q17</xm:f>
              <xm:sqref>R17</xm:sqref>
            </x14:sparkline>
          </x14:sparklines>
        </x14:sparklineGroup>
      </x14:sparklineGroups>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F2A8C4-5AB2-4892-B149-9EF78211E875}">
  <sheetPr>
    <tabColor rgb="FF92D050"/>
  </sheetPr>
  <dimension ref="B6:Q34"/>
  <sheetViews>
    <sheetView showGridLines="0" workbookViewId="0">
      <selection activeCell="N37" sqref="N37"/>
    </sheetView>
  </sheetViews>
  <sheetFormatPr baseColWidth="10" defaultColWidth="8.83203125" defaultRowHeight="15" x14ac:dyDescent="0.2"/>
  <cols>
    <col min="2" max="2" width="24.83203125" bestFit="1" customWidth="1"/>
    <col min="3" max="12" width="12.1640625" bestFit="1" customWidth="1"/>
    <col min="13" max="17" width="13.33203125" bestFit="1" customWidth="1"/>
  </cols>
  <sheetData>
    <row r="6" spans="2:17" x14ac:dyDescent="0.2">
      <c r="B6" s="2"/>
      <c r="C6" s="2"/>
      <c r="D6" s="2"/>
      <c r="E6" s="2"/>
      <c r="F6" s="120"/>
      <c r="G6" s="120"/>
      <c r="H6" s="2"/>
      <c r="I6" s="2"/>
      <c r="J6" s="2"/>
      <c r="K6" s="2"/>
      <c r="L6" s="2"/>
      <c r="M6" s="2"/>
      <c r="N6" s="2"/>
      <c r="O6" s="2"/>
      <c r="P6" s="362" t="s">
        <v>76</v>
      </c>
      <c r="Q6" s="362"/>
    </row>
    <row r="7" spans="2:17" ht="16" x14ac:dyDescent="0.2">
      <c r="B7" s="398" t="s">
        <v>279</v>
      </c>
      <c r="C7" s="398"/>
      <c r="D7" s="398"/>
      <c r="E7" s="398"/>
      <c r="F7" s="398"/>
      <c r="G7" s="398"/>
      <c r="H7" s="399"/>
      <c r="I7" s="399"/>
      <c r="J7" s="399"/>
      <c r="K7" s="399"/>
      <c r="L7" s="399"/>
      <c r="M7" s="399"/>
      <c r="N7" s="399"/>
      <c r="O7" s="399"/>
      <c r="P7" s="399"/>
      <c r="Q7" s="399"/>
    </row>
    <row r="8" spans="2:17" x14ac:dyDescent="0.2">
      <c r="B8" s="360" t="s">
        <v>0</v>
      </c>
      <c r="C8" s="234">
        <v>2020</v>
      </c>
      <c r="D8" s="234">
        <v>2021</v>
      </c>
      <c r="E8" s="234">
        <v>2022</v>
      </c>
      <c r="F8" s="234">
        <v>2023</v>
      </c>
      <c r="G8" s="234">
        <v>2024</v>
      </c>
      <c r="H8" s="263">
        <v>2025</v>
      </c>
      <c r="I8" s="263">
        <v>2026</v>
      </c>
      <c r="J8" s="263">
        <v>2027</v>
      </c>
      <c r="K8" s="263">
        <v>2028</v>
      </c>
      <c r="L8" s="263">
        <v>2029</v>
      </c>
      <c r="M8" s="263">
        <v>2030</v>
      </c>
      <c r="N8" s="263">
        <v>2031</v>
      </c>
      <c r="O8" s="263">
        <v>2032</v>
      </c>
      <c r="P8" s="263">
        <v>2033</v>
      </c>
      <c r="Q8" s="263">
        <v>2034</v>
      </c>
    </row>
    <row r="9" spans="2:17" x14ac:dyDescent="0.2">
      <c r="B9" s="361"/>
      <c r="C9" s="13" t="s">
        <v>2</v>
      </c>
      <c r="D9" s="13" t="s">
        <v>2</v>
      </c>
      <c r="E9" s="13" t="s">
        <v>2</v>
      </c>
      <c r="F9" s="13" t="s">
        <v>2</v>
      </c>
      <c r="G9" s="13" t="s">
        <v>2</v>
      </c>
      <c r="H9" s="119" t="s">
        <v>60</v>
      </c>
      <c r="I9" s="119" t="s">
        <v>61</v>
      </c>
      <c r="J9" s="119" t="s">
        <v>61</v>
      </c>
      <c r="K9" s="119" t="s">
        <v>61</v>
      </c>
      <c r="L9" s="119" t="s">
        <v>61</v>
      </c>
      <c r="M9" s="119" t="s">
        <v>61</v>
      </c>
      <c r="N9" s="119" t="s">
        <v>61</v>
      </c>
      <c r="O9" s="119" t="s">
        <v>61</v>
      </c>
      <c r="P9" s="119" t="s">
        <v>61</v>
      </c>
      <c r="Q9" s="119" t="s">
        <v>61</v>
      </c>
    </row>
    <row r="10" spans="2:17" x14ac:dyDescent="0.2">
      <c r="B10" s="2"/>
      <c r="C10" s="2"/>
      <c r="D10" s="2"/>
      <c r="E10" s="2"/>
      <c r="F10" s="2"/>
      <c r="G10" s="2"/>
      <c r="H10" s="34"/>
      <c r="I10" s="34"/>
      <c r="J10" s="34"/>
      <c r="K10" s="34"/>
      <c r="L10" s="34"/>
      <c r="M10" s="34"/>
      <c r="N10" s="34"/>
      <c r="O10" s="34"/>
      <c r="P10" s="34"/>
      <c r="Q10" s="34"/>
    </row>
    <row r="11" spans="2:17" x14ac:dyDescent="0.2">
      <c r="B11" s="2" t="s">
        <v>280</v>
      </c>
      <c r="C11" s="45">
        <f>'Income Statement'!C13</f>
        <v>9910.7999999999993</v>
      </c>
      <c r="D11" s="45">
        <f>'Income Statement'!D13</f>
        <v>11028.62</v>
      </c>
      <c r="E11" s="45">
        <f>'Income Statement'!E13</f>
        <v>12276.5</v>
      </c>
      <c r="F11" s="45">
        <f>'Income Statement'!F13</f>
        <v>13315.97</v>
      </c>
      <c r="G11" s="45">
        <f>'Income Statement'!G13</f>
        <v>14096.11</v>
      </c>
      <c r="H11" s="36">
        <f>'Income Statement'!H13</f>
        <v>15206.847796669594</v>
      </c>
      <c r="I11" s="36">
        <f>'Income Statement'!I13</f>
        <v>16449.354017862825</v>
      </c>
      <c r="J11" s="36">
        <f>'Income Statement'!J13</f>
        <v>17843.117027602631</v>
      </c>
      <c r="K11" s="36">
        <f>'Income Statement'!K13</f>
        <v>19411.027480315584</v>
      </c>
      <c r="L11" s="36">
        <f>'Income Statement'!L13</f>
        <v>21180.056675047068</v>
      </c>
      <c r="M11" s="36">
        <f>'Income Statement'!M13</f>
        <v>23182.086119864551</v>
      </c>
      <c r="N11" s="36">
        <f>'Income Statement'!N13</f>
        <v>25454.925434927056</v>
      </c>
      <c r="O11" s="36">
        <f>'Income Statement'!O13</f>
        <v>28043.56565626416</v>
      </c>
      <c r="P11" s="36">
        <f>'Income Statement'!P13</f>
        <v>31001.727807704712</v>
      </c>
      <c r="Q11" s="36">
        <f>'Income Statement'!Q13</f>
        <v>34393.783176907782</v>
      </c>
    </row>
    <row r="12" spans="2:17" x14ac:dyDescent="0.2">
      <c r="B12" s="5" t="s">
        <v>281</v>
      </c>
      <c r="C12" s="5"/>
      <c r="D12" s="18">
        <f>D11/C11-1</f>
        <v>0.11278806958065957</v>
      </c>
      <c r="E12" s="18">
        <f>E11/D11-1</f>
        <v>0.11314924260696246</v>
      </c>
      <c r="F12" s="18">
        <f t="shared" ref="F12:Q12" si="0">F11/E11-1</f>
        <v>8.4671526900989669E-2</v>
      </c>
      <c r="G12" s="18">
        <f t="shared" si="0"/>
        <v>5.8586794653337382E-2</v>
      </c>
      <c r="H12" s="221">
        <f t="shared" si="0"/>
        <v>7.8797469420258004E-2</v>
      </c>
      <c r="I12" s="221">
        <f t="shared" si="0"/>
        <v>8.1707020271837516E-2</v>
      </c>
      <c r="J12" s="221">
        <f t="shared" si="0"/>
        <v>8.4730561955580708E-2</v>
      </c>
      <c r="K12" s="221">
        <f t="shared" si="0"/>
        <v>8.7872004105978396E-2</v>
      </c>
      <c r="L12" s="221">
        <f t="shared" si="0"/>
        <v>9.1135268162668259E-2</v>
      </c>
      <c r="M12" s="221">
        <f t="shared" si="0"/>
        <v>9.4524272315859248E-2</v>
      </c>
      <c r="N12" s="221">
        <f t="shared" si="0"/>
        <v>9.8042915694068089E-2</v>
      </c>
      <c r="O12" s="221">
        <f t="shared" si="0"/>
        <v>0.10169506204033874</v>
      </c>
      <c r="P12" s="221">
        <f t="shared" si="0"/>
        <v>0.10548452317723656</v>
      </c>
      <c r="Q12" s="221">
        <f t="shared" si="0"/>
        <v>0.10941504261449775</v>
      </c>
    </row>
    <row r="13" spans="2:17" x14ac:dyDescent="0.2">
      <c r="B13" s="2" t="s">
        <v>282</v>
      </c>
      <c r="C13" s="45">
        <f>'Income Statement'!C20</f>
        <v>4261.68</v>
      </c>
      <c r="D13" s="45">
        <f>'Income Statement'!D20</f>
        <v>4929.42</v>
      </c>
      <c r="E13" s="45">
        <f>'Income Statement'!E20</f>
        <v>6075.0899999999992</v>
      </c>
      <c r="F13" s="45">
        <f>'Income Statement'!F20</f>
        <v>6702.79</v>
      </c>
      <c r="G13" s="45">
        <f>'Income Statement'!G20</f>
        <v>6320.3</v>
      </c>
      <c r="H13" s="36">
        <f>'Income Statement'!H20</f>
        <v>6768.9422567503443</v>
      </c>
      <c r="I13" s="36">
        <f>'Income Statement'!I20</f>
        <v>7324.0272132517366</v>
      </c>
      <c r="J13" s="36">
        <f>'Income Statement'!J20</f>
        <v>7946.9134925130529</v>
      </c>
      <c r="K13" s="36">
        <f>'Income Statement'!K20</f>
        <v>8647.8779999031576</v>
      </c>
      <c r="L13" s="36">
        <f>'Income Statement'!L20</f>
        <v>9439.0306910864874</v>
      </c>
      <c r="M13" s="36">
        <f>'Income Statement'!M20</f>
        <v>10334.687278263003</v>
      </c>
      <c r="N13" s="36">
        <f>'Income Statement'!N20</f>
        <v>11351.826556616354</v>
      </c>
      <c r="O13" s="36">
        <f>'Income Statement'!O20</f>
        <v>12510.653496056086</v>
      </c>
      <c r="P13" s="36">
        <f>'Income Statement'!P20</f>
        <v>13835.294996845671</v>
      </c>
      <c r="Q13" s="36">
        <f>'Income Statement'!Q20</f>
        <v>15354.662651994042</v>
      </c>
    </row>
    <row r="14" spans="2:17" x14ac:dyDescent="0.2">
      <c r="B14" s="5" t="s">
        <v>281</v>
      </c>
      <c r="C14" s="5"/>
      <c r="D14" s="18">
        <f>D13/C13-1</f>
        <v>0.15668468772878286</v>
      </c>
      <c r="E14" s="18">
        <f>E13/D13-1</f>
        <v>0.23241476684883811</v>
      </c>
      <c r="F14" s="18">
        <f t="shared" ref="F14:Q14" si="1">F13/E13-1</f>
        <v>0.10332357216107102</v>
      </c>
      <c r="G14" s="18">
        <f t="shared" si="1"/>
        <v>-5.7064297106130368E-2</v>
      </c>
      <c r="H14" s="221">
        <f t="shared" si="1"/>
        <v>7.0984329343598329E-2</v>
      </c>
      <c r="I14" s="221">
        <f t="shared" si="1"/>
        <v>8.2004681890709419E-2</v>
      </c>
      <c r="J14" s="221">
        <f t="shared" si="1"/>
        <v>8.5046964071118669E-2</v>
      </c>
      <c r="K14" s="221">
        <f t="shared" si="1"/>
        <v>8.8205881195321689E-2</v>
      </c>
      <c r="L14" s="221">
        <f t="shared" si="1"/>
        <v>9.148518182057952E-2</v>
      </c>
      <c r="M14" s="221">
        <f t="shared" si="1"/>
        <v>9.4888619021263221E-2</v>
      </c>
      <c r="N14" s="221">
        <f t="shared" si="1"/>
        <v>9.8419937726872853E-2</v>
      </c>
      <c r="O14" s="221">
        <f t="shared" si="1"/>
        <v>0.10208286161351854</v>
      </c>
      <c r="P14" s="221">
        <f t="shared" si="1"/>
        <v>0.10588107976990746</v>
      </c>
      <c r="Q14" s="221">
        <f t="shared" si="1"/>
        <v>0.10981823340194574</v>
      </c>
    </row>
    <row r="15" spans="2:17" x14ac:dyDescent="0.2">
      <c r="B15" s="2" t="s">
        <v>283</v>
      </c>
      <c r="C15" s="45">
        <f>C11-C13</f>
        <v>5649.119999999999</v>
      </c>
      <c r="D15" s="45">
        <f t="shared" ref="D15" si="2">D11-D13</f>
        <v>6099.2000000000007</v>
      </c>
      <c r="E15" s="45">
        <f t="shared" ref="E15:Q15" si="3">E11-E13</f>
        <v>6201.4100000000008</v>
      </c>
      <c r="F15" s="45">
        <f t="shared" si="3"/>
        <v>6613.1799999999994</v>
      </c>
      <c r="G15" s="45">
        <f t="shared" si="3"/>
        <v>7775.81</v>
      </c>
      <c r="H15" s="36">
        <f t="shared" si="3"/>
        <v>8437.9055399192493</v>
      </c>
      <c r="I15" s="36">
        <f t="shared" si="3"/>
        <v>9125.3268046110879</v>
      </c>
      <c r="J15" s="36">
        <f t="shared" si="3"/>
        <v>9896.2035350895785</v>
      </c>
      <c r="K15" s="36">
        <f t="shared" si="3"/>
        <v>10763.149480412427</v>
      </c>
      <c r="L15" s="36">
        <f t="shared" si="3"/>
        <v>11741.025983960581</v>
      </c>
      <c r="M15" s="36">
        <f t="shared" si="3"/>
        <v>12847.398841601547</v>
      </c>
      <c r="N15" s="36">
        <f t="shared" si="3"/>
        <v>14103.098878310702</v>
      </c>
      <c r="O15" s="36">
        <f t="shared" si="3"/>
        <v>15532.912160208074</v>
      </c>
      <c r="P15" s="36">
        <f t="shared" si="3"/>
        <v>17166.432810859042</v>
      </c>
      <c r="Q15" s="36">
        <f t="shared" si="3"/>
        <v>19039.120524913742</v>
      </c>
    </row>
    <row r="16" spans="2:17" x14ac:dyDescent="0.2">
      <c r="B16" s="5" t="s">
        <v>281</v>
      </c>
      <c r="C16" s="5"/>
      <c r="D16" s="18">
        <f>D15/C15-1</f>
        <v>7.9672586172713888E-2</v>
      </c>
      <c r="E16" s="18">
        <f>E15/D15-1</f>
        <v>1.6757935466946483E-2</v>
      </c>
      <c r="F16" s="18">
        <f t="shared" ref="F16:Q16" si="4">F15/E15-1</f>
        <v>6.6399415616770874E-2</v>
      </c>
      <c r="G16" s="18">
        <f t="shared" si="4"/>
        <v>0.17580498338167128</v>
      </c>
      <c r="H16" s="221">
        <f t="shared" si="4"/>
        <v>8.5148111890497535E-2</v>
      </c>
      <c r="I16" s="221">
        <f t="shared" si="4"/>
        <v>8.1468234200974043E-2</v>
      </c>
      <c r="J16" s="221">
        <f t="shared" si="4"/>
        <v>8.4476616233509771E-2</v>
      </c>
      <c r="K16" s="221">
        <f t="shared" si="4"/>
        <v>8.760389196209073E-2</v>
      </c>
      <c r="L16" s="221">
        <f t="shared" si="4"/>
        <v>9.0854122701516493E-2</v>
      </c>
      <c r="M16" s="221">
        <f t="shared" si="4"/>
        <v>9.4231360968997313E-2</v>
      </c>
      <c r="N16" s="221">
        <f t="shared" si="4"/>
        <v>9.7739632138066357E-2</v>
      </c>
      <c r="O16" s="221">
        <f t="shared" si="4"/>
        <v>0.10138291550208844</v>
      </c>
      <c r="P16" s="221">
        <f t="shared" si="4"/>
        <v>0.10516512511000298</v>
      </c>
      <c r="Q16" s="221">
        <f t="shared" si="4"/>
        <v>0.10909009080034893</v>
      </c>
    </row>
    <row r="17" spans="2:17" x14ac:dyDescent="0.2">
      <c r="B17" s="5" t="s">
        <v>284</v>
      </c>
      <c r="C17" s="222">
        <f>C15/C11</f>
        <v>0.56999636759898287</v>
      </c>
      <c r="D17" s="222">
        <f t="shared" ref="D17" si="5">D15/D11</f>
        <v>0.55303383378881499</v>
      </c>
      <c r="E17" s="222">
        <f t="shared" ref="E17:Q17" si="6">E15/E11</f>
        <v>0.50514478882417635</v>
      </c>
      <c r="F17" s="222">
        <f t="shared" si="6"/>
        <v>0.49663524324551644</v>
      </c>
      <c r="G17" s="222">
        <f t="shared" si="6"/>
        <v>0.55162807327695373</v>
      </c>
      <c r="H17" s="223">
        <f t="shared" si="6"/>
        <v>0.55487538592759567</v>
      </c>
      <c r="I17" s="223">
        <f t="shared" si="6"/>
        <v>0.55475289757285506</v>
      </c>
      <c r="J17" s="223">
        <f t="shared" si="6"/>
        <v>0.55462302465317714</v>
      </c>
      <c r="K17" s="223">
        <f t="shared" si="6"/>
        <v>0.55448633470470154</v>
      </c>
      <c r="L17" s="223">
        <f t="shared" si="6"/>
        <v>0.55434346395272283</v>
      </c>
      <c r="M17" s="223">
        <f t="shared" si="6"/>
        <v>0.55419511320824189</v>
      </c>
      <c r="N17" s="223">
        <f t="shared" si="6"/>
        <v>0.5540420424472996</v>
      </c>
      <c r="O17" s="223">
        <f t="shared" si="6"/>
        <v>0.55388506406775162</v>
      </c>
      <c r="P17" s="223">
        <f t="shared" si="6"/>
        <v>0.55372503485411384</v>
      </c>
      <c r="Q17" s="223">
        <f t="shared" si="6"/>
        <v>0.55356284672099509</v>
      </c>
    </row>
    <row r="18" spans="2:17" x14ac:dyDescent="0.2">
      <c r="B18" s="2" t="s">
        <v>285</v>
      </c>
      <c r="C18" s="45">
        <f>'Income Statement'!C24</f>
        <v>1018.82</v>
      </c>
      <c r="D18" s="45">
        <f>'Income Statement'!D24</f>
        <v>1123.3399999999999</v>
      </c>
      <c r="E18" s="45">
        <f>'Income Statement'!E24</f>
        <v>1104.1400000000001</v>
      </c>
      <c r="F18" s="45">
        <f>'Income Statement'!F24</f>
        <v>1111.48</v>
      </c>
      <c r="G18" s="45">
        <f>'Income Statement'!G24</f>
        <v>1249.3399999999999</v>
      </c>
      <c r="H18" s="36">
        <f>'Income Statement'!H24</f>
        <v>1347.7848304455051</v>
      </c>
      <c r="I18" s="36">
        <f>'Income Statement'!I24</f>
        <v>1457.908312908791</v>
      </c>
      <c r="J18" s="36">
        <f>'Income Statement'!J24</f>
        <v>1581.4377035412656</v>
      </c>
      <c r="K18" s="36">
        <f>'Income Statement'!K24</f>
        <v>1720.4018039201928</v>
      </c>
      <c r="L18" s="36">
        <f>'Income Statement'!L24</f>
        <v>1877.1910836679979</v>
      </c>
      <c r="M18" s="36">
        <f>'Income Statement'!M24</f>
        <v>2054.6312048495347</v>
      </c>
      <c r="N18" s="36">
        <f>'Income Statement'!N24</f>
        <v>2256.0732388489992</v>
      </c>
      <c r="O18" s="36">
        <f>'Income Statement'!O24</f>
        <v>2485.5047468412959</v>
      </c>
      <c r="P18" s="36">
        <f>'Income Statement'!P24</f>
        <v>2747.6870299166085</v>
      </c>
      <c r="Q18" s="36">
        <f>'Income Statement'!Q24</f>
        <v>3048.3253233862365</v>
      </c>
    </row>
    <row r="19" spans="2:17" x14ac:dyDescent="0.2">
      <c r="B19" s="5" t="s">
        <v>281</v>
      </c>
      <c r="C19" s="5"/>
      <c r="D19" s="18">
        <f>D18/C18-1</f>
        <v>0.10258926993973416</v>
      </c>
      <c r="E19" s="18">
        <f>E18/D18-1</f>
        <v>-1.7091886695034253E-2</v>
      </c>
      <c r="F19" s="18">
        <f t="shared" ref="F19:Q19" si="7">F18/E18-1</f>
        <v>6.647707718224094E-3</v>
      </c>
      <c r="G19" s="18">
        <f t="shared" si="7"/>
        <v>0.12403282110339364</v>
      </c>
      <c r="H19" s="221">
        <f t="shared" si="7"/>
        <v>7.8797469420258004E-2</v>
      </c>
      <c r="I19" s="221">
        <f t="shared" si="7"/>
        <v>8.1707020271837516E-2</v>
      </c>
      <c r="J19" s="221">
        <f t="shared" si="7"/>
        <v>8.4730561955580708E-2</v>
      </c>
      <c r="K19" s="221">
        <f t="shared" si="7"/>
        <v>8.7872004105978396E-2</v>
      </c>
      <c r="L19" s="221">
        <f t="shared" si="7"/>
        <v>9.1135268162668259E-2</v>
      </c>
      <c r="M19" s="221">
        <f t="shared" si="7"/>
        <v>9.4524272315859248E-2</v>
      </c>
      <c r="N19" s="221">
        <f t="shared" si="7"/>
        <v>9.8042915694068089E-2</v>
      </c>
      <c r="O19" s="221">
        <f t="shared" si="7"/>
        <v>0.10169506204033874</v>
      </c>
      <c r="P19" s="221">
        <f t="shared" si="7"/>
        <v>0.10548452317723678</v>
      </c>
      <c r="Q19" s="221">
        <f t="shared" si="7"/>
        <v>0.10941504261449753</v>
      </c>
    </row>
    <row r="20" spans="2:17" x14ac:dyDescent="0.2">
      <c r="B20" s="2" t="s">
        <v>286</v>
      </c>
      <c r="C20" s="45">
        <f>'Income Statement'!C25</f>
        <v>2487.27</v>
      </c>
      <c r="D20" s="45">
        <f>'Income Statement'!D25</f>
        <v>2587.61</v>
      </c>
      <c r="E20" s="45">
        <f>'Income Statement'!E25</f>
        <v>2702.16</v>
      </c>
      <c r="F20" s="45">
        <f>'Income Statement'!F25</f>
        <v>3071.24</v>
      </c>
      <c r="G20" s="45">
        <f>'Income Statement'!G25</f>
        <v>3583</v>
      </c>
      <c r="H20" s="36">
        <f>'Income Statement'!H25</f>
        <v>3865.3313329327843</v>
      </c>
      <c r="I20" s="36">
        <f>'Income Statement'!I25</f>
        <v>4181.156038510092</v>
      </c>
      <c r="J20" s="36">
        <f>'Income Statement'!J25</f>
        <v>4535.4277392770218</v>
      </c>
      <c r="K20" s="36">
        <f>'Income Statement'!K25</f>
        <v>4933.9648642051416</v>
      </c>
      <c r="L20" s="36">
        <f>'Income Statement'!L25</f>
        <v>5383.6230752096599</v>
      </c>
      <c r="M20" s="36">
        <f>'Income Statement'!M25</f>
        <v>5892.5061288167217</v>
      </c>
      <c r="N20" s="36">
        <f>'Income Statement'!N25</f>
        <v>6470.2246104310789</v>
      </c>
      <c r="O20" s="36">
        <f>'Income Statement'!O25</f>
        <v>7128.2145036037937</v>
      </c>
      <c r="P20" s="36">
        <f>'Income Statement'!P25</f>
        <v>7880.1308116215023</v>
      </c>
      <c r="Q20" s="36">
        <f>'Income Statement'!Q25</f>
        <v>8742.3356601828855</v>
      </c>
    </row>
    <row r="21" spans="2:17" x14ac:dyDescent="0.2">
      <c r="B21" s="2" t="s">
        <v>15</v>
      </c>
      <c r="C21" s="45">
        <f>'Income Statement'!C27</f>
        <v>2143.0299999999993</v>
      </c>
      <c r="D21" s="45">
        <f>'Income Statement'!D27</f>
        <v>2388.2500000000005</v>
      </c>
      <c r="E21" s="45">
        <f>'Income Statement'!E27</f>
        <v>2395.1100000000006</v>
      </c>
      <c r="F21" s="45">
        <f>'Income Statement'!F27</f>
        <v>2430.4599999999991</v>
      </c>
      <c r="G21" s="45">
        <f>'Income Statement'!G27</f>
        <v>2943.4700000000003</v>
      </c>
      <c r="H21" s="36">
        <f>'Income Statement'!H27</f>
        <v>3224.7893765409594</v>
      </c>
      <c r="I21" s="36">
        <f>'Income Statement'!I27</f>
        <v>3486.2624531922047</v>
      </c>
      <c r="J21" s="36">
        <f>'Income Statement'!J27</f>
        <v>3779.3380922712913</v>
      </c>
      <c r="K21" s="36">
        <f>'Income Statement'!K27</f>
        <v>4108.7828122870924</v>
      </c>
      <c r="L21" s="36">
        <f>'Income Statement'!L27</f>
        <v>4480.2118250829226</v>
      </c>
      <c r="M21" s="36">
        <f>'Income Statement'!M27</f>
        <v>4900.2615079352909</v>
      </c>
      <c r="N21" s="36">
        <f>'Income Statement'!N27</f>
        <v>5376.8010290306238</v>
      </c>
      <c r="O21" s="36">
        <f>'Income Statement'!O27</f>
        <v>5919.1929097629845</v>
      </c>
      <c r="P21" s="36">
        <f>'Income Statement'!P27</f>
        <v>6538.6149693209318</v>
      </c>
      <c r="Q21" s="36">
        <f>'Income Statement'!Q27</f>
        <v>7248.4595413446204</v>
      </c>
    </row>
    <row r="22" spans="2:17" x14ac:dyDescent="0.2">
      <c r="B22" s="5" t="s">
        <v>281</v>
      </c>
      <c r="C22" s="45"/>
      <c r="D22" s="18">
        <f>D21/C21-1</f>
        <v>0.11442676957392162</v>
      </c>
      <c r="E22" s="18">
        <f>E21/D21-1</f>
        <v>2.8723961059353709E-3</v>
      </c>
      <c r="F22" s="18">
        <f t="shared" ref="F22:Q22" si="8">F21/E21-1</f>
        <v>1.4759238615344783E-2</v>
      </c>
      <c r="G22" s="18">
        <f t="shared" si="8"/>
        <v>0.21107526970203216</v>
      </c>
      <c r="H22" s="221">
        <f>(H21-G21)/G21</f>
        <v>9.5574059372427494E-2</v>
      </c>
      <c r="I22" s="221">
        <f t="shared" si="8"/>
        <v>8.1082218439863407E-2</v>
      </c>
      <c r="J22" s="221">
        <f t="shared" si="8"/>
        <v>8.406585649073306E-2</v>
      </c>
      <c r="K22" s="221">
        <f t="shared" si="8"/>
        <v>8.7169951979028326E-2</v>
      </c>
      <c r="L22" s="221">
        <f t="shared" si="8"/>
        <v>9.0398794427656748E-2</v>
      </c>
      <c r="M22" s="221">
        <f t="shared" si="8"/>
        <v>9.3756656884095735E-2</v>
      </c>
      <c r="N22" s="221">
        <f t="shared" si="8"/>
        <v>9.7247773475689803E-2</v>
      </c>
      <c r="O22" s="221">
        <f t="shared" si="8"/>
        <v>0.10087631619690929</v>
      </c>
      <c r="P22" s="221">
        <f t="shared" si="8"/>
        <v>0.10464637138895849</v>
      </c>
      <c r="Q22" s="221">
        <f t="shared" si="8"/>
        <v>0.10856191645390756</v>
      </c>
    </row>
    <row r="23" spans="2:17" x14ac:dyDescent="0.2">
      <c r="B23" s="2" t="s">
        <v>287</v>
      </c>
      <c r="C23" s="45">
        <f>'Income Statement'!C29</f>
        <v>197.28</v>
      </c>
      <c r="D23" s="45">
        <f>'Income Statement'!D29</f>
        <v>203.85</v>
      </c>
      <c r="E23" s="45">
        <f>'Income Statement'!E29</f>
        <v>209.93</v>
      </c>
      <c r="F23" s="45">
        <f>'Income Statement'!F29</f>
        <v>236.29</v>
      </c>
      <c r="G23" s="45">
        <f>'Income Statement'!G29</f>
        <v>240.96</v>
      </c>
      <c r="H23" s="36">
        <f ca="1">'Income Statement'!H29</f>
        <v>144.85799999999998</v>
      </c>
      <c r="I23" s="36">
        <f ca="1">'Income Statement'!I29</f>
        <v>145.58229</v>
      </c>
      <c r="J23" s="36">
        <f ca="1">'Income Statement'!J29</f>
        <v>146.31020144999999</v>
      </c>
      <c r="K23" s="36">
        <f ca="1">'Income Statement'!K29</f>
        <v>147.04175245724991</v>
      </c>
      <c r="L23" s="36">
        <f ca="1">'Income Statement'!L29</f>
        <v>147.77696121953625</v>
      </c>
      <c r="M23" s="36">
        <f ca="1">'Income Statement'!M29</f>
        <v>148.51584602563389</v>
      </c>
      <c r="N23" s="36">
        <f ca="1">'Income Statement'!N29</f>
        <v>149.25842525576201</v>
      </c>
      <c r="O23" s="36">
        <f ca="1">'Income Statement'!O29</f>
        <v>150.00471738204084</v>
      </c>
      <c r="P23" s="36">
        <f ca="1">'Income Statement'!P29</f>
        <v>150.75474096895098</v>
      </c>
      <c r="Q23" s="36">
        <f ca="1">'Income Statement'!Q29</f>
        <v>151.3985146737958</v>
      </c>
    </row>
    <row r="24" spans="2:17" x14ac:dyDescent="0.2">
      <c r="B24" s="2" t="s">
        <v>16</v>
      </c>
      <c r="C24" s="45">
        <f>'Income Statement'!C31</f>
        <v>1945.7499999999993</v>
      </c>
      <c r="D24" s="45">
        <f>'Income Statement'!D31</f>
        <v>2184.4000000000005</v>
      </c>
      <c r="E24" s="45">
        <f>'Income Statement'!E31</f>
        <v>2185.1800000000007</v>
      </c>
      <c r="F24" s="45">
        <f>'Income Statement'!F31</f>
        <v>2194.1699999999992</v>
      </c>
      <c r="G24" s="45">
        <f>'Income Statement'!G31</f>
        <v>2702.51</v>
      </c>
      <c r="H24" s="36">
        <f ca="1">'Income Statement'!H31</f>
        <v>3079.9313765409593</v>
      </c>
      <c r="I24" s="36">
        <f ca="1">'Income Statement'!I31</f>
        <v>3340.6801631922049</v>
      </c>
      <c r="J24" s="36">
        <f ca="1">'Income Statement'!J31</f>
        <v>3633.0278908212913</v>
      </c>
      <c r="K24" s="36">
        <f ca="1">'Income Statement'!K31</f>
        <v>3961.7410598298425</v>
      </c>
      <c r="L24" s="36">
        <f ca="1">'Income Statement'!L31</f>
        <v>4332.4348638633865</v>
      </c>
      <c r="M24" s="36">
        <f ca="1">'Income Statement'!M31</f>
        <v>4751.7456619096574</v>
      </c>
      <c r="N24" s="36">
        <f ca="1">'Income Statement'!N31</f>
        <v>5227.5426037748621</v>
      </c>
      <c r="O24" s="36">
        <f ca="1">'Income Statement'!O31</f>
        <v>5769.1881923809433</v>
      </c>
      <c r="P24" s="36">
        <f ca="1">'Income Statement'!P31</f>
        <v>6387.8602283519804</v>
      </c>
      <c r="Q24" s="36">
        <f ca="1">'Income Statement'!Q31</f>
        <v>7097.0610266708245</v>
      </c>
    </row>
    <row r="25" spans="2:17" x14ac:dyDescent="0.2">
      <c r="B25" s="5" t="s">
        <v>281</v>
      </c>
      <c r="C25" s="5"/>
      <c r="D25" s="18">
        <f>D24/C24-1</f>
        <v>0.12265193370165806</v>
      </c>
      <c r="E25" s="18">
        <f>E24/D24-1</f>
        <v>3.5707745834101523E-4</v>
      </c>
      <c r="F25" s="18">
        <f t="shared" ref="F25:Q25" si="9">F24/E24-1</f>
        <v>4.1140775588273115E-3</v>
      </c>
      <c r="G25" s="18">
        <f t="shared" si="9"/>
        <v>0.23167758195581989</v>
      </c>
      <c r="H25" s="221">
        <f ca="1">(H24/G24-1)</f>
        <v>0.13965586678345643</v>
      </c>
      <c r="I25" s="221">
        <f t="shared" ca="1" si="9"/>
        <v>8.4660583231594533E-2</v>
      </c>
      <c r="J25" s="221">
        <f t="shared" ca="1" si="9"/>
        <v>8.7511438793270058E-2</v>
      </c>
      <c r="K25" s="221">
        <f t="shared" ca="1" si="9"/>
        <v>9.0479120691320025E-2</v>
      </c>
      <c r="L25" s="221">
        <f t="shared" ca="1" si="9"/>
        <v>9.3568408039637285E-2</v>
      </c>
      <c r="M25" s="221">
        <f t="shared" ca="1" si="9"/>
        <v>9.6784097446847017E-2</v>
      </c>
      <c r="N25" s="221">
        <f t="shared" ca="1" si="9"/>
        <v>0.10013097832218332</v>
      </c>
      <c r="O25" s="221">
        <f t="shared" ca="1" si="9"/>
        <v>0.10361380665074904</v>
      </c>
      <c r="P25" s="221">
        <f t="shared" ca="1" si="9"/>
        <v>0.10723727764472724</v>
      </c>
      <c r="Q25" s="221">
        <f t="shared" ca="1" si="9"/>
        <v>0.1110232179425461</v>
      </c>
    </row>
    <row r="26" spans="2:17" x14ac:dyDescent="0.2">
      <c r="B26" s="2" t="s">
        <v>288</v>
      </c>
      <c r="C26" s="45">
        <f>'Income Statement'!C35</f>
        <v>217.41</v>
      </c>
      <c r="D26" s="45">
        <f>'Income Statement'!D35</f>
        <v>126.63</v>
      </c>
      <c r="E26" s="45">
        <f>'Income Statement'!E35</f>
        <v>110.16</v>
      </c>
      <c r="F26" s="45">
        <f>'Income Statement'!F35</f>
        <v>175.74</v>
      </c>
      <c r="G26" s="45">
        <f>'Income Statement'!G35</f>
        <v>296.37</v>
      </c>
      <c r="H26" s="36">
        <f>'Income Statement'!H35</f>
        <v>201.07483958165233</v>
      </c>
      <c r="I26" s="36">
        <f>'Income Statement'!I35</f>
        <v>219.30823617296411</v>
      </c>
      <c r="J26" s="36">
        <f>'Income Statement'!J35</f>
        <v>232.09668740884771</v>
      </c>
      <c r="K26" s="36">
        <f>'Income Statement'!K35</f>
        <v>245.86156325250678</v>
      </c>
      <c r="L26" s="36">
        <f>'Income Statement'!L35</f>
        <v>260.70963870286175</v>
      </c>
      <c r="M26" s="36">
        <f>'Income Statement'!M35</f>
        <v>275.62307922755554</v>
      </c>
      <c r="N26" s="36">
        <f>'Income Statement'!N35</f>
        <v>291.69504099868135</v>
      </c>
      <c r="O26" s="36">
        <f>'Income Statement'!O35</f>
        <v>309.05492473768618</v>
      </c>
      <c r="P26" s="36">
        <f>'Income Statement'!P35</f>
        <v>327.85258971497183</v>
      </c>
      <c r="Q26" s="36">
        <f>'Income Statement'!Q35</f>
        <v>357.50554663418245</v>
      </c>
    </row>
    <row r="27" spans="2:17" x14ac:dyDescent="0.2">
      <c r="B27" s="2" t="s">
        <v>289</v>
      </c>
      <c r="C27" s="45">
        <f>'Income Statement'!C33</f>
        <v>112.3</v>
      </c>
      <c r="D27" s="45">
        <f>'Income Statement'!D33</f>
        <v>67.069999999999993</v>
      </c>
      <c r="E27" s="45">
        <f>'Income Statement'!E33</f>
        <v>89.71</v>
      </c>
      <c r="F27" s="45">
        <f>'Income Statement'!F33</f>
        <v>168.41</v>
      </c>
      <c r="G27" s="45">
        <f>'Income Statement'!G33</f>
        <v>268.95</v>
      </c>
      <c r="H27" s="36">
        <f>'Income Statement'!H33</f>
        <v>290.12044632189799</v>
      </c>
      <c r="I27" s="36">
        <f>'Income Statement'!I33</f>
        <v>313.8253235107959</v>
      </c>
      <c r="J27" s="36">
        <f>'Income Statement'!J33</f>
        <v>340.41591952775758</v>
      </c>
      <c r="K27" s="36">
        <f>'Income Statement'!K33</f>
        <v>370.32894860624111</v>
      </c>
      <c r="L27" s="36">
        <f>'Income Statement'!L33</f>
        <v>404.07897664586994</v>
      </c>
      <c r="M27" s="36">
        <f>'Income Statement'!M33</f>
        <v>442.27424787145782</v>
      </c>
      <c r="N27" s="36">
        <f>'Income Statement'!N33</f>
        <v>485.63610466917652</v>
      </c>
      <c r="O27" s="36">
        <f>'Income Statement'!O33</f>
        <v>535.02289846253689</v>
      </c>
      <c r="P27" s="36">
        <f>'Income Statement'!P33</f>
        <v>591.45953379576065</v>
      </c>
      <c r="Q27" s="36">
        <f>'Income Statement'!Q33</f>
        <v>656.17410389077475</v>
      </c>
    </row>
    <row r="28" spans="2:17" x14ac:dyDescent="0.2">
      <c r="B28" s="2" t="s">
        <v>290</v>
      </c>
      <c r="C28" s="45">
        <f>'Income Statement'!C43</f>
        <v>1760.3999999999992</v>
      </c>
      <c r="D28" s="45">
        <f>'Income Statement'!D43</f>
        <v>2080.3600000000006</v>
      </c>
      <c r="E28" s="45">
        <f>'Income Statement'!E43</f>
        <v>2155.2600000000011</v>
      </c>
      <c r="F28" s="45">
        <f>'Income Statement'!F43</f>
        <v>2132.7299999999991</v>
      </c>
      <c r="G28" s="45">
        <f>'Income Statement'!G43</f>
        <v>198.23000000000002</v>
      </c>
      <c r="H28" s="36">
        <f ca="1">'Income Statement'!H43</f>
        <v>2584.2191939096047</v>
      </c>
      <c r="I28" s="36">
        <f ca="1">'Income Statement'!I43</f>
        <v>2802.6606446081369</v>
      </c>
      <c r="J28" s="36">
        <f ca="1">'Income Statement'!J43</f>
        <v>3055.2153349410623</v>
      </c>
      <c r="K28" s="36">
        <f ca="1">'Income Statement'!K43</f>
        <v>3339.7848818921352</v>
      </c>
      <c r="L28" s="36">
        <f ca="1">'Income Statement'!L43</f>
        <v>3661.3551269114537</v>
      </c>
      <c r="M28" s="36">
        <f ca="1">'Income Statement'!M43</f>
        <v>4026.9625495158498</v>
      </c>
      <c r="N28" s="36">
        <f ca="1">'Income Statement'!N43</f>
        <v>4442.6505703450648</v>
      </c>
      <c r="O28" s="36">
        <f ca="1">'Income Statement'!O43</f>
        <v>4916.780576468751</v>
      </c>
      <c r="P28" s="36">
        <f ca="1">'Income Statement'!P43</f>
        <v>5459.3396479168905</v>
      </c>
      <c r="Q28" s="36">
        <f ca="1">'Income Statement'!Q43</f>
        <v>6073.1653755147172</v>
      </c>
    </row>
    <row r="29" spans="2:17" s="224" customFormat="1" x14ac:dyDescent="0.2">
      <c r="B29" s="5" t="s">
        <v>281</v>
      </c>
      <c r="C29" s="204"/>
      <c r="D29" s="18">
        <f>D28/C28-1</f>
        <v>0.18175414678482249</v>
      </c>
      <c r="E29" s="18">
        <f>E28/D28-1</f>
        <v>3.6003384029687391E-2</v>
      </c>
      <c r="F29" s="18">
        <f t="shared" ref="F29:Q29" si="10">F28/E28-1</f>
        <v>-1.0453495169957194E-2</v>
      </c>
      <c r="G29" s="18">
        <f t="shared" si="10"/>
        <v>-0.90705340103998155</v>
      </c>
      <c r="H29" s="221">
        <f ca="1">(H28/G28-1)</f>
        <v>12.036468717699664</v>
      </c>
      <c r="I29" s="221">
        <f t="shared" ca="1" si="10"/>
        <v>8.4528994759170306E-2</v>
      </c>
      <c r="J29" s="221">
        <f t="shared" ca="1" si="10"/>
        <v>9.0112476092601312E-2</v>
      </c>
      <c r="K29" s="221">
        <f t="shared" ca="1" si="10"/>
        <v>9.3142222643551431E-2</v>
      </c>
      <c r="L29" s="221">
        <f t="shared" ca="1" si="10"/>
        <v>9.6284717845999346E-2</v>
      </c>
      <c r="M29" s="221">
        <f t="shared" ca="1" si="10"/>
        <v>9.9855766493977205E-2</v>
      </c>
      <c r="N29" s="221">
        <f t="shared" ca="1" si="10"/>
        <v>0.10322619485974416</v>
      </c>
      <c r="O29" s="221">
        <f t="shared" ca="1" si="10"/>
        <v>0.10672232682185934</v>
      </c>
      <c r="P29" s="221">
        <f t="shared" ca="1" si="10"/>
        <v>0.11034844101947039</v>
      </c>
      <c r="Q29" s="221">
        <f t="shared" ca="1" si="10"/>
        <v>0.11243589283404321</v>
      </c>
    </row>
    <row r="30" spans="2:17" x14ac:dyDescent="0.2">
      <c r="B30" s="2" t="s">
        <v>291</v>
      </c>
      <c r="C30" s="45">
        <f>'Income Statement'!C45</f>
        <v>263.82000000000005</v>
      </c>
      <c r="D30" s="45">
        <f>'Income Statement'!D45</f>
        <v>359.53999999999996</v>
      </c>
      <c r="E30" s="45">
        <f>'Income Statement'!E45</f>
        <v>371.87</v>
      </c>
      <c r="F30" s="45">
        <f>'Income Statement'!F45</f>
        <v>430.27</v>
      </c>
      <c r="G30" s="45">
        <f>'Income Statement'!G45</f>
        <v>758.78</v>
      </c>
      <c r="H30" s="36">
        <f ca="1">'Income Statement'!H45</f>
        <v>547.19838450143914</v>
      </c>
      <c r="I30" s="36">
        <f ca="1">'Income Statement'!I45</f>
        <v>593.4525138771877</v>
      </c>
      <c r="J30" s="36">
        <f ca="1">'Income Statement'!J45</f>
        <v>677.48214269545065</v>
      </c>
      <c r="K30" s="36">
        <f ca="1">'Income Statement'!K45</f>
        <v>740.58433526742056</v>
      </c>
      <c r="L30" s="36">
        <f ca="1">'Income Statement'!L45</f>
        <v>848.50484029892573</v>
      </c>
      <c r="M30" s="36">
        <f ca="1">'Income Statement'!M45</f>
        <v>933.23294150082461</v>
      </c>
      <c r="N30" s="36">
        <f ca="1">'Income Statement'!N45</f>
        <v>1073.9935326731716</v>
      </c>
      <c r="O30" s="36">
        <f ca="1">'Income Statement'!O45</f>
        <v>1188.6126214716812</v>
      </c>
      <c r="P30" s="36">
        <f ca="1">'Income Statement'!P45</f>
        <v>1374.3675677063161</v>
      </c>
      <c r="Q30" s="36">
        <f ca="1">'Income Statement'!Q45</f>
        <v>1528.8958122635279</v>
      </c>
    </row>
    <row r="31" spans="2:17" x14ac:dyDescent="0.2">
      <c r="B31" s="2" t="s">
        <v>292</v>
      </c>
      <c r="C31" s="45">
        <f>'Income Statement'!C47</f>
        <v>1496.579999999999</v>
      </c>
      <c r="D31" s="45">
        <f>'Income Statement'!D47</f>
        <v>1720.8200000000006</v>
      </c>
      <c r="E31" s="45">
        <f>'Income Statement'!E47</f>
        <v>1783.3900000000012</v>
      </c>
      <c r="F31" s="45">
        <f>'Income Statement'!F47</f>
        <v>1702.4599999999991</v>
      </c>
      <c r="G31" s="45">
        <f>'Income Statement'!G47</f>
        <v>-560.54999999999995</v>
      </c>
      <c r="H31" s="36">
        <f ca="1">'Income Statement'!H47</f>
        <v>2037.0208094081654</v>
      </c>
      <c r="I31" s="36">
        <f ca="1">'Income Statement'!I47</f>
        <v>2209.2081307309491</v>
      </c>
      <c r="J31" s="36">
        <f ca="1">'Income Statement'!J47</f>
        <v>2377.7331922456115</v>
      </c>
      <c r="K31" s="36">
        <f ca="1">'Income Statement'!K47</f>
        <v>2599.2005466247147</v>
      </c>
      <c r="L31" s="36">
        <f ca="1">'Income Statement'!L47</f>
        <v>2812.8502866125282</v>
      </c>
      <c r="M31" s="36">
        <f ca="1">'Income Statement'!M47</f>
        <v>3093.7296080150254</v>
      </c>
      <c r="N31" s="36">
        <f ca="1">'Income Statement'!N47</f>
        <v>3368.6570376718932</v>
      </c>
      <c r="O31" s="36">
        <f ca="1">'Income Statement'!O47</f>
        <v>3728.1679549970695</v>
      </c>
      <c r="P31" s="36">
        <f ca="1">'Income Statement'!P47</f>
        <v>4084.9720802105744</v>
      </c>
      <c r="Q31" s="36">
        <f ca="1">'Income Statement'!Q47</f>
        <v>4544.2695632511895</v>
      </c>
    </row>
    <row r="32" spans="2:17" x14ac:dyDescent="0.2">
      <c r="B32" s="5" t="s">
        <v>281</v>
      </c>
      <c r="C32" s="5"/>
      <c r="D32" s="18">
        <f>D31/C31-1</f>
        <v>0.14983495703537519</v>
      </c>
      <c r="E32" s="18">
        <f>E31/D31-1</f>
        <v>3.6360572285306203E-2</v>
      </c>
      <c r="F32" s="18">
        <f t="shared" ref="F32:Q32" si="11">F31/E31-1</f>
        <v>-4.5379866434151817E-2</v>
      </c>
      <c r="G32" s="18">
        <f t="shared" si="11"/>
        <v>-1.3292588372120344</v>
      </c>
      <c r="H32" s="221">
        <f ca="1">(H31/G31-1)</f>
        <v>-4.6339680838607897</v>
      </c>
      <c r="I32" s="221">
        <f t="shared" ca="1" si="11"/>
        <v>8.4528994759170306E-2</v>
      </c>
      <c r="J32" s="221">
        <f t="shared" ca="1" si="11"/>
        <v>7.6283017055031044E-2</v>
      </c>
      <c r="K32" s="221">
        <f t="shared" ca="1" si="11"/>
        <v>9.3142222643551431E-2</v>
      </c>
      <c r="L32" s="221">
        <f t="shared" ca="1" si="11"/>
        <v>8.2198251406670364E-2</v>
      </c>
      <c r="M32" s="221">
        <f t="shared" ca="1" si="11"/>
        <v>9.9855766493977205E-2</v>
      </c>
      <c r="N32" s="221">
        <f t="shared" ca="1" si="11"/>
        <v>8.886601755518786E-2</v>
      </c>
      <c r="O32" s="221">
        <f t="shared" ca="1" si="11"/>
        <v>0.10672232682185934</v>
      </c>
      <c r="P32" s="221">
        <f t="shared" ca="1" si="11"/>
        <v>9.5704949326454125E-2</v>
      </c>
      <c r="Q32" s="221">
        <f t="shared" ca="1" si="11"/>
        <v>0.11243589283404321</v>
      </c>
    </row>
    <row r="33" spans="2:17" x14ac:dyDescent="0.2">
      <c r="B33" s="5" t="s">
        <v>293</v>
      </c>
      <c r="C33" s="18">
        <f>C31/C11</f>
        <v>0.1510049642813899</v>
      </c>
      <c r="D33" s="18">
        <f t="shared" ref="D33" si="12">D31/D11</f>
        <v>0.15603221436589532</v>
      </c>
      <c r="E33" s="18">
        <f t="shared" ref="E33:Q33" si="13">E31/E11</f>
        <v>0.14526860261475186</v>
      </c>
      <c r="F33" s="18">
        <f t="shared" si="13"/>
        <v>0.12785099395688029</v>
      </c>
      <c r="G33" s="18">
        <f t="shared" si="13"/>
        <v>-3.9766290132525917E-2</v>
      </c>
      <c r="H33" s="221">
        <f t="shared" ca="1" si="13"/>
        <v>0.13395417884397365</v>
      </c>
      <c r="I33" s="221">
        <f t="shared" ca="1" si="13"/>
        <v>0.13430364063731054</v>
      </c>
      <c r="J33" s="221">
        <f t="shared" ca="1" si="13"/>
        <v>0.13325772557380797</v>
      </c>
      <c r="K33" s="221">
        <f t="shared" ca="1" si="13"/>
        <v>0.13390329539538917</v>
      </c>
      <c r="L33" s="221">
        <f t="shared" ca="1" si="13"/>
        <v>0.13280655145396475</v>
      </c>
      <c r="M33" s="221">
        <f t="shared" ca="1" si="13"/>
        <v>0.13345346022867341</v>
      </c>
      <c r="N33" s="221">
        <f t="shared" ca="1" si="13"/>
        <v>0.13233812239142184</v>
      </c>
      <c r="O33" s="221">
        <f t="shared" ca="1" si="13"/>
        <v>0.13294200889765598</v>
      </c>
      <c r="P33" s="221">
        <f t="shared" ca="1" si="13"/>
        <v>0.13176594883835333</v>
      </c>
      <c r="Q33" s="221">
        <f t="shared" ca="1" si="13"/>
        <v>0.1321247371909422</v>
      </c>
    </row>
    <row r="34" spans="2:17" x14ac:dyDescent="0.2">
      <c r="B34" s="2" t="s">
        <v>294</v>
      </c>
      <c r="C34" s="45">
        <f>'Income Statement'!C49</f>
        <v>14.639833307217804</v>
      </c>
      <c r="D34" s="45">
        <f>'Income Statement'!D49</f>
        <v>16.830594932101132</v>
      </c>
      <c r="E34" s="45">
        <f>'Income Statement'!E49</f>
        <v>17.440698970804355</v>
      </c>
      <c r="F34" s="45">
        <f>'Income Statement'!F49</f>
        <v>16.647759908303794</v>
      </c>
      <c r="G34" s="45">
        <f>'Income Statement'!G49</f>
        <v>-5.4807276774310196</v>
      </c>
      <c r="H34" s="36">
        <f ca="1">'Income Statement'!H49</f>
        <v>14.359896979106239</v>
      </c>
      <c r="I34" s="36">
        <f ca="1">'Income Statement'!I49</f>
        <v>15.573724635595335</v>
      </c>
      <c r="J34" s="36">
        <f ca="1">'Income Statement'!J49</f>
        <v>16.761735337582813</v>
      </c>
      <c r="K34" s="36">
        <f ca="1">'Income Statement'!K49</f>
        <v>18.322960622288235</v>
      </c>
      <c r="L34" s="36">
        <f ca="1">'Income Statement'!L49</f>
        <v>19.829075946033605</v>
      </c>
      <c r="M34" s="36">
        <f ca="1">'Income Statement'!M49</f>
        <v>21.809123523492076</v>
      </c>
      <c r="N34" s="36">
        <f ca="1">'Income Statement'!N49</f>
        <v>23.747213477393988</v>
      </c>
      <c r="O34" s="36">
        <f ca="1">'Income Statement'!O49</f>
        <v>26.281571355236888</v>
      </c>
      <c r="P34" s="36">
        <f ca="1">'Income Statement'!P49</f>
        <v>28.796847810009428</v>
      </c>
      <c r="Q34" s="36">
        <f ca="1">'Income Statement'!Q49</f>
        <v>32.034647104333899</v>
      </c>
    </row>
  </sheetData>
  <mergeCells count="3">
    <mergeCell ref="P6:Q6"/>
    <mergeCell ref="B7:Q7"/>
    <mergeCell ref="B8:B9"/>
  </mergeCells>
  <pageMargins left="0.7" right="0.7" top="0.75" bottom="0.75" header="0.3" footer="0.3"/>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rgb="FF92D050"/>
  </sheetPr>
  <dimension ref="A1"/>
  <sheetViews>
    <sheetView showGridLines="0" zoomScale="67" zoomScaleNormal="100" workbookViewId="0">
      <selection activeCell="X27" sqref="X27"/>
    </sheetView>
  </sheetViews>
  <sheetFormatPr baseColWidth="10" defaultColWidth="8.83203125" defaultRowHeight="15" x14ac:dyDescent="0.2"/>
  <sheetData/>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tabColor rgb="FF92D050"/>
  </sheetPr>
  <dimension ref="B6:H261"/>
  <sheetViews>
    <sheetView showGridLines="0" zoomScaleNormal="100" workbookViewId="0">
      <selection activeCell="C7" sqref="C7"/>
    </sheetView>
  </sheetViews>
  <sheetFormatPr baseColWidth="10" defaultColWidth="8.83203125" defaultRowHeight="14" x14ac:dyDescent="0.15"/>
  <cols>
    <col min="1" max="1" width="7.5" style="2" customWidth="1"/>
    <col min="2" max="2" width="15.33203125" style="2" bestFit="1" customWidth="1"/>
    <col min="3" max="3" width="14.1640625" style="2" bestFit="1" customWidth="1"/>
    <col min="4" max="4" width="16.1640625" style="2" bestFit="1" customWidth="1"/>
    <col min="5" max="5" width="12.33203125" style="2" bestFit="1" customWidth="1"/>
    <col min="6" max="6" width="12" style="2" bestFit="1" customWidth="1"/>
    <col min="7" max="16384" width="8.83203125" style="2"/>
  </cols>
  <sheetData>
    <row r="6" spans="2:6" x14ac:dyDescent="0.15">
      <c r="B6" s="97"/>
      <c r="C6" s="97"/>
    </row>
    <row r="7" spans="2:6" s="4" customFormat="1" ht="15" thickBot="1" x14ac:dyDescent="0.2">
      <c r="B7" s="300" t="s">
        <v>119</v>
      </c>
      <c r="C7" s="301" t="s">
        <v>374</v>
      </c>
      <c r="D7" s="301" t="s">
        <v>120</v>
      </c>
      <c r="E7" s="301" t="s">
        <v>121</v>
      </c>
      <c r="F7" s="301" t="s">
        <v>120</v>
      </c>
    </row>
    <row r="8" spans="2:6" ht="15" thickBot="1" x14ac:dyDescent="0.2">
      <c r="B8" s="313">
        <v>45834</v>
      </c>
      <c r="C8" s="321">
        <v>1183.6500000000001</v>
      </c>
      <c r="D8" s="209">
        <v>-6.2940903138597459E-3</v>
      </c>
      <c r="E8" s="321">
        <v>25549</v>
      </c>
      <c r="F8" s="209">
        <v>3.4756741946846414E-3</v>
      </c>
    </row>
    <row r="9" spans="2:6" ht="15" thickBot="1" x14ac:dyDescent="0.2">
      <c r="B9" s="313">
        <v>45833</v>
      </c>
      <c r="C9" s="321">
        <v>1185.05</v>
      </c>
      <c r="D9" s="210">
        <v>-1.1813847516981557E-3</v>
      </c>
      <c r="E9" s="321">
        <v>25244.75</v>
      </c>
      <c r="F9" s="209">
        <v>1.2052010814129765E-2</v>
      </c>
    </row>
    <row r="10" spans="2:6" ht="15" thickBot="1" x14ac:dyDescent="0.2">
      <c r="B10" s="313">
        <v>45832</v>
      </c>
      <c r="C10" s="321">
        <v>1175.7</v>
      </c>
      <c r="D10" s="209">
        <v>7.95270902441092E-3</v>
      </c>
      <c r="E10" s="321">
        <v>25044.35</v>
      </c>
      <c r="F10" s="209">
        <v>8.001804798287937E-3</v>
      </c>
    </row>
    <row r="11" spans="2:6" ht="15" thickBot="1" x14ac:dyDescent="0.2">
      <c r="B11" s="313">
        <v>45831</v>
      </c>
      <c r="C11" s="321">
        <v>1170.75</v>
      </c>
      <c r="D11" s="210">
        <v>4.2280589365790711E-3</v>
      </c>
      <c r="E11" s="321">
        <v>24971.9</v>
      </c>
      <c r="F11" s="209">
        <v>2.9012610173835274E-3</v>
      </c>
    </row>
    <row r="12" spans="2:6" ht="15" thickBot="1" x14ac:dyDescent="0.2">
      <c r="B12" s="313">
        <v>45828</v>
      </c>
      <c r="C12" s="321">
        <v>1188.9000000000001</v>
      </c>
      <c r="D12" s="210">
        <v>-1.526621246530413E-2</v>
      </c>
      <c r="E12" s="321">
        <v>25112.400000000001</v>
      </c>
      <c r="F12" s="210">
        <v>-5.594845574297902E-3</v>
      </c>
    </row>
    <row r="13" spans="2:6" ht="15" thickBot="1" x14ac:dyDescent="0.2">
      <c r="B13" s="313">
        <v>45827</v>
      </c>
      <c r="C13" s="321">
        <v>1193.7</v>
      </c>
      <c r="D13" s="209">
        <v>-4.0211108318672917E-3</v>
      </c>
      <c r="E13" s="321">
        <v>24793.25</v>
      </c>
      <c r="F13" s="209">
        <v>1.2872455204541611E-2</v>
      </c>
    </row>
    <row r="14" spans="2:6" ht="15" thickBot="1" x14ac:dyDescent="0.2">
      <c r="B14" s="313">
        <v>45826</v>
      </c>
      <c r="C14" s="321">
        <v>1196.25</v>
      </c>
      <c r="D14" s="209">
        <v>-2.1316614420062718E-3</v>
      </c>
      <c r="E14" s="321">
        <v>24812.05</v>
      </c>
      <c r="F14" s="209">
        <v>-7.5769636124378703E-4</v>
      </c>
    </row>
    <row r="15" spans="2:6" ht="15" thickBot="1" x14ac:dyDescent="0.2">
      <c r="B15" s="313">
        <v>45825</v>
      </c>
      <c r="C15" s="321">
        <v>1196.45</v>
      </c>
      <c r="D15" s="209">
        <v>-1.6716118517279277E-4</v>
      </c>
      <c r="E15" s="321">
        <v>24853.4</v>
      </c>
      <c r="F15" s="209">
        <v>-1.6637562667483063E-3</v>
      </c>
    </row>
    <row r="16" spans="2:6" ht="15" thickBot="1" x14ac:dyDescent="0.2">
      <c r="B16" s="313">
        <v>45824</v>
      </c>
      <c r="C16" s="321">
        <v>1188.2</v>
      </c>
      <c r="D16" s="210">
        <v>6.9432755428378012E-3</v>
      </c>
      <c r="E16" s="321">
        <v>24946.5</v>
      </c>
      <c r="F16" s="210">
        <v>-3.7319864510051426E-3</v>
      </c>
    </row>
    <row r="17" spans="2:6" ht="15" thickBot="1" x14ac:dyDescent="0.2">
      <c r="B17" s="313">
        <v>45821</v>
      </c>
      <c r="C17" s="321">
        <v>1188.75</v>
      </c>
      <c r="D17" s="209">
        <v>-4.6267087276552488E-4</v>
      </c>
      <c r="E17" s="321">
        <v>24718.6</v>
      </c>
      <c r="F17" s="209">
        <v>9.2197778191323021E-3</v>
      </c>
    </row>
    <row r="18" spans="2:6" ht="15" thickBot="1" x14ac:dyDescent="0.2">
      <c r="B18" s="313">
        <v>45820</v>
      </c>
      <c r="C18" s="321">
        <v>1203.55</v>
      </c>
      <c r="D18" s="209">
        <v>-1.2296954841925944E-2</v>
      </c>
      <c r="E18" s="321">
        <v>24888.2</v>
      </c>
      <c r="F18" s="210">
        <v>-6.8144743292002374E-3</v>
      </c>
    </row>
    <row r="19" spans="2:6" ht="15" thickBot="1" x14ac:dyDescent="0.2">
      <c r="B19" s="313">
        <v>45819</v>
      </c>
      <c r="C19" s="321">
        <v>1223.0999999999999</v>
      </c>
      <c r="D19" s="209">
        <v>-1.5983975145123064E-2</v>
      </c>
      <c r="E19" s="321">
        <v>25141.4</v>
      </c>
      <c r="F19" s="209">
        <v>-1.0071038207896121E-2</v>
      </c>
    </row>
    <row r="20" spans="2:6" ht="15" thickBot="1" x14ac:dyDescent="0.2">
      <c r="B20" s="313">
        <v>45818</v>
      </c>
      <c r="C20" s="321">
        <v>1213.0999999999999</v>
      </c>
      <c r="D20" s="210">
        <v>8.2433435001236788E-3</v>
      </c>
      <c r="E20" s="321">
        <v>25104.25</v>
      </c>
      <c r="F20" s="210">
        <v>1.4798291126005836E-3</v>
      </c>
    </row>
    <row r="21" spans="2:6" ht="15" thickBot="1" x14ac:dyDescent="0.2">
      <c r="B21" s="313">
        <v>45817</v>
      </c>
      <c r="C21" s="321">
        <v>1218</v>
      </c>
      <c r="D21" s="209">
        <v>-4.022988505747227E-3</v>
      </c>
      <c r="E21" s="321">
        <v>25103.200000000001</v>
      </c>
      <c r="F21" s="209">
        <v>4.1827336753952338E-5</v>
      </c>
    </row>
    <row r="22" spans="2:6" ht="15" thickBot="1" x14ac:dyDescent="0.2">
      <c r="B22" s="313">
        <v>45814</v>
      </c>
      <c r="C22" s="321">
        <v>1210.45</v>
      </c>
      <c r="D22" s="210">
        <v>6.2373497459622396E-3</v>
      </c>
      <c r="E22" s="321">
        <v>25003.05</v>
      </c>
      <c r="F22" s="210">
        <v>4.0055113276180609E-3</v>
      </c>
    </row>
    <row r="23" spans="2:6" ht="15" thickBot="1" x14ac:dyDescent="0.2">
      <c r="B23" s="313">
        <v>45813</v>
      </c>
      <c r="C23" s="321">
        <v>1215.05</v>
      </c>
      <c r="D23" s="210">
        <v>-3.7858524340561583E-3</v>
      </c>
      <c r="E23" s="321">
        <v>24750.9</v>
      </c>
      <c r="F23" s="209">
        <v>1.0187508333030282E-2</v>
      </c>
    </row>
    <row r="24" spans="2:6" ht="15" thickBot="1" x14ac:dyDescent="0.2">
      <c r="B24" s="313">
        <v>45812</v>
      </c>
      <c r="C24" s="321">
        <v>1226.6500000000001</v>
      </c>
      <c r="D24" s="209">
        <v>-9.4566502262259933E-3</v>
      </c>
      <c r="E24" s="321">
        <v>24620.2</v>
      </c>
      <c r="F24" s="209">
        <v>5.3086489955402882E-3</v>
      </c>
    </row>
    <row r="25" spans="2:6" ht="15" thickBot="1" x14ac:dyDescent="0.2">
      <c r="B25" s="313">
        <v>45811</v>
      </c>
      <c r="C25" s="321">
        <v>1238.5999999999999</v>
      </c>
      <c r="D25" s="210">
        <v>-9.6479896657515329E-3</v>
      </c>
      <c r="E25" s="321">
        <v>24542.5</v>
      </c>
      <c r="F25" s="210">
        <v>3.1659366405216716E-3</v>
      </c>
    </row>
    <row r="26" spans="2:6" ht="15" thickBot="1" x14ac:dyDescent="0.2">
      <c r="B26" s="313">
        <v>45810</v>
      </c>
      <c r="C26" s="321">
        <v>1265.5999999999999</v>
      </c>
      <c r="D26" s="210">
        <v>-2.1333754740834432E-2</v>
      </c>
      <c r="E26" s="321">
        <v>24716.6</v>
      </c>
      <c r="F26" s="209">
        <v>-7.0438490730925229E-3</v>
      </c>
    </row>
    <row r="27" spans="2:6" ht="15" thickBot="1" x14ac:dyDescent="0.2">
      <c r="B27" s="313">
        <v>45807</v>
      </c>
      <c r="C27" s="321">
        <v>1231.5</v>
      </c>
      <c r="D27" s="209">
        <v>2.7689809175801772E-2</v>
      </c>
      <c r="E27" s="321">
        <v>24750.7</v>
      </c>
      <c r="F27" s="209">
        <v>-1.3777388114276645E-3</v>
      </c>
    </row>
    <row r="28" spans="2:6" ht="15" thickBot="1" x14ac:dyDescent="0.2">
      <c r="B28" s="313">
        <v>45806</v>
      </c>
      <c r="C28" s="321">
        <v>1245.8</v>
      </c>
      <c r="D28" s="209">
        <v>-1.1478567988441157E-2</v>
      </c>
      <c r="E28" s="321">
        <v>24833.599999999999</v>
      </c>
      <c r="F28" s="209">
        <v>-3.3382191869080202E-3</v>
      </c>
    </row>
    <row r="29" spans="2:6" ht="15" thickBot="1" x14ac:dyDescent="0.2">
      <c r="B29" s="313">
        <v>45805</v>
      </c>
      <c r="C29" s="321">
        <v>1255.45</v>
      </c>
      <c r="D29" s="209">
        <v>-7.6864869170417682E-3</v>
      </c>
      <c r="E29" s="321">
        <v>24752.45</v>
      </c>
      <c r="F29" s="209">
        <v>3.2784633440325894E-3</v>
      </c>
    </row>
    <row r="30" spans="2:6" ht="15" thickBot="1" x14ac:dyDescent="0.2">
      <c r="B30" s="313">
        <v>45804</v>
      </c>
      <c r="C30" s="321">
        <v>1271.2</v>
      </c>
      <c r="D30" s="210">
        <v>-1.2389867841409719E-2</v>
      </c>
      <c r="E30" s="321">
        <v>24826.2</v>
      </c>
      <c r="F30" s="210">
        <v>-2.9706519725128944E-3</v>
      </c>
    </row>
    <row r="31" spans="2:6" ht="15" thickBot="1" x14ac:dyDescent="0.2">
      <c r="B31" s="313">
        <v>45803</v>
      </c>
      <c r="C31" s="321">
        <v>1284.7</v>
      </c>
      <c r="D31" s="210">
        <v>-1.0508289873122134E-2</v>
      </c>
      <c r="E31" s="321">
        <v>25001.15</v>
      </c>
      <c r="F31" s="209">
        <v>-6.9976781068070704E-3</v>
      </c>
    </row>
    <row r="32" spans="2:6" ht="15" thickBot="1" x14ac:dyDescent="0.2">
      <c r="B32" s="313">
        <v>45800</v>
      </c>
      <c r="C32" s="321">
        <v>1277.3</v>
      </c>
      <c r="D32" s="209">
        <v>5.793470602051265E-3</v>
      </c>
      <c r="E32" s="321">
        <v>24853.15</v>
      </c>
      <c r="F32" s="210">
        <v>5.954979549875894E-3</v>
      </c>
    </row>
    <row r="33" spans="2:6" ht="15" thickBot="1" x14ac:dyDescent="0.2">
      <c r="B33" s="313">
        <v>45799</v>
      </c>
      <c r="C33" s="321">
        <v>1265.2</v>
      </c>
      <c r="D33" s="209">
        <v>9.5637053430286389E-3</v>
      </c>
      <c r="E33" s="321">
        <v>24609.7</v>
      </c>
      <c r="F33" s="210">
        <v>9.8924407855438545E-3</v>
      </c>
    </row>
    <row r="34" spans="2:6" ht="15" thickBot="1" x14ac:dyDescent="0.2">
      <c r="B34" s="313">
        <v>45798</v>
      </c>
      <c r="C34" s="321">
        <v>1279.8499999999999</v>
      </c>
      <c r="D34" s="209">
        <v>-1.1446653904754411E-2</v>
      </c>
      <c r="E34" s="321">
        <v>24813.45</v>
      </c>
      <c r="F34" s="209">
        <v>-8.2112725155107924E-3</v>
      </c>
    </row>
    <row r="35" spans="2:6" ht="15" thickBot="1" x14ac:dyDescent="0.2">
      <c r="B35" s="313">
        <v>45797</v>
      </c>
      <c r="C35" s="321">
        <v>1261.5</v>
      </c>
      <c r="D35" s="209">
        <v>1.454617518826784E-2</v>
      </c>
      <c r="E35" s="321">
        <v>24683.9</v>
      </c>
      <c r="F35" s="210">
        <v>5.2483602672186436E-3</v>
      </c>
    </row>
    <row r="36" spans="2:6" ht="15" thickBot="1" x14ac:dyDescent="0.2">
      <c r="B36" s="313">
        <v>45796</v>
      </c>
      <c r="C36" s="321">
        <v>1292.05</v>
      </c>
      <c r="D36" s="210">
        <v>-2.3644595797376211E-2</v>
      </c>
      <c r="E36" s="321">
        <v>24945.45</v>
      </c>
      <c r="F36" s="209">
        <v>-1.0484878003804265E-2</v>
      </c>
    </row>
    <row r="37" spans="2:6" ht="15" thickBot="1" x14ac:dyDescent="0.2">
      <c r="B37" s="313">
        <v>45793</v>
      </c>
      <c r="C37" s="321">
        <v>1297.5</v>
      </c>
      <c r="D37" s="209">
        <v>-4.2003853564547278E-3</v>
      </c>
      <c r="E37" s="321">
        <v>25019.8</v>
      </c>
      <c r="F37" s="209">
        <v>-2.9716464560067823E-3</v>
      </c>
    </row>
    <row r="38" spans="2:6" ht="15" thickBot="1" x14ac:dyDescent="0.2">
      <c r="B38" s="313">
        <v>45792</v>
      </c>
      <c r="C38" s="321">
        <v>1289.7</v>
      </c>
      <c r="D38" s="210">
        <v>6.047918120493101E-3</v>
      </c>
      <c r="E38" s="321">
        <v>25062.1</v>
      </c>
      <c r="F38" s="209">
        <v>-1.6878074862042292E-3</v>
      </c>
    </row>
    <row r="39" spans="2:6" ht="15" thickBot="1" x14ac:dyDescent="0.2">
      <c r="B39" s="313">
        <v>45791</v>
      </c>
      <c r="C39" s="321">
        <v>1281.3499999999999</v>
      </c>
      <c r="D39" s="210">
        <v>6.5165645608149525E-3</v>
      </c>
      <c r="E39" s="321">
        <v>24666.9</v>
      </c>
      <c r="F39" s="209">
        <v>1.6021470067175025E-2</v>
      </c>
    </row>
    <row r="40" spans="2:6" ht="15" thickBot="1" x14ac:dyDescent="0.2">
      <c r="B40" s="313">
        <v>45790</v>
      </c>
      <c r="C40" s="321">
        <v>1265.5999999999999</v>
      </c>
      <c r="D40" s="209">
        <v>1.2444690265486669E-2</v>
      </c>
      <c r="E40" s="321">
        <v>24578.35</v>
      </c>
      <c r="F40" s="209">
        <v>3.602764221357635E-3</v>
      </c>
    </row>
    <row r="41" spans="2:6" ht="15" thickBot="1" x14ac:dyDescent="0.2">
      <c r="B41" s="313">
        <v>45789</v>
      </c>
      <c r="C41" s="321">
        <v>1289.05</v>
      </c>
      <c r="D41" s="209">
        <v>-1.8191691555796918E-2</v>
      </c>
      <c r="E41" s="321">
        <v>24924.7</v>
      </c>
      <c r="F41" s="209">
        <v>-1.3895854313191403E-2</v>
      </c>
    </row>
    <row r="42" spans="2:6" ht="15" thickBot="1" x14ac:dyDescent="0.2">
      <c r="B42" s="313">
        <v>45786</v>
      </c>
      <c r="C42" s="321">
        <v>1241.2</v>
      </c>
      <c r="D42" s="209">
        <v>3.8551401869158841E-2</v>
      </c>
      <c r="E42" s="321">
        <v>24008</v>
      </c>
      <c r="F42" s="210">
        <v>3.8183105631456105E-2</v>
      </c>
    </row>
    <row r="43" spans="2:6" ht="15" thickBot="1" x14ac:dyDescent="0.2">
      <c r="B43" s="313">
        <v>45785</v>
      </c>
      <c r="C43" s="321">
        <v>1239.8499999999999</v>
      </c>
      <c r="D43" s="210">
        <v>1.0888413921039675E-3</v>
      </c>
      <c r="E43" s="321">
        <v>24273.8</v>
      </c>
      <c r="F43" s="209">
        <v>-1.0950077861727414E-2</v>
      </c>
    </row>
    <row r="44" spans="2:6" ht="15" thickBot="1" x14ac:dyDescent="0.2">
      <c r="B44" s="313">
        <v>45784</v>
      </c>
      <c r="C44" s="321">
        <v>1247.1500000000001</v>
      </c>
      <c r="D44" s="209">
        <v>-5.8533456280320806E-3</v>
      </c>
      <c r="E44" s="321">
        <v>24414.400000000001</v>
      </c>
      <c r="F44" s="210">
        <v>-5.758896389016388E-3</v>
      </c>
    </row>
    <row r="45" spans="2:6" ht="15" thickBot="1" x14ac:dyDescent="0.2">
      <c r="B45" s="313">
        <v>45783</v>
      </c>
      <c r="C45" s="321">
        <v>1250.9000000000001</v>
      </c>
      <c r="D45" s="210">
        <v>-2.9978415540811154E-3</v>
      </c>
      <c r="E45" s="321">
        <v>24379.599999999999</v>
      </c>
      <c r="F45" s="209">
        <v>1.4274229273656402E-3</v>
      </c>
    </row>
    <row r="46" spans="2:6" ht="15" thickBot="1" x14ac:dyDescent="0.2">
      <c r="B46" s="313">
        <v>45782</v>
      </c>
      <c r="C46" s="321">
        <v>1262.25</v>
      </c>
      <c r="D46" s="209">
        <v>-8.9918795801148255E-3</v>
      </c>
      <c r="E46" s="321">
        <v>24461.15</v>
      </c>
      <c r="F46" s="209">
        <v>-3.3338579747886898E-3</v>
      </c>
    </row>
    <row r="47" spans="2:6" ht="15" thickBot="1" x14ac:dyDescent="0.2">
      <c r="B47" s="313">
        <v>45779</v>
      </c>
      <c r="C47" s="321">
        <v>1256.1500000000001</v>
      </c>
      <c r="D47" s="209">
        <v>4.8561079488913528E-3</v>
      </c>
      <c r="E47" s="321">
        <v>24346.7</v>
      </c>
      <c r="F47" s="210">
        <v>4.7008424139616256E-3</v>
      </c>
    </row>
    <row r="48" spans="2:6" ht="15" thickBot="1" x14ac:dyDescent="0.2">
      <c r="B48" s="313">
        <v>45777</v>
      </c>
      <c r="C48" s="321">
        <v>1259.9000000000001</v>
      </c>
      <c r="D48" s="209">
        <v>-2.9764267005317757E-3</v>
      </c>
      <c r="E48" s="321">
        <v>24334.2</v>
      </c>
      <c r="F48" s="209">
        <v>5.1368033467302787E-4</v>
      </c>
    </row>
    <row r="49" spans="2:6" ht="15" thickBot="1" x14ac:dyDescent="0.2">
      <c r="B49" s="313">
        <v>45776</v>
      </c>
      <c r="C49" s="321">
        <v>1262.3499999999999</v>
      </c>
      <c r="D49" s="209">
        <v>-1.9408246524338368E-3</v>
      </c>
      <c r="E49" s="321">
        <v>24335.95</v>
      </c>
      <c r="F49" s="210">
        <v>-7.1910075423398112E-5</v>
      </c>
    </row>
    <row r="50" spans="2:6" ht="15" thickBot="1" x14ac:dyDescent="0.2">
      <c r="B50" s="313">
        <v>45775</v>
      </c>
      <c r="C50" s="321">
        <v>1264.45</v>
      </c>
      <c r="D50" s="209">
        <v>-1.6608011388351551E-3</v>
      </c>
      <c r="E50" s="321">
        <v>24328.5</v>
      </c>
      <c r="F50" s="209">
        <v>3.0622520911682827E-4</v>
      </c>
    </row>
    <row r="51" spans="2:6" ht="15" thickBot="1" x14ac:dyDescent="0.2">
      <c r="B51" s="313">
        <v>45772</v>
      </c>
      <c r="C51" s="321">
        <v>1265.5</v>
      </c>
      <c r="D51" s="210">
        <v>-8.2971157645195248E-4</v>
      </c>
      <c r="E51" s="321">
        <v>24039.35</v>
      </c>
      <c r="F51" s="210">
        <v>1.2028195437896683E-2</v>
      </c>
    </row>
    <row r="52" spans="2:6" ht="15" thickBot="1" x14ac:dyDescent="0.2">
      <c r="B52" s="313">
        <v>45771</v>
      </c>
      <c r="C52" s="321">
        <v>1266.9000000000001</v>
      </c>
      <c r="D52" s="209">
        <v>-1.105059594285307E-3</v>
      </c>
      <c r="E52" s="321">
        <v>24246.7</v>
      </c>
      <c r="F52" s="209">
        <v>-8.5516791975815964E-3</v>
      </c>
    </row>
    <row r="53" spans="2:6" ht="15" thickBot="1" x14ac:dyDescent="0.2">
      <c r="B53" s="313">
        <v>45770</v>
      </c>
      <c r="C53" s="321">
        <v>1268.4000000000001</v>
      </c>
      <c r="D53" s="210">
        <v>-1.1825922421948576E-3</v>
      </c>
      <c r="E53" s="321">
        <v>24328.95</v>
      </c>
      <c r="F53" s="210">
        <v>-3.380745983694311E-3</v>
      </c>
    </row>
    <row r="54" spans="2:6" ht="15" thickBot="1" x14ac:dyDescent="0.2">
      <c r="B54" s="313">
        <v>45769</v>
      </c>
      <c r="C54" s="321">
        <v>1231.95</v>
      </c>
      <c r="D54" s="210">
        <v>2.9587239741872606E-2</v>
      </c>
      <c r="E54" s="321">
        <v>24167.25</v>
      </c>
      <c r="F54" s="209">
        <v>6.6908729789281196E-3</v>
      </c>
    </row>
    <row r="55" spans="2:6" ht="15" thickBot="1" x14ac:dyDescent="0.2">
      <c r="B55" s="313">
        <v>45768</v>
      </c>
      <c r="C55" s="321">
        <v>1213.8499999999999</v>
      </c>
      <c r="D55" s="209">
        <v>1.4911232854141865E-2</v>
      </c>
      <c r="E55" s="321">
        <v>24125.55</v>
      </c>
      <c r="F55" s="210">
        <v>1.7284580040661801E-3</v>
      </c>
    </row>
    <row r="56" spans="2:6" ht="15" thickBot="1" x14ac:dyDescent="0.2">
      <c r="B56" s="313">
        <v>45764</v>
      </c>
      <c r="C56" s="321">
        <v>1240.5999999999999</v>
      </c>
      <c r="D56" s="210">
        <v>-2.1562147348057392E-2</v>
      </c>
      <c r="E56" s="321">
        <v>23851.65</v>
      </c>
      <c r="F56" s="210">
        <v>1.1483482274811108E-2</v>
      </c>
    </row>
    <row r="57" spans="2:6" ht="15" thickBot="1" x14ac:dyDescent="0.2">
      <c r="B57" s="313">
        <v>45763</v>
      </c>
      <c r="C57" s="321">
        <v>1243.3499999999999</v>
      </c>
      <c r="D57" s="209">
        <v>-2.2117665983030221E-3</v>
      </c>
      <c r="E57" s="321">
        <v>23437.200000000001</v>
      </c>
      <c r="F57" s="209">
        <v>1.7683426347857356E-2</v>
      </c>
    </row>
    <row r="58" spans="2:6" ht="15" thickBot="1" x14ac:dyDescent="0.2">
      <c r="B58" s="313">
        <v>45762</v>
      </c>
      <c r="C58" s="321">
        <v>1216.75</v>
      </c>
      <c r="D58" s="210">
        <v>2.1861516334497511E-2</v>
      </c>
      <c r="E58" s="321">
        <v>23328.55</v>
      </c>
      <c r="F58" s="210">
        <v>4.6573833350123106E-3</v>
      </c>
    </row>
    <row r="59" spans="2:6" ht="15" thickBot="1" x14ac:dyDescent="0.2">
      <c r="B59" s="313">
        <v>45758</v>
      </c>
      <c r="C59" s="321">
        <v>1224.5</v>
      </c>
      <c r="D59" s="210">
        <v>-6.3291139240506666E-3</v>
      </c>
      <c r="E59" s="321">
        <v>22828.55</v>
      </c>
      <c r="F59" s="210">
        <v>2.1902398531663314E-2</v>
      </c>
    </row>
    <row r="60" spans="2:6" ht="15" thickBot="1" x14ac:dyDescent="0.2">
      <c r="B60" s="313">
        <v>45756</v>
      </c>
      <c r="C60" s="321">
        <v>1241.45</v>
      </c>
      <c r="D60" s="210">
        <v>-1.3653389182004982E-2</v>
      </c>
      <c r="E60" s="321">
        <v>22399.15</v>
      </c>
      <c r="F60" s="210">
        <v>1.91703703042303E-2</v>
      </c>
    </row>
    <row r="61" spans="2:6" ht="15" thickBot="1" x14ac:dyDescent="0.2">
      <c r="B61" s="313">
        <v>45755</v>
      </c>
      <c r="C61" s="321">
        <v>1198.55</v>
      </c>
      <c r="D61" s="209">
        <v>3.5793250177297731E-2</v>
      </c>
      <c r="E61" s="321">
        <v>22535.85</v>
      </c>
      <c r="F61" s="209">
        <v>-6.0658905699140231E-3</v>
      </c>
    </row>
    <row r="62" spans="2:6" ht="15" thickBot="1" x14ac:dyDescent="0.2">
      <c r="B62" s="313">
        <v>45754</v>
      </c>
      <c r="C62" s="321">
        <v>1159.45</v>
      </c>
      <c r="D62" s="210">
        <v>3.3722885851049877E-2</v>
      </c>
      <c r="E62" s="321">
        <v>22161.599999999999</v>
      </c>
      <c r="F62" s="209">
        <v>1.68873186051548E-2</v>
      </c>
    </row>
    <row r="63" spans="2:6" ht="15" thickBot="1" x14ac:dyDescent="0.2">
      <c r="B63" s="313">
        <v>45751</v>
      </c>
      <c r="C63" s="321">
        <v>1157.1500000000001</v>
      </c>
      <c r="D63" s="209">
        <v>1.9876420515922977E-3</v>
      </c>
      <c r="E63" s="321">
        <v>22904.45</v>
      </c>
      <c r="F63" s="209">
        <v>-3.2432562231356932E-2</v>
      </c>
    </row>
    <row r="64" spans="2:6" ht="15" thickBot="1" x14ac:dyDescent="0.2">
      <c r="B64" s="313">
        <v>45750</v>
      </c>
      <c r="C64" s="321">
        <v>1161.9000000000001</v>
      </c>
      <c r="D64" s="210">
        <v>-4.0881315087356596E-3</v>
      </c>
      <c r="E64" s="321">
        <v>23250.1</v>
      </c>
      <c r="F64" s="209">
        <v>-1.4866602724289302E-2</v>
      </c>
    </row>
    <row r="65" spans="2:6" ht="15" thickBot="1" x14ac:dyDescent="0.2">
      <c r="B65" s="313">
        <v>45749</v>
      </c>
      <c r="C65" s="321">
        <v>1162.45</v>
      </c>
      <c r="D65" s="209">
        <v>-4.7313862961839703E-4</v>
      </c>
      <c r="E65" s="321">
        <v>23332.35</v>
      </c>
      <c r="F65" s="209">
        <v>-3.5251485598322141E-3</v>
      </c>
    </row>
    <row r="66" spans="2:6" ht="15" thickBot="1" x14ac:dyDescent="0.2">
      <c r="B66" s="313">
        <v>45748</v>
      </c>
      <c r="C66" s="321">
        <v>1142.5</v>
      </c>
      <c r="D66" s="210">
        <v>1.7461706783369779E-2</v>
      </c>
      <c r="E66" s="321">
        <v>23165.7</v>
      </c>
      <c r="F66" s="210">
        <v>7.1938253538634811E-3</v>
      </c>
    </row>
    <row r="67" spans="2:6" ht="15" thickBot="1" x14ac:dyDescent="0.2">
      <c r="B67" s="313">
        <v>45744</v>
      </c>
      <c r="C67" s="321">
        <v>1158.7</v>
      </c>
      <c r="D67" s="209">
        <v>-1.3981185811685504E-2</v>
      </c>
      <c r="E67" s="321">
        <v>23519.35</v>
      </c>
      <c r="F67" s="209">
        <v>-1.5036555006834651E-2</v>
      </c>
    </row>
    <row r="68" spans="2:6" ht="15" thickBot="1" x14ac:dyDescent="0.2">
      <c r="B68" s="313">
        <v>45743</v>
      </c>
      <c r="C68" s="321">
        <v>1145.5</v>
      </c>
      <c r="D68" s="209">
        <v>1.1523352247926777E-2</v>
      </c>
      <c r="E68" s="321">
        <v>23591.95</v>
      </c>
      <c r="F68" s="209">
        <v>-3.0773208658039231E-3</v>
      </c>
    </row>
    <row r="69" spans="2:6" ht="15" thickBot="1" x14ac:dyDescent="0.2">
      <c r="B69" s="313">
        <v>45742</v>
      </c>
      <c r="C69" s="321">
        <v>1130.6500000000001</v>
      </c>
      <c r="D69" s="210">
        <v>1.3134037942776233E-2</v>
      </c>
      <c r="E69" s="321">
        <v>23486.85</v>
      </c>
      <c r="F69" s="210">
        <v>4.4748444342259663E-3</v>
      </c>
    </row>
    <row r="70" spans="2:6" ht="15" thickBot="1" x14ac:dyDescent="0.2">
      <c r="B70" s="313">
        <v>45741</v>
      </c>
      <c r="C70" s="321">
        <v>1129.3499999999999</v>
      </c>
      <c r="D70" s="210">
        <v>1.1511046177006268E-3</v>
      </c>
      <c r="E70" s="321">
        <v>23668.65</v>
      </c>
      <c r="F70" s="210">
        <v>-7.6810464475161044E-3</v>
      </c>
    </row>
    <row r="71" spans="2:6" ht="15" thickBot="1" x14ac:dyDescent="0.2">
      <c r="B71" s="313">
        <v>45740</v>
      </c>
      <c r="C71" s="321">
        <v>1106.4000000000001</v>
      </c>
      <c r="D71" s="209">
        <v>2.0742950108459723E-2</v>
      </c>
      <c r="E71" s="321">
        <v>23658.35</v>
      </c>
      <c r="F71" s="209">
        <v>4.353642582852757E-4</v>
      </c>
    </row>
    <row r="72" spans="2:6" ht="15" thickBot="1" x14ac:dyDescent="0.2">
      <c r="B72" s="313">
        <v>45737</v>
      </c>
      <c r="C72" s="321">
        <v>1111.8499999999999</v>
      </c>
      <c r="D72" s="210">
        <v>-4.9017403426719897E-3</v>
      </c>
      <c r="E72" s="321">
        <v>23350.400000000001</v>
      </c>
      <c r="F72" s="210">
        <v>1.3188210908592346E-2</v>
      </c>
    </row>
    <row r="73" spans="2:6" ht="15" thickBot="1" x14ac:dyDescent="0.2">
      <c r="B73" s="313">
        <v>45736</v>
      </c>
      <c r="C73" s="321">
        <v>1101.25</v>
      </c>
      <c r="D73" s="209">
        <v>9.6254256526673299E-3</v>
      </c>
      <c r="E73" s="321">
        <v>23190.65</v>
      </c>
      <c r="F73" s="209">
        <v>6.8885520673203082E-3</v>
      </c>
    </row>
    <row r="74" spans="2:6" ht="15" thickBot="1" x14ac:dyDescent="0.2">
      <c r="B74" s="313">
        <v>45735</v>
      </c>
      <c r="C74" s="321">
        <v>1073.4000000000001</v>
      </c>
      <c r="D74" s="210">
        <v>2.5945593441401016E-2</v>
      </c>
      <c r="E74" s="321">
        <v>22907.599999999999</v>
      </c>
      <c r="F74" s="209">
        <v>1.2356161273987754E-2</v>
      </c>
    </row>
    <row r="75" spans="2:6" ht="15" thickBot="1" x14ac:dyDescent="0.2">
      <c r="B75" s="313">
        <v>45734</v>
      </c>
      <c r="C75" s="321">
        <v>1083.8499999999999</v>
      </c>
      <c r="D75" s="209">
        <v>-9.6415555658069252E-3</v>
      </c>
      <c r="E75" s="321">
        <v>22834.3</v>
      </c>
      <c r="F75" s="209">
        <v>3.2100830767747279E-3</v>
      </c>
    </row>
    <row r="76" spans="2:6" ht="15" thickBot="1" x14ac:dyDescent="0.2">
      <c r="B76" s="313">
        <v>45733</v>
      </c>
      <c r="C76" s="321">
        <v>1051.25</v>
      </c>
      <c r="D76" s="210">
        <v>3.1010701545778785E-2</v>
      </c>
      <c r="E76" s="321">
        <v>22508.75</v>
      </c>
      <c r="F76" s="209">
        <v>1.4463264286110888E-2</v>
      </c>
    </row>
    <row r="77" spans="2:6" ht="15" thickBot="1" x14ac:dyDescent="0.2">
      <c r="B77" s="313">
        <v>45729</v>
      </c>
      <c r="C77" s="321">
        <v>1023.85</v>
      </c>
      <c r="D77" s="209">
        <v>2.6761732675684824E-2</v>
      </c>
      <c r="E77" s="321">
        <v>22397.200000000001</v>
      </c>
      <c r="F77" s="209">
        <v>4.9805332809458314E-3</v>
      </c>
    </row>
    <row r="78" spans="2:6" ht="15" thickBot="1" x14ac:dyDescent="0.2">
      <c r="B78" s="313">
        <v>45728</v>
      </c>
      <c r="C78" s="321">
        <v>1042.9000000000001</v>
      </c>
      <c r="D78" s="209">
        <v>-1.8266372614824111E-2</v>
      </c>
      <c r="E78" s="321">
        <v>22470.5</v>
      </c>
      <c r="F78" s="210">
        <v>-3.2620546939320372E-3</v>
      </c>
    </row>
    <row r="79" spans="2:6" ht="15" thickBot="1" x14ac:dyDescent="0.2">
      <c r="B79" s="313">
        <v>45727</v>
      </c>
      <c r="C79" s="321">
        <v>1038.5999999999999</v>
      </c>
      <c r="D79" s="209">
        <v>4.140188715578752E-3</v>
      </c>
      <c r="E79" s="321">
        <v>22497.9</v>
      </c>
      <c r="F79" s="209">
        <v>-1.2178914476462799E-3</v>
      </c>
    </row>
    <row r="80" spans="2:6" ht="15" thickBot="1" x14ac:dyDescent="0.2">
      <c r="B80" s="313">
        <v>45726</v>
      </c>
      <c r="C80" s="321">
        <v>1043.8</v>
      </c>
      <c r="D80" s="209">
        <v>-4.9817972791722509E-3</v>
      </c>
      <c r="E80" s="321">
        <v>22460.3</v>
      </c>
      <c r="F80" s="210">
        <v>1.6740649056334878E-3</v>
      </c>
    </row>
    <row r="81" spans="2:6" ht="15" thickBot="1" x14ac:dyDescent="0.2">
      <c r="B81" s="313">
        <v>45723</v>
      </c>
      <c r="C81" s="321">
        <v>1043.9000000000001</v>
      </c>
      <c r="D81" s="210">
        <v>-9.5794616342681493E-5</v>
      </c>
      <c r="E81" s="321">
        <v>22552.5</v>
      </c>
      <c r="F81" s="209">
        <v>-4.0882385544840361E-3</v>
      </c>
    </row>
    <row r="82" spans="2:6" ht="15" thickBot="1" x14ac:dyDescent="0.2">
      <c r="B82" s="313">
        <v>45722</v>
      </c>
      <c r="C82" s="321">
        <v>1030.4000000000001</v>
      </c>
      <c r="D82" s="209">
        <v>1.3101708074534146E-2</v>
      </c>
      <c r="E82" s="321">
        <v>22544.7</v>
      </c>
      <c r="F82" s="209">
        <v>3.459793210820461E-4</v>
      </c>
    </row>
    <row r="83" spans="2:6" ht="15" thickBot="1" x14ac:dyDescent="0.2">
      <c r="B83" s="313">
        <v>45721</v>
      </c>
      <c r="C83" s="321">
        <v>991.4</v>
      </c>
      <c r="D83" s="209">
        <v>3.933830946136796E-2</v>
      </c>
      <c r="E83" s="321">
        <v>22337.3</v>
      </c>
      <c r="F83" s="209">
        <v>9.2849180518683738E-3</v>
      </c>
    </row>
    <row r="84" spans="2:6" ht="15" thickBot="1" x14ac:dyDescent="0.2">
      <c r="B84" s="313">
        <v>45720</v>
      </c>
      <c r="C84" s="321">
        <v>989.45</v>
      </c>
      <c r="D84" s="210">
        <v>1.9707918540603497E-3</v>
      </c>
      <c r="E84" s="321">
        <v>22082.65</v>
      </c>
      <c r="F84" s="210">
        <v>1.1531677583985545E-2</v>
      </c>
    </row>
    <row r="85" spans="2:6" ht="15" thickBot="1" x14ac:dyDescent="0.2">
      <c r="B85" s="313">
        <v>45719</v>
      </c>
      <c r="C85" s="321">
        <v>998.45</v>
      </c>
      <c r="D85" s="209">
        <v>-9.013971656066877E-3</v>
      </c>
      <c r="E85" s="321">
        <v>22119.3</v>
      </c>
      <c r="F85" s="209">
        <v>-1.6569240437083188E-3</v>
      </c>
    </row>
    <row r="86" spans="2:6" ht="15" thickBot="1" x14ac:dyDescent="0.2">
      <c r="B86" s="313">
        <v>45716</v>
      </c>
      <c r="C86" s="321">
        <v>1008.6</v>
      </c>
      <c r="D86" s="210">
        <v>-1.0063454293079532E-2</v>
      </c>
      <c r="E86" s="321">
        <v>22124.7</v>
      </c>
      <c r="F86" s="209">
        <v>-2.4407110604895976E-4</v>
      </c>
    </row>
    <row r="87" spans="2:6" ht="15" thickBot="1" x14ac:dyDescent="0.2">
      <c r="B87" s="313">
        <v>45715</v>
      </c>
      <c r="C87" s="321">
        <v>1051.8</v>
      </c>
      <c r="D87" s="209">
        <v>-4.1072447233314269E-2</v>
      </c>
      <c r="E87" s="321">
        <v>22545.05</v>
      </c>
      <c r="F87" s="210">
        <v>-1.8644891007116748E-2</v>
      </c>
    </row>
    <row r="88" spans="2:6" ht="15" thickBot="1" x14ac:dyDescent="0.2">
      <c r="B88" s="313">
        <v>45713</v>
      </c>
      <c r="C88" s="321">
        <v>1057.6500000000001</v>
      </c>
      <c r="D88" s="209">
        <v>-5.5311303361226249E-3</v>
      </c>
      <c r="E88" s="321">
        <v>22547.55</v>
      </c>
      <c r="F88" s="209">
        <v>-1.1087679149179852E-4</v>
      </c>
    </row>
    <row r="89" spans="2:6" ht="15" thickBot="1" x14ac:dyDescent="0.2">
      <c r="B89" s="313">
        <v>45712</v>
      </c>
      <c r="C89" s="321">
        <v>1044.4000000000001</v>
      </c>
      <c r="D89" s="210">
        <v>1.2686710072769003E-2</v>
      </c>
      <c r="E89" s="321">
        <v>22553.35</v>
      </c>
      <c r="F89" s="209">
        <v>-2.5716800386632599E-4</v>
      </c>
    </row>
    <row r="90" spans="2:6" ht="15" thickBot="1" x14ac:dyDescent="0.2">
      <c r="B90" s="313">
        <v>45709</v>
      </c>
      <c r="C90" s="321">
        <v>1052.05</v>
      </c>
      <c r="D90" s="210">
        <v>-7.271517513426029E-3</v>
      </c>
      <c r="E90" s="321">
        <v>22795.9</v>
      </c>
      <c r="F90" s="209">
        <v>-1.0640071240881177E-2</v>
      </c>
    </row>
    <row r="91" spans="2:6" ht="15" thickBot="1" x14ac:dyDescent="0.2">
      <c r="B91" s="313">
        <v>45708</v>
      </c>
      <c r="C91" s="321">
        <v>1074.55</v>
      </c>
      <c r="D91" s="210">
        <v>-2.093899771997576E-2</v>
      </c>
      <c r="E91" s="321">
        <v>22913.15</v>
      </c>
      <c r="F91" s="209">
        <v>-5.1171488861200265E-3</v>
      </c>
    </row>
    <row r="92" spans="2:6" ht="15" thickBot="1" x14ac:dyDescent="0.2">
      <c r="B92" s="313">
        <v>45707</v>
      </c>
      <c r="C92" s="321">
        <v>1024.25</v>
      </c>
      <c r="D92" s="209">
        <v>4.9109104222601951E-2</v>
      </c>
      <c r="E92" s="321">
        <v>22932.9</v>
      </c>
      <c r="F92" s="209">
        <v>-8.6120813329326751E-4</v>
      </c>
    </row>
    <row r="93" spans="2:6" ht="15" thickBot="1" x14ac:dyDescent="0.2">
      <c r="B93" s="313">
        <v>45706</v>
      </c>
      <c r="C93" s="321">
        <v>1015.55</v>
      </c>
      <c r="D93" s="209">
        <v>8.5667864703855567E-3</v>
      </c>
      <c r="E93" s="321">
        <v>22945.3</v>
      </c>
      <c r="F93" s="209">
        <v>-5.4041568425766684E-4</v>
      </c>
    </row>
    <row r="94" spans="2:6" ht="15" thickBot="1" x14ac:dyDescent="0.2">
      <c r="B94" s="313">
        <v>45705</v>
      </c>
      <c r="C94" s="321">
        <v>1039.25</v>
      </c>
      <c r="D94" s="210">
        <v>-2.2804907385133522E-2</v>
      </c>
      <c r="E94" s="321">
        <v>22959.5</v>
      </c>
      <c r="F94" s="209">
        <v>-6.1848036760381309E-4</v>
      </c>
    </row>
    <row r="95" spans="2:6" ht="15" thickBot="1" x14ac:dyDescent="0.2">
      <c r="B95" s="313">
        <v>45702</v>
      </c>
      <c r="C95" s="321">
        <v>1056.6500000000001</v>
      </c>
      <c r="D95" s="209">
        <v>-1.6467136705626384E-2</v>
      </c>
      <c r="E95" s="321">
        <v>22929.25</v>
      </c>
      <c r="F95" s="210">
        <v>1.3192755977626813E-3</v>
      </c>
    </row>
    <row r="96" spans="2:6" ht="15" thickBot="1" x14ac:dyDescent="0.2">
      <c r="B96" s="313">
        <v>45701</v>
      </c>
      <c r="C96" s="321">
        <v>1052.4000000000001</v>
      </c>
      <c r="D96" s="209">
        <v>4.0383884454580077E-3</v>
      </c>
      <c r="E96" s="321">
        <v>23031.4</v>
      </c>
      <c r="F96" s="210">
        <v>-4.4352492683902289E-3</v>
      </c>
    </row>
    <row r="97" spans="2:6" ht="15" thickBot="1" x14ac:dyDescent="0.2">
      <c r="B97" s="313">
        <v>45700</v>
      </c>
      <c r="C97" s="321">
        <v>1072.75</v>
      </c>
      <c r="D97" s="210">
        <v>-1.8969937077604193E-2</v>
      </c>
      <c r="E97" s="321">
        <v>23045.25</v>
      </c>
      <c r="F97" s="209">
        <v>-6.0099152753811946E-4</v>
      </c>
    </row>
    <row r="98" spans="2:6" ht="15" thickBot="1" x14ac:dyDescent="0.2">
      <c r="B98" s="313">
        <v>45699</v>
      </c>
      <c r="C98" s="321">
        <v>1070.8499999999999</v>
      </c>
      <c r="D98" s="210">
        <v>1.7742914507168361E-3</v>
      </c>
      <c r="E98" s="321">
        <v>23071.8</v>
      </c>
      <c r="F98" s="209">
        <v>-1.1507554677138154E-3</v>
      </c>
    </row>
    <row r="99" spans="2:6" ht="15" thickBot="1" x14ac:dyDescent="0.2">
      <c r="B99" s="313">
        <v>45698</v>
      </c>
      <c r="C99" s="321">
        <v>1091.3499999999999</v>
      </c>
      <c r="D99" s="209">
        <v>-1.8784074769780501E-2</v>
      </c>
      <c r="E99" s="321">
        <v>23381.599999999999</v>
      </c>
      <c r="F99" s="210">
        <v>-1.3249734834228644E-2</v>
      </c>
    </row>
    <row r="100" spans="2:6" ht="15" thickBot="1" x14ac:dyDescent="0.2">
      <c r="B100" s="313">
        <v>45695</v>
      </c>
      <c r="C100" s="321">
        <v>1107</v>
      </c>
      <c r="D100" s="210">
        <v>-1.413730803974711E-2</v>
      </c>
      <c r="E100" s="321">
        <v>23559.95</v>
      </c>
      <c r="F100" s="210">
        <v>-7.5700500213287114E-3</v>
      </c>
    </row>
    <row r="101" spans="2:6" ht="15" thickBot="1" x14ac:dyDescent="0.2">
      <c r="B101" s="313">
        <v>45694</v>
      </c>
      <c r="C101" s="321">
        <v>1119.1500000000001</v>
      </c>
      <c r="D101" s="209">
        <v>-1.0856453558504287E-2</v>
      </c>
      <c r="E101" s="321">
        <v>23603.35</v>
      </c>
      <c r="F101" s="209">
        <v>-1.8387220458111475E-3</v>
      </c>
    </row>
    <row r="102" spans="2:6" ht="15" thickBot="1" x14ac:dyDescent="0.2">
      <c r="B102" s="313">
        <v>45693</v>
      </c>
      <c r="C102" s="321">
        <v>1118.9000000000001</v>
      </c>
      <c r="D102" s="209">
        <v>2.2343372955591079E-4</v>
      </c>
      <c r="E102" s="321">
        <v>23696.3</v>
      </c>
      <c r="F102" s="209">
        <v>-3.922553310010457E-3</v>
      </c>
    </row>
    <row r="103" spans="2:6" ht="15" thickBot="1" x14ac:dyDescent="0.2">
      <c r="B103" s="313">
        <v>45692</v>
      </c>
      <c r="C103" s="321">
        <v>1135.3499999999999</v>
      </c>
      <c r="D103" s="210">
        <v>-1.4488924120315216E-2</v>
      </c>
      <c r="E103" s="321">
        <v>23739.25</v>
      </c>
      <c r="F103" s="210">
        <v>-1.8092399717767327E-3</v>
      </c>
    </row>
    <row r="104" spans="2:6" ht="15" thickBot="1" x14ac:dyDescent="0.2">
      <c r="B104" s="313">
        <v>45691</v>
      </c>
      <c r="C104" s="321">
        <v>1154.5999999999999</v>
      </c>
      <c r="D104" s="209">
        <v>-1.667244067209428E-2</v>
      </c>
      <c r="E104" s="321">
        <v>23361.05</v>
      </c>
      <c r="F104" s="209">
        <v>1.6189340804458663E-2</v>
      </c>
    </row>
    <row r="105" spans="2:6" ht="15" thickBot="1" x14ac:dyDescent="0.2">
      <c r="B105" s="313">
        <v>45689</v>
      </c>
      <c r="C105" s="321">
        <v>1189.9000000000001</v>
      </c>
      <c r="D105" s="209">
        <v>-2.966635851752264E-2</v>
      </c>
      <c r="E105" s="321">
        <v>23482.15</v>
      </c>
      <c r="F105" s="209">
        <v>-5.1571086974575575E-3</v>
      </c>
    </row>
    <row r="106" spans="2:6" ht="15" thickBot="1" x14ac:dyDescent="0.2">
      <c r="B106" s="313">
        <v>45688</v>
      </c>
      <c r="C106" s="321">
        <v>1121.3</v>
      </c>
      <c r="D106" s="210">
        <v>6.1178988673860735E-2</v>
      </c>
      <c r="E106" s="321">
        <v>23508.400000000001</v>
      </c>
      <c r="F106" s="210">
        <v>-1.1166221435742196E-3</v>
      </c>
    </row>
    <row r="107" spans="2:6" ht="15" thickBot="1" x14ac:dyDescent="0.2">
      <c r="B107" s="313">
        <v>45687</v>
      </c>
      <c r="C107" s="321">
        <v>1118.9000000000001</v>
      </c>
      <c r="D107" s="209">
        <v>2.1449638037356333E-3</v>
      </c>
      <c r="E107" s="321">
        <v>23249.5</v>
      </c>
      <c r="F107" s="209">
        <v>1.1135723348889348E-2</v>
      </c>
    </row>
    <row r="108" spans="2:6" ht="15" thickBot="1" x14ac:dyDescent="0.2">
      <c r="B108" s="313">
        <v>45686</v>
      </c>
      <c r="C108" s="322">
        <v>1118.05</v>
      </c>
      <c r="D108" s="209">
        <v>7.6025222485598398E-4</v>
      </c>
      <c r="E108" s="321">
        <v>23163.1</v>
      </c>
      <c r="F108" s="210">
        <v>3.7300706727512178E-3</v>
      </c>
    </row>
    <row r="109" spans="2:6" ht="15" thickBot="1" x14ac:dyDescent="0.2">
      <c r="B109" s="313">
        <v>45685</v>
      </c>
      <c r="C109" s="322">
        <v>1125.45</v>
      </c>
      <c r="D109" s="210">
        <v>-6.5751477186903884E-3</v>
      </c>
      <c r="E109" s="321">
        <v>22957.25</v>
      </c>
      <c r="F109" s="209">
        <v>8.9666663036731542E-3</v>
      </c>
    </row>
    <row r="110" spans="2:6" ht="15" thickBot="1" x14ac:dyDescent="0.2">
      <c r="B110" s="313">
        <v>45684</v>
      </c>
      <c r="C110" s="322">
        <v>1125.8499999999999</v>
      </c>
      <c r="D110" s="209">
        <v>-3.5528711640087085E-4</v>
      </c>
      <c r="E110" s="321">
        <v>22829.15</v>
      </c>
      <c r="F110" s="209">
        <v>5.6112470240896606E-3</v>
      </c>
    </row>
    <row r="111" spans="2:6" ht="15" thickBot="1" x14ac:dyDescent="0.2">
      <c r="B111" s="313">
        <v>45681</v>
      </c>
      <c r="C111" s="322">
        <v>1129.9000000000001</v>
      </c>
      <c r="D111" s="209">
        <v>-3.5843879989381211E-3</v>
      </c>
      <c r="E111" s="321">
        <v>23092.2</v>
      </c>
      <c r="F111" s="209">
        <v>-1.139129229783209E-2</v>
      </c>
    </row>
    <row r="112" spans="2:6" ht="15" thickBot="1" x14ac:dyDescent="0.2">
      <c r="B112" s="313">
        <v>45680</v>
      </c>
      <c r="C112" s="322">
        <v>1144.5999999999999</v>
      </c>
      <c r="D112" s="209">
        <v>-1.2842914555302953E-2</v>
      </c>
      <c r="E112" s="321">
        <v>23205.35</v>
      </c>
      <c r="F112" s="210">
        <v>-4.876030742910431E-3</v>
      </c>
    </row>
    <row r="113" spans="2:6" ht="15" thickBot="1" x14ac:dyDescent="0.2">
      <c r="B113" s="313">
        <v>45679</v>
      </c>
      <c r="C113" s="322">
        <v>1152.9000000000001</v>
      </c>
      <c r="D113" s="210">
        <v>-7.1992367074336094E-3</v>
      </c>
      <c r="E113" s="321">
        <v>23155.35</v>
      </c>
      <c r="F113" s="210">
        <v>2.1593281898135697E-3</v>
      </c>
    </row>
    <row r="114" spans="2:6" ht="15" thickBot="1" x14ac:dyDescent="0.2">
      <c r="B114" s="313">
        <v>45678</v>
      </c>
      <c r="C114" s="322">
        <v>1160.1500000000001</v>
      </c>
      <c r="D114" s="210">
        <v>-6.2491919148386366E-3</v>
      </c>
      <c r="E114" s="321">
        <v>23024.65</v>
      </c>
      <c r="F114" s="209">
        <v>5.6765249417471964E-3</v>
      </c>
    </row>
    <row r="115" spans="2:6" ht="15" thickBot="1" x14ac:dyDescent="0.2">
      <c r="B115" s="313">
        <v>45677</v>
      </c>
      <c r="C115" s="322">
        <v>1166.0999999999999</v>
      </c>
      <c r="D115" s="209">
        <v>-5.1024783466253609E-3</v>
      </c>
      <c r="E115" s="321">
        <v>23344.75</v>
      </c>
      <c r="F115" s="209">
        <v>-1.3711862410177855E-2</v>
      </c>
    </row>
    <row r="116" spans="2:6" ht="15" thickBot="1" x14ac:dyDescent="0.2">
      <c r="B116" s="313">
        <v>45674</v>
      </c>
      <c r="C116" s="322">
        <v>1188.8499999999999</v>
      </c>
      <c r="D116" s="210">
        <v>-1.9136139967195209E-2</v>
      </c>
      <c r="E116" s="321">
        <v>23203.200000000001</v>
      </c>
      <c r="F116" s="210">
        <v>6.1004516618397009E-3</v>
      </c>
    </row>
    <row r="117" spans="2:6" ht="15" thickBot="1" x14ac:dyDescent="0.2">
      <c r="B117" s="313">
        <v>45673</v>
      </c>
      <c r="C117" s="322">
        <v>1149.45</v>
      </c>
      <c r="D117" s="210">
        <v>3.4277263038844596E-2</v>
      </c>
      <c r="E117" s="321">
        <v>23311.8</v>
      </c>
      <c r="F117" s="210">
        <v>-4.6585849226571385E-3</v>
      </c>
    </row>
    <row r="118" spans="2:6" ht="15" thickBot="1" x14ac:dyDescent="0.2">
      <c r="B118" s="313">
        <v>45672</v>
      </c>
      <c r="C118" s="322">
        <v>1129.8</v>
      </c>
      <c r="D118" s="210">
        <v>1.739245884227314E-2</v>
      </c>
      <c r="E118" s="321">
        <v>23213.200000000001</v>
      </c>
      <c r="F118" s="210">
        <v>4.2475832715866968E-3</v>
      </c>
    </row>
    <row r="119" spans="2:6" ht="15" thickBot="1" x14ac:dyDescent="0.2">
      <c r="B119" s="313">
        <v>45671</v>
      </c>
      <c r="C119" s="322">
        <v>1141.1500000000001</v>
      </c>
      <c r="D119" s="210">
        <v>-9.9461069973273419E-3</v>
      </c>
      <c r="E119" s="321">
        <v>23176.05</v>
      </c>
      <c r="F119" s="210">
        <v>1.6029478707546563E-3</v>
      </c>
    </row>
    <row r="120" spans="2:6" ht="15" thickBot="1" x14ac:dyDescent="0.2">
      <c r="B120" s="313">
        <v>45670</v>
      </c>
      <c r="C120" s="322">
        <v>1158.8</v>
      </c>
      <c r="D120" s="209">
        <v>-1.5231273731446171E-2</v>
      </c>
      <c r="E120" s="321">
        <v>23085.95</v>
      </c>
      <c r="F120" s="210">
        <v>3.9028066854513987E-3</v>
      </c>
    </row>
    <row r="121" spans="2:6" ht="15" thickBot="1" x14ac:dyDescent="0.2">
      <c r="B121" s="313">
        <v>45667</v>
      </c>
      <c r="C121" s="322">
        <v>1174.3499999999999</v>
      </c>
      <c r="D121" s="210">
        <v>-1.3241367565035911E-2</v>
      </c>
      <c r="E121" s="321">
        <v>23431.5</v>
      </c>
      <c r="F121" s="210">
        <v>-1.4747241960608504E-2</v>
      </c>
    </row>
    <row r="122" spans="2:6" ht="15" thickBot="1" x14ac:dyDescent="0.2">
      <c r="B122" s="313">
        <v>45666</v>
      </c>
      <c r="C122" s="322">
        <v>1180.6500000000001</v>
      </c>
      <c r="D122" s="209">
        <v>-5.3360437047390574E-3</v>
      </c>
      <c r="E122" s="321">
        <v>23526.5</v>
      </c>
      <c r="F122" s="209">
        <v>-4.037999702463213E-3</v>
      </c>
    </row>
    <row r="123" spans="2:6" ht="15" thickBot="1" x14ac:dyDescent="0.2">
      <c r="B123" s="313">
        <v>45665</v>
      </c>
      <c r="C123" s="322">
        <v>1156.6500000000001</v>
      </c>
      <c r="D123" s="210">
        <v>2.0749578524186241E-2</v>
      </c>
      <c r="E123" s="321">
        <v>23688.95</v>
      </c>
      <c r="F123" s="210">
        <v>-6.8576277124988705E-3</v>
      </c>
    </row>
    <row r="124" spans="2:6" ht="15" thickBot="1" x14ac:dyDescent="0.2">
      <c r="B124" s="313">
        <v>45664</v>
      </c>
      <c r="C124" s="322">
        <v>1153.6500000000001</v>
      </c>
      <c r="D124" s="209">
        <v>2.6004420751528645E-3</v>
      </c>
      <c r="E124" s="321">
        <v>23707.9</v>
      </c>
      <c r="F124" s="210">
        <v>-7.9931162186441806E-4</v>
      </c>
    </row>
    <row r="125" spans="2:6" ht="15" thickBot="1" x14ac:dyDescent="0.2">
      <c r="B125" s="313">
        <v>45663</v>
      </c>
      <c r="C125" s="322">
        <v>1140.7</v>
      </c>
      <c r="D125" s="209">
        <v>1.1352678180064801E-2</v>
      </c>
      <c r="E125" s="321">
        <v>23616.05</v>
      </c>
      <c r="F125" s="210">
        <v>3.8893040961549552E-3</v>
      </c>
    </row>
    <row r="126" spans="2:6" ht="15" thickBot="1" x14ac:dyDescent="0.2">
      <c r="B126" s="313">
        <v>45660</v>
      </c>
      <c r="C126" s="322">
        <v>1115.95</v>
      </c>
      <c r="D126" s="210">
        <v>2.2178413011335607E-2</v>
      </c>
      <c r="E126" s="321">
        <v>24004.75</v>
      </c>
      <c r="F126" s="209">
        <v>-1.6192628542267662E-2</v>
      </c>
    </row>
    <row r="127" spans="2:6" ht="15" thickBot="1" x14ac:dyDescent="0.2">
      <c r="B127" s="313">
        <v>45659</v>
      </c>
      <c r="C127" s="322">
        <v>1093.2</v>
      </c>
      <c r="D127" s="210">
        <v>2.0810464690816044E-2</v>
      </c>
      <c r="E127" s="321">
        <v>24188.65</v>
      </c>
      <c r="F127" s="209">
        <v>-7.6027393012839672E-3</v>
      </c>
    </row>
    <row r="128" spans="2:6" ht="15" thickBot="1" x14ac:dyDescent="0.2">
      <c r="B128" s="313">
        <v>45658</v>
      </c>
      <c r="C128" s="322">
        <v>1079.3499999999999</v>
      </c>
      <c r="D128" s="209">
        <v>1.2831796914809956E-2</v>
      </c>
      <c r="E128" s="321">
        <v>23742.9</v>
      </c>
      <c r="F128" s="210">
        <v>1.8774033500541298E-2</v>
      </c>
    </row>
    <row r="129" spans="2:6" ht="15" thickBot="1" x14ac:dyDescent="0.2">
      <c r="B129" s="313">
        <v>45657</v>
      </c>
      <c r="C129" s="322">
        <v>1082.45</v>
      </c>
      <c r="D129" s="209">
        <v>-2.8638736200287118E-3</v>
      </c>
      <c r="E129" s="321">
        <v>23644.799999999999</v>
      </c>
      <c r="F129" s="209">
        <v>4.1489037758830616E-3</v>
      </c>
    </row>
    <row r="130" spans="2:6" ht="15" thickBot="1" x14ac:dyDescent="0.2">
      <c r="B130" s="313">
        <v>45656</v>
      </c>
      <c r="C130" s="322">
        <v>1062.55</v>
      </c>
      <c r="D130" s="209">
        <v>1.8728530422097878E-2</v>
      </c>
      <c r="E130" s="321">
        <v>23644.9</v>
      </c>
      <c r="F130" s="209">
        <v>-4.2292418238609741E-6</v>
      </c>
    </row>
    <row r="131" spans="2:6" ht="15" thickBot="1" x14ac:dyDescent="0.2">
      <c r="B131" s="313">
        <v>45653</v>
      </c>
      <c r="C131" s="322">
        <v>1068.5999999999999</v>
      </c>
      <c r="D131" s="210">
        <v>-5.6616133258469148E-3</v>
      </c>
      <c r="E131" s="321">
        <v>23813.4</v>
      </c>
      <c r="F131" s="210">
        <v>-7.0758480519371725E-3</v>
      </c>
    </row>
    <row r="132" spans="2:6" ht="15" thickBot="1" x14ac:dyDescent="0.2">
      <c r="B132" s="313">
        <v>45652</v>
      </c>
      <c r="C132" s="322">
        <v>1072</v>
      </c>
      <c r="D132" s="210">
        <v>-3.1716417910448991E-3</v>
      </c>
      <c r="E132" s="321">
        <v>23750.2</v>
      </c>
      <c r="F132" s="210">
        <v>2.6610302229033156E-3</v>
      </c>
    </row>
    <row r="133" spans="2:6" ht="15" thickBot="1" x14ac:dyDescent="0.2">
      <c r="B133" s="313">
        <v>45650</v>
      </c>
      <c r="C133" s="322">
        <v>1078</v>
      </c>
      <c r="D133" s="210">
        <v>-5.5658627087198376E-3</v>
      </c>
      <c r="E133" s="321">
        <v>23727.65</v>
      </c>
      <c r="F133" s="209">
        <v>9.5036803054671104E-4</v>
      </c>
    </row>
    <row r="134" spans="2:6" ht="15" thickBot="1" x14ac:dyDescent="0.2">
      <c r="B134" s="313">
        <v>45649</v>
      </c>
      <c r="C134" s="322">
        <v>1074.0999999999999</v>
      </c>
      <c r="D134" s="210">
        <v>3.6309468392143884E-3</v>
      </c>
      <c r="E134" s="321">
        <v>23753.45</v>
      </c>
      <c r="F134" s="210">
        <v>-1.0861580107310864E-3</v>
      </c>
    </row>
    <row r="135" spans="2:6" ht="15" thickBot="1" x14ac:dyDescent="0.2">
      <c r="B135" s="313">
        <v>45646</v>
      </c>
      <c r="C135" s="322">
        <v>1070.45</v>
      </c>
      <c r="D135" s="210">
        <v>3.4097809332522822E-3</v>
      </c>
      <c r="E135" s="321">
        <v>23587.5</v>
      </c>
      <c r="F135" s="209">
        <v>7.0355060943296799E-3</v>
      </c>
    </row>
    <row r="136" spans="2:6" ht="15" thickBot="1" x14ac:dyDescent="0.2">
      <c r="B136" s="313">
        <v>45645</v>
      </c>
      <c r="C136" s="322">
        <v>1078.75</v>
      </c>
      <c r="D136" s="209">
        <v>-7.6940903823869977E-3</v>
      </c>
      <c r="E136" s="321">
        <v>23951.7</v>
      </c>
      <c r="F136" s="210">
        <v>-1.5205601272561098E-2</v>
      </c>
    </row>
    <row r="137" spans="2:6" ht="15" thickBot="1" x14ac:dyDescent="0.2">
      <c r="B137" s="313">
        <v>45644</v>
      </c>
      <c r="C137" s="322">
        <v>1091.5999999999999</v>
      </c>
      <c r="D137" s="209">
        <v>-1.1771711249541905E-2</v>
      </c>
      <c r="E137" s="321">
        <v>24198.85</v>
      </c>
      <c r="F137" s="209">
        <v>-1.0213295259898669E-2</v>
      </c>
    </row>
    <row r="138" spans="2:6" ht="15" thickBot="1" x14ac:dyDescent="0.2">
      <c r="B138" s="313">
        <v>45643</v>
      </c>
      <c r="C138" s="322">
        <v>1089.1500000000001</v>
      </c>
      <c r="D138" s="209">
        <v>2.2494605885321484E-3</v>
      </c>
      <c r="E138" s="321">
        <v>24336</v>
      </c>
      <c r="F138" s="210">
        <v>-5.6356837606837962E-3</v>
      </c>
    </row>
    <row r="139" spans="2:6" ht="15" thickBot="1" x14ac:dyDescent="0.2">
      <c r="B139" s="313">
        <v>45642</v>
      </c>
      <c r="C139" s="322">
        <v>1110.55</v>
      </c>
      <c r="D139" s="209">
        <v>-1.9269731214263119E-2</v>
      </c>
      <c r="E139" s="321">
        <v>24668.25</v>
      </c>
      <c r="F139" s="210">
        <v>-1.3468730047733413E-2</v>
      </c>
    </row>
    <row r="140" spans="2:6" ht="15" thickBot="1" x14ac:dyDescent="0.2">
      <c r="B140" s="313">
        <v>45639</v>
      </c>
      <c r="C140" s="322">
        <v>1111.25</v>
      </c>
      <c r="D140" s="210">
        <v>-6.2992125984251413E-4</v>
      </c>
      <c r="E140" s="321">
        <v>24768.3</v>
      </c>
      <c r="F140" s="210">
        <v>-4.0394375068131261E-3</v>
      </c>
    </row>
    <row r="141" spans="2:6" ht="15" thickBot="1" x14ac:dyDescent="0.2">
      <c r="B141" s="313">
        <v>45638</v>
      </c>
      <c r="C141" s="322">
        <v>1110</v>
      </c>
      <c r="D141" s="210">
        <v>1.1261261261261701E-3</v>
      </c>
      <c r="E141" s="321">
        <v>24548.7</v>
      </c>
      <c r="F141" s="210">
        <v>8.9454838749098986E-3</v>
      </c>
    </row>
    <row r="142" spans="2:6" ht="15" thickBot="1" x14ac:dyDescent="0.2">
      <c r="B142" s="313">
        <v>45637</v>
      </c>
      <c r="C142" s="322">
        <v>1135.2</v>
      </c>
      <c r="D142" s="209">
        <v>-2.2198731501057112E-2</v>
      </c>
      <c r="E142" s="321">
        <v>24641.8</v>
      </c>
      <c r="F142" s="209">
        <v>-3.778133090926783E-3</v>
      </c>
    </row>
    <row r="143" spans="2:6" ht="15" thickBot="1" x14ac:dyDescent="0.2">
      <c r="B143" s="313">
        <v>45636</v>
      </c>
      <c r="C143" s="322">
        <v>1133.5999999999999</v>
      </c>
      <c r="D143" s="209">
        <v>1.4114326040932657E-3</v>
      </c>
      <c r="E143" s="321">
        <v>24610.05</v>
      </c>
      <c r="F143" s="209">
        <v>1.2901233439184256E-3</v>
      </c>
    </row>
    <row r="144" spans="2:6" ht="15" thickBot="1" x14ac:dyDescent="0.2">
      <c r="B144" s="313">
        <v>45635</v>
      </c>
      <c r="C144" s="322">
        <v>1127.9000000000001</v>
      </c>
      <c r="D144" s="210">
        <v>5.0536395070484019E-3</v>
      </c>
      <c r="E144" s="321">
        <v>24619</v>
      </c>
      <c r="F144" s="209">
        <v>-3.6354035501040549E-4</v>
      </c>
    </row>
    <row r="145" spans="2:6" ht="15" thickBot="1" x14ac:dyDescent="0.2">
      <c r="B145" s="313">
        <v>45632</v>
      </c>
      <c r="C145" s="322">
        <v>1235.5999999999999</v>
      </c>
      <c r="D145" s="209">
        <v>-8.7164130786662186E-2</v>
      </c>
      <c r="E145" s="321">
        <v>24677.8</v>
      </c>
      <c r="F145" s="210">
        <v>-2.3827083451523068E-3</v>
      </c>
    </row>
    <row r="146" spans="2:6" ht="15" thickBot="1" x14ac:dyDescent="0.2">
      <c r="B146" s="313">
        <v>45631</v>
      </c>
      <c r="C146" s="322">
        <v>1240.25</v>
      </c>
      <c r="D146" s="209">
        <v>-3.74924410401134E-3</v>
      </c>
      <c r="E146" s="321">
        <v>24708.400000000001</v>
      </c>
      <c r="F146" s="209">
        <v>-1.2384452251057443E-3</v>
      </c>
    </row>
    <row r="147" spans="2:6" ht="15" thickBot="1" x14ac:dyDescent="0.2">
      <c r="B147" s="313">
        <v>45630</v>
      </c>
      <c r="C147" s="322">
        <v>1228.05</v>
      </c>
      <c r="D147" s="210">
        <v>9.9344489230894784E-3</v>
      </c>
      <c r="E147" s="321">
        <v>24467.45</v>
      </c>
      <c r="F147" s="209">
        <v>9.8477773531773227E-3</v>
      </c>
    </row>
    <row r="148" spans="2:6" ht="15" thickBot="1" x14ac:dyDescent="0.2">
      <c r="B148" s="313">
        <v>45629</v>
      </c>
      <c r="C148" s="322">
        <v>1230.25</v>
      </c>
      <c r="D148" s="210">
        <v>-1.7882544198334349E-3</v>
      </c>
      <c r="E148" s="321">
        <v>24457.15</v>
      </c>
      <c r="F148" s="209">
        <v>4.2114473681520437E-4</v>
      </c>
    </row>
    <row r="149" spans="2:6" ht="15" thickBot="1" x14ac:dyDescent="0.2">
      <c r="B149" s="313">
        <v>45628</v>
      </c>
      <c r="C149" s="322">
        <v>1227</v>
      </c>
      <c r="D149" s="210">
        <v>2.6487367563161612E-3</v>
      </c>
      <c r="E149" s="321">
        <v>24276.05</v>
      </c>
      <c r="F149" s="209">
        <v>7.4600274756395635E-3</v>
      </c>
    </row>
    <row r="150" spans="2:6" ht="15" thickBot="1" x14ac:dyDescent="0.2">
      <c r="B150" s="313">
        <v>45625</v>
      </c>
      <c r="C150" s="322">
        <v>1243.7</v>
      </c>
      <c r="D150" s="209">
        <v>-1.342767548444157E-2</v>
      </c>
      <c r="E150" s="321">
        <v>24131.1</v>
      </c>
      <c r="F150" s="209">
        <v>6.0067713448621607E-3</v>
      </c>
    </row>
    <row r="151" spans="2:6" ht="15" thickBot="1" x14ac:dyDescent="0.2">
      <c r="B151" s="313">
        <v>45624</v>
      </c>
      <c r="C151" s="322">
        <v>1250.75</v>
      </c>
      <c r="D151" s="209">
        <v>-5.6366180291824719E-3</v>
      </c>
      <c r="E151" s="321">
        <v>23914.15</v>
      </c>
      <c r="F151" s="209">
        <v>9.0720347576642713E-3</v>
      </c>
    </row>
    <row r="152" spans="2:6" ht="15" thickBot="1" x14ac:dyDescent="0.2">
      <c r="B152" s="313">
        <v>45623</v>
      </c>
      <c r="C152" s="322">
        <v>1259.45</v>
      </c>
      <c r="D152" s="209">
        <v>-6.9077772043352192E-3</v>
      </c>
      <c r="E152" s="321">
        <v>24274.9</v>
      </c>
      <c r="F152" s="209">
        <v>-1.4861029293632533E-2</v>
      </c>
    </row>
    <row r="153" spans="2:6" ht="15" thickBot="1" x14ac:dyDescent="0.2">
      <c r="B153" s="313">
        <v>45622</v>
      </c>
      <c r="C153" s="322">
        <v>1240.55</v>
      </c>
      <c r="D153" s="210">
        <v>1.5235177945266187E-2</v>
      </c>
      <c r="E153" s="321">
        <v>24194.5</v>
      </c>
      <c r="F153" s="210">
        <v>3.3230692926078387E-3</v>
      </c>
    </row>
    <row r="154" spans="2:6" ht="15" thickBot="1" x14ac:dyDescent="0.2">
      <c r="B154" s="313">
        <v>45621</v>
      </c>
      <c r="C154" s="322">
        <v>1223.4000000000001</v>
      </c>
      <c r="D154" s="209">
        <v>1.4018309628903047E-2</v>
      </c>
      <c r="E154" s="321">
        <v>24221.9</v>
      </c>
      <c r="F154" s="209">
        <v>-1.1312077087264338E-3</v>
      </c>
    </row>
    <row r="155" spans="2:6" ht="15" thickBot="1" x14ac:dyDescent="0.2">
      <c r="B155" s="313">
        <v>45618</v>
      </c>
      <c r="C155" s="322">
        <v>1193.2</v>
      </c>
      <c r="D155" s="209">
        <v>2.5310090512906447E-2</v>
      </c>
      <c r="E155" s="321">
        <v>23907.25</v>
      </c>
      <c r="F155" s="209">
        <v>1.3161279528176584E-2</v>
      </c>
    </row>
    <row r="156" spans="2:6" ht="15" thickBot="1" x14ac:dyDescent="0.2">
      <c r="B156" s="313">
        <v>45617</v>
      </c>
      <c r="C156" s="322">
        <v>1178.25</v>
      </c>
      <c r="D156" s="209">
        <v>1.2688308932739201E-2</v>
      </c>
      <c r="E156" s="321">
        <v>23349.9</v>
      </c>
      <c r="F156" s="209">
        <v>2.3869481239748191E-2</v>
      </c>
    </row>
    <row r="157" spans="2:6" ht="15" thickBot="1" x14ac:dyDescent="0.2">
      <c r="B157" s="313">
        <v>45615</v>
      </c>
      <c r="C157" s="322">
        <v>1185.9000000000001</v>
      </c>
      <c r="D157" s="210">
        <v>-6.4507968631419832E-3</v>
      </c>
      <c r="E157" s="321">
        <v>23518.5</v>
      </c>
      <c r="F157" s="210">
        <v>-7.1688245423814356E-3</v>
      </c>
    </row>
    <row r="158" spans="2:6" ht="15" thickBot="1" x14ac:dyDescent="0.2">
      <c r="B158" s="313">
        <v>45614</v>
      </c>
      <c r="C158" s="322">
        <v>1181.45</v>
      </c>
      <c r="D158" s="210">
        <v>3.7665580430827905E-3</v>
      </c>
      <c r="E158" s="321">
        <v>23453.8</v>
      </c>
      <c r="F158" s="210">
        <v>2.758614808687776E-3</v>
      </c>
    </row>
    <row r="159" spans="2:6" ht="15" thickBot="1" x14ac:dyDescent="0.2">
      <c r="B159" s="313">
        <v>45610</v>
      </c>
      <c r="C159" s="322">
        <v>1175</v>
      </c>
      <c r="D159" s="210">
        <v>5.4893617021276597E-3</v>
      </c>
      <c r="E159" s="321">
        <v>23532.7</v>
      </c>
      <c r="F159" s="209">
        <v>-3.3527814487925856E-3</v>
      </c>
    </row>
    <row r="160" spans="2:6" ht="15" thickBot="1" x14ac:dyDescent="0.2">
      <c r="B160" s="313">
        <v>45609</v>
      </c>
      <c r="C160" s="322">
        <v>1183</v>
      </c>
      <c r="D160" s="209">
        <v>-6.7624683009298581E-3</v>
      </c>
      <c r="E160" s="321">
        <v>23559.05</v>
      </c>
      <c r="F160" s="209">
        <v>-1.1184661520731165E-3</v>
      </c>
    </row>
    <row r="161" spans="2:6" ht="15" thickBot="1" x14ac:dyDescent="0.2">
      <c r="B161" s="313">
        <v>45608</v>
      </c>
      <c r="C161" s="322">
        <v>1176.25</v>
      </c>
      <c r="D161" s="209">
        <v>5.7385759829968741E-3</v>
      </c>
      <c r="E161" s="321">
        <v>23883.45</v>
      </c>
      <c r="F161" s="209">
        <v>-1.3582627300494754E-2</v>
      </c>
    </row>
    <row r="162" spans="2:6" ht="15" thickBot="1" x14ac:dyDescent="0.2">
      <c r="B162" s="313">
        <v>45607</v>
      </c>
      <c r="C162" s="322">
        <v>1221</v>
      </c>
      <c r="D162" s="209">
        <v>-3.665028665028669E-2</v>
      </c>
      <c r="E162" s="321">
        <v>24141.3</v>
      </c>
      <c r="F162" s="210">
        <v>-1.0680866399075395E-2</v>
      </c>
    </row>
    <row r="163" spans="2:6" ht="15" thickBot="1" x14ac:dyDescent="0.2">
      <c r="B163" s="313">
        <v>45604</v>
      </c>
      <c r="C163" s="322">
        <v>1250.6500000000001</v>
      </c>
      <c r="D163" s="209">
        <v>-2.370767201055457E-2</v>
      </c>
      <c r="E163" s="321">
        <v>24148.2</v>
      </c>
      <c r="F163" s="210">
        <v>-2.8573558277644739E-4</v>
      </c>
    </row>
    <row r="164" spans="2:6" ht="15" thickBot="1" x14ac:dyDescent="0.2">
      <c r="B164" s="313">
        <v>45603</v>
      </c>
      <c r="C164" s="322">
        <v>1259.3499999999999</v>
      </c>
      <c r="D164" s="209">
        <v>-6.9083257235874607E-3</v>
      </c>
      <c r="E164" s="321">
        <v>24199.35</v>
      </c>
      <c r="F164" s="209">
        <v>-2.1136931363857636E-3</v>
      </c>
    </row>
    <row r="165" spans="2:6" ht="15" thickBot="1" x14ac:dyDescent="0.2">
      <c r="B165" s="313">
        <v>45602</v>
      </c>
      <c r="C165" s="322">
        <v>1275.05</v>
      </c>
      <c r="D165" s="209">
        <v>-1.2313242617936537E-2</v>
      </c>
      <c r="E165" s="321">
        <v>24484.05</v>
      </c>
      <c r="F165" s="209">
        <v>-1.1627978214388546E-2</v>
      </c>
    </row>
    <row r="166" spans="2:6" ht="15" thickBot="1" x14ac:dyDescent="0.2">
      <c r="B166" s="313">
        <v>45601</v>
      </c>
      <c r="C166" s="322">
        <v>1266.0999999999999</v>
      </c>
      <c r="D166" s="209">
        <v>7.0689518995339373E-3</v>
      </c>
      <c r="E166" s="321">
        <v>24213.3</v>
      </c>
      <c r="F166" s="210">
        <v>1.1181871120417242E-2</v>
      </c>
    </row>
    <row r="167" spans="2:6" ht="15" thickBot="1" x14ac:dyDescent="0.2">
      <c r="B167" s="313">
        <v>45600</v>
      </c>
      <c r="C167" s="322">
        <v>1272.45</v>
      </c>
      <c r="D167" s="210">
        <v>-4.9903729026682386E-3</v>
      </c>
      <c r="E167" s="321">
        <v>23995.35</v>
      </c>
      <c r="F167" s="210">
        <v>9.0830098331551312E-3</v>
      </c>
    </row>
    <row r="168" spans="2:6" ht="15" thickBot="1" x14ac:dyDescent="0.2">
      <c r="B168" s="313">
        <v>45597</v>
      </c>
      <c r="C168" s="322">
        <v>1275.05</v>
      </c>
      <c r="D168" s="209">
        <v>-2.039135720167784E-3</v>
      </c>
      <c r="E168" s="321">
        <v>24304.35</v>
      </c>
      <c r="F168" s="209">
        <v>-1.2713773460306443E-2</v>
      </c>
    </row>
    <row r="169" spans="2:6" ht="15" thickBot="1" x14ac:dyDescent="0.2">
      <c r="B169" s="313">
        <v>45596</v>
      </c>
      <c r="C169" s="322">
        <v>1283.3499999999999</v>
      </c>
      <c r="D169" s="210">
        <v>-6.4674484746950478E-3</v>
      </c>
      <c r="E169" s="321">
        <v>24205.35</v>
      </c>
      <c r="F169" s="210">
        <v>4.0900048956118429E-3</v>
      </c>
    </row>
    <row r="170" spans="2:6" ht="15" thickBot="1" x14ac:dyDescent="0.2">
      <c r="B170" s="313">
        <v>45595</v>
      </c>
      <c r="C170" s="322">
        <v>1299.0999999999999</v>
      </c>
      <c r="D170" s="210">
        <v>-1.2123778000153962E-2</v>
      </c>
      <c r="E170" s="321">
        <v>24340.85</v>
      </c>
      <c r="F170" s="209">
        <v>-5.5667735514577377E-3</v>
      </c>
    </row>
    <row r="171" spans="2:6" ht="15" thickBot="1" x14ac:dyDescent="0.2">
      <c r="B171" s="313">
        <v>45594</v>
      </c>
      <c r="C171" s="322">
        <v>1277.5999999999999</v>
      </c>
      <c r="D171" s="209">
        <v>1.6828428303068188E-2</v>
      </c>
      <c r="E171" s="321">
        <v>24466.85</v>
      </c>
      <c r="F171" s="209">
        <v>-5.1498251716097787E-3</v>
      </c>
    </row>
    <row r="172" spans="2:6" ht="15" thickBot="1" x14ac:dyDescent="0.2">
      <c r="B172" s="313">
        <v>45593</v>
      </c>
      <c r="C172" s="322">
        <v>1297.25</v>
      </c>
      <c r="D172" s="209">
        <v>-1.5147427249951884E-2</v>
      </c>
      <c r="E172" s="321">
        <v>24339.15</v>
      </c>
      <c r="F172" s="210">
        <v>5.2466910307056303E-3</v>
      </c>
    </row>
    <row r="173" spans="2:6" ht="15" thickBot="1" x14ac:dyDescent="0.2">
      <c r="B173" s="313">
        <v>45590</v>
      </c>
      <c r="C173" s="322">
        <v>1291.2</v>
      </c>
      <c r="D173" s="209">
        <v>4.6855638166045654E-3</v>
      </c>
      <c r="E173" s="321">
        <v>24180.799999999999</v>
      </c>
      <c r="F173" s="210">
        <v>6.5485840005294893E-3</v>
      </c>
    </row>
    <row r="174" spans="2:6" ht="15" thickBot="1" x14ac:dyDescent="0.2">
      <c r="B174" s="313">
        <v>45589</v>
      </c>
      <c r="C174" s="322">
        <v>1254.5</v>
      </c>
      <c r="D174" s="210">
        <v>2.925468314069346E-2</v>
      </c>
      <c r="E174" s="321">
        <v>24399.4</v>
      </c>
      <c r="F174" s="210">
        <v>-8.9592367025419506E-3</v>
      </c>
    </row>
    <row r="175" spans="2:6" ht="15" thickBot="1" x14ac:dyDescent="0.2">
      <c r="B175" s="313">
        <v>45588</v>
      </c>
      <c r="C175" s="322">
        <v>1292.05</v>
      </c>
      <c r="D175" s="209">
        <v>-2.9062342788591766E-2</v>
      </c>
      <c r="E175" s="321">
        <v>24435.5</v>
      </c>
      <c r="F175" s="209">
        <v>-1.4773587608192251E-3</v>
      </c>
    </row>
    <row r="176" spans="2:6" ht="15" thickBot="1" x14ac:dyDescent="0.2">
      <c r="B176" s="313">
        <v>45587</v>
      </c>
      <c r="C176" s="322">
        <v>1299.3499999999999</v>
      </c>
      <c r="D176" s="209">
        <v>-5.6181937122407044E-3</v>
      </c>
      <c r="E176" s="321">
        <v>24472.1</v>
      </c>
      <c r="F176" s="210">
        <v>-1.4955806816742134E-3</v>
      </c>
    </row>
    <row r="177" spans="2:6" ht="15" thickBot="1" x14ac:dyDescent="0.2">
      <c r="B177" s="313">
        <v>45586</v>
      </c>
      <c r="C177" s="322">
        <v>1315</v>
      </c>
      <c r="D177" s="210">
        <v>-1.1901140684410727E-2</v>
      </c>
      <c r="E177" s="321">
        <v>24781.1</v>
      </c>
      <c r="F177" s="210">
        <v>-1.2469180141317371E-2</v>
      </c>
    </row>
    <row r="178" spans="2:6" ht="15" thickBot="1" x14ac:dyDescent="0.2">
      <c r="B178" s="313">
        <v>45583</v>
      </c>
      <c r="C178" s="322">
        <v>1335.8</v>
      </c>
      <c r="D178" s="209">
        <v>-1.5571193292408969E-2</v>
      </c>
      <c r="E178" s="321">
        <v>24854.05</v>
      </c>
      <c r="F178" s="209">
        <v>-2.9351353199982277E-3</v>
      </c>
    </row>
    <row r="179" spans="2:6" ht="15" thickBot="1" x14ac:dyDescent="0.2">
      <c r="B179" s="313">
        <v>45582</v>
      </c>
      <c r="C179" s="322">
        <v>1345.75</v>
      </c>
      <c r="D179" s="210">
        <v>-7.3936466654281885E-3</v>
      </c>
      <c r="E179" s="321">
        <v>24749.85</v>
      </c>
      <c r="F179" s="209">
        <v>4.2101265260194864E-3</v>
      </c>
    </row>
    <row r="180" spans="2:6" ht="15" thickBot="1" x14ac:dyDescent="0.2">
      <c r="B180" s="313">
        <v>45581</v>
      </c>
      <c r="C180" s="322">
        <v>1360.2</v>
      </c>
      <c r="D180" s="209">
        <v>-1.0623437729745611E-2</v>
      </c>
      <c r="E180" s="321">
        <v>24971.3</v>
      </c>
      <c r="F180" s="210">
        <v>-8.8681806714108191E-3</v>
      </c>
    </row>
    <row r="181" spans="2:6" ht="15" thickBot="1" x14ac:dyDescent="0.2">
      <c r="B181" s="313">
        <v>45580</v>
      </c>
      <c r="C181" s="322">
        <v>1342.6</v>
      </c>
      <c r="D181" s="210">
        <v>1.3108893192313564E-2</v>
      </c>
      <c r="E181" s="321">
        <v>25057.35</v>
      </c>
      <c r="F181" s="210">
        <v>-3.4341221238478603E-3</v>
      </c>
    </row>
    <row r="182" spans="2:6" ht="15" thickBot="1" x14ac:dyDescent="0.2">
      <c r="B182" s="313">
        <v>45579</v>
      </c>
      <c r="C182" s="322">
        <v>1313.15</v>
      </c>
      <c r="D182" s="210">
        <v>2.2426988539009152E-2</v>
      </c>
      <c r="E182" s="321">
        <v>25127.95</v>
      </c>
      <c r="F182" s="209">
        <v>-2.809620362982379E-3</v>
      </c>
    </row>
    <row r="183" spans="2:6" ht="15" thickBot="1" x14ac:dyDescent="0.2">
      <c r="B183" s="313">
        <v>45576</v>
      </c>
      <c r="C183" s="322">
        <v>1315.9</v>
      </c>
      <c r="D183" s="210">
        <v>-2.0898244547458145E-3</v>
      </c>
      <c r="E183" s="321">
        <v>24964.25</v>
      </c>
      <c r="F183" s="209">
        <v>6.5573770491802463E-3</v>
      </c>
    </row>
    <row r="184" spans="2:6" ht="15" thickBot="1" x14ac:dyDescent="0.2">
      <c r="B184" s="313">
        <v>45575</v>
      </c>
      <c r="C184" s="322">
        <v>1316.3</v>
      </c>
      <c r="D184" s="210">
        <v>-3.0388209374754283E-4</v>
      </c>
      <c r="E184" s="321">
        <v>24998.45</v>
      </c>
      <c r="F184" s="209">
        <v>-1.3680848212589414E-3</v>
      </c>
    </row>
    <row r="185" spans="2:6" ht="15" thickBot="1" x14ac:dyDescent="0.2">
      <c r="B185" s="313">
        <v>45574</v>
      </c>
      <c r="C185" s="322">
        <v>1333.3</v>
      </c>
      <c r="D185" s="210">
        <v>-1.2750318757968948E-2</v>
      </c>
      <c r="E185" s="321">
        <v>24981.95</v>
      </c>
      <c r="F185" s="209">
        <v>6.6047686429593355E-4</v>
      </c>
    </row>
    <row r="186" spans="2:6" ht="15" thickBot="1" x14ac:dyDescent="0.2">
      <c r="B186" s="313">
        <v>45573</v>
      </c>
      <c r="C186" s="322">
        <v>1304.6500000000001</v>
      </c>
      <c r="D186" s="210">
        <v>2.1959912620242772E-2</v>
      </c>
      <c r="E186" s="321">
        <v>25013.15</v>
      </c>
      <c r="F186" s="209">
        <v>-1.2473438971101203E-3</v>
      </c>
    </row>
    <row r="187" spans="2:6" ht="15" thickBot="1" x14ac:dyDescent="0.2">
      <c r="B187" s="313">
        <v>45572</v>
      </c>
      <c r="C187" s="322">
        <v>1330.5</v>
      </c>
      <c r="D187" s="210">
        <v>-1.94287861706125E-2</v>
      </c>
      <c r="E187" s="321">
        <v>24795.75</v>
      </c>
      <c r="F187" s="209">
        <v>8.7676315497615676E-3</v>
      </c>
    </row>
    <row r="188" spans="2:6" ht="15" thickBot="1" x14ac:dyDescent="0.2">
      <c r="B188" s="313">
        <v>45569</v>
      </c>
      <c r="C188" s="322">
        <v>1343.4</v>
      </c>
      <c r="D188" s="209">
        <v>-9.6025011165700169E-3</v>
      </c>
      <c r="E188" s="321">
        <v>25014.6</v>
      </c>
      <c r="F188" s="210">
        <v>-8.7488906478615514E-3</v>
      </c>
    </row>
    <row r="189" spans="2:6" ht="15" thickBot="1" x14ac:dyDescent="0.2">
      <c r="B189" s="313">
        <v>45568</v>
      </c>
      <c r="C189" s="322">
        <v>1348.35</v>
      </c>
      <c r="D189" s="209">
        <v>-3.6711536322170391E-3</v>
      </c>
      <c r="E189" s="321">
        <v>25250.1</v>
      </c>
      <c r="F189" s="209">
        <v>-9.3266957358584257E-3</v>
      </c>
    </row>
    <row r="190" spans="2:6" ht="15" thickBot="1" x14ac:dyDescent="0.2">
      <c r="B190" s="313">
        <v>45566</v>
      </c>
      <c r="C190" s="322">
        <v>1388.25</v>
      </c>
      <c r="D190" s="210">
        <v>-2.8741220961642444E-2</v>
      </c>
      <c r="E190" s="321">
        <v>25796.9</v>
      </c>
      <c r="F190" s="209">
        <v>-2.1196345297303298E-2</v>
      </c>
    </row>
    <row r="191" spans="2:6" ht="15" thickBot="1" x14ac:dyDescent="0.2">
      <c r="B191" s="313">
        <v>45565</v>
      </c>
      <c r="C191" s="322">
        <v>1394.15</v>
      </c>
      <c r="D191" s="209">
        <v>-4.2319693002905723E-3</v>
      </c>
      <c r="E191" s="321">
        <v>25810.85</v>
      </c>
      <c r="F191" s="210">
        <v>-5.4047038357885047E-4</v>
      </c>
    </row>
    <row r="192" spans="2:6" ht="15" thickBot="1" x14ac:dyDescent="0.2">
      <c r="B192" s="313">
        <v>45562</v>
      </c>
      <c r="C192" s="322">
        <v>1388.15</v>
      </c>
      <c r="D192" s="210">
        <v>4.3222994633145273E-3</v>
      </c>
      <c r="E192" s="321">
        <v>26178.95</v>
      </c>
      <c r="F192" s="209">
        <v>-1.4060915353747983E-2</v>
      </c>
    </row>
    <row r="193" spans="2:6" ht="15" thickBot="1" x14ac:dyDescent="0.2">
      <c r="B193" s="313">
        <v>45561</v>
      </c>
      <c r="C193" s="322">
        <v>1421.85</v>
      </c>
      <c r="D193" s="209">
        <v>-2.3701515631043946E-2</v>
      </c>
      <c r="E193" s="321">
        <v>26216.05</v>
      </c>
      <c r="F193" s="209">
        <v>-1.4151636116043198E-3</v>
      </c>
    </row>
    <row r="194" spans="2:6" ht="15" thickBot="1" x14ac:dyDescent="0.2">
      <c r="B194" s="313">
        <v>45560</v>
      </c>
      <c r="C194" s="322">
        <v>1429.9</v>
      </c>
      <c r="D194" s="210">
        <v>-5.6297643191832725E-3</v>
      </c>
      <c r="E194" s="321">
        <v>26004.15</v>
      </c>
      <c r="F194" s="209">
        <v>8.1486993422204002E-3</v>
      </c>
    </row>
    <row r="195" spans="2:6" ht="15" thickBot="1" x14ac:dyDescent="0.2">
      <c r="B195" s="313">
        <v>45559</v>
      </c>
      <c r="C195" s="322">
        <v>1446.9</v>
      </c>
      <c r="D195" s="209">
        <v>-1.1749257032275917E-2</v>
      </c>
      <c r="E195" s="321">
        <v>25940.400000000001</v>
      </c>
      <c r="F195" s="209">
        <v>2.4575565527131804E-3</v>
      </c>
    </row>
    <row r="196" spans="2:6" ht="15" thickBot="1" x14ac:dyDescent="0.2">
      <c r="B196" s="313">
        <v>45558</v>
      </c>
      <c r="C196" s="322">
        <v>1448.65</v>
      </c>
      <c r="D196" s="209">
        <v>-1.2080212611741414E-3</v>
      </c>
      <c r="E196" s="321">
        <v>25939.05</v>
      </c>
      <c r="F196" s="209">
        <v>5.2045082607143911E-5</v>
      </c>
    </row>
    <row r="197" spans="2:6" ht="15" thickBot="1" x14ac:dyDescent="0.2">
      <c r="B197" s="313">
        <v>45555</v>
      </c>
      <c r="C197" s="322">
        <v>1460.85</v>
      </c>
      <c r="D197" s="210">
        <v>-8.3513023239892847E-3</v>
      </c>
      <c r="E197" s="321">
        <v>25790.95</v>
      </c>
      <c r="F197" s="209">
        <v>5.7423243424534753E-3</v>
      </c>
    </row>
    <row r="198" spans="2:6" ht="15" thickBot="1" x14ac:dyDescent="0.2">
      <c r="B198" s="313">
        <v>45554</v>
      </c>
      <c r="C198" s="322">
        <v>1445.05</v>
      </c>
      <c r="D198" s="209">
        <v>1.0933877720494145E-2</v>
      </c>
      <c r="E198" s="321">
        <v>25415.8</v>
      </c>
      <c r="F198" s="209">
        <v>1.4760503308965278E-2</v>
      </c>
    </row>
    <row r="199" spans="2:6" ht="15" thickBot="1" x14ac:dyDescent="0.2">
      <c r="B199" s="313">
        <v>45553</v>
      </c>
      <c r="C199" s="322">
        <v>1433.1</v>
      </c>
      <c r="D199" s="209">
        <v>8.3385667434234811E-3</v>
      </c>
      <c r="E199" s="321">
        <v>25377.55</v>
      </c>
      <c r="F199" s="209">
        <v>1.5072376963103373E-3</v>
      </c>
    </row>
    <row r="200" spans="2:6" ht="15" thickBot="1" x14ac:dyDescent="0.2">
      <c r="B200" s="313">
        <v>45552</v>
      </c>
      <c r="C200" s="322">
        <v>1460.65</v>
      </c>
      <c r="D200" s="210">
        <v>-1.8861465785780407E-2</v>
      </c>
      <c r="E200" s="321">
        <v>25418.55</v>
      </c>
      <c r="F200" s="210">
        <v>-1.6129952337957665E-3</v>
      </c>
    </row>
    <row r="201" spans="2:6" ht="15" thickBot="1" x14ac:dyDescent="0.2">
      <c r="B201" s="313">
        <v>45551</v>
      </c>
      <c r="C201" s="322">
        <v>1456.2</v>
      </c>
      <c r="D201" s="210">
        <v>3.0558989149842564E-3</v>
      </c>
      <c r="E201" s="321">
        <v>25383.75</v>
      </c>
      <c r="F201" s="210">
        <v>1.3709558280394774E-3</v>
      </c>
    </row>
    <row r="202" spans="2:6" ht="15" thickBot="1" x14ac:dyDescent="0.2">
      <c r="B202" s="313">
        <v>45548</v>
      </c>
      <c r="C202" s="322">
        <v>1489.8</v>
      </c>
      <c r="D202" s="209">
        <v>-2.2553362867498983E-2</v>
      </c>
      <c r="E202" s="321">
        <v>25356.5</v>
      </c>
      <c r="F202" s="209">
        <v>1.0746751326089488E-3</v>
      </c>
    </row>
    <row r="203" spans="2:6" ht="15" thickBot="1" x14ac:dyDescent="0.2">
      <c r="B203" s="313">
        <v>45547</v>
      </c>
      <c r="C203" s="322">
        <v>1510.2</v>
      </c>
      <c r="D203" s="209">
        <v>-1.3508144616607098E-2</v>
      </c>
      <c r="E203" s="321">
        <v>25388.9</v>
      </c>
      <c r="F203" s="209">
        <v>-1.276148238009589E-3</v>
      </c>
    </row>
    <row r="204" spans="2:6" ht="15" thickBot="1" x14ac:dyDescent="0.2">
      <c r="B204" s="313">
        <v>45546</v>
      </c>
      <c r="C204" s="322">
        <v>1499.75</v>
      </c>
      <c r="D204" s="210">
        <v>6.9678279713285551E-3</v>
      </c>
      <c r="E204" s="321">
        <v>24918.45</v>
      </c>
      <c r="F204" s="210">
        <v>1.8879585206944993E-2</v>
      </c>
    </row>
    <row r="205" spans="2:6" ht="15" thickBot="1" x14ac:dyDescent="0.2">
      <c r="B205" s="313">
        <v>45545</v>
      </c>
      <c r="C205" s="322">
        <v>1502.5</v>
      </c>
      <c r="D205" s="210">
        <v>-1.8302828618967926E-3</v>
      </c>
      <c r="E205" s="321">
        <v>25041.1</v>
      </c>
      <c r="F205" s="209">
        <v>-4.8979477738596566E-3</v>
      </c>
    </row>
    <row r="206" spans="2:6" ht="15" thickBot="1" x14ac:dyDescent="0.2">
      <c r="B206" s="313">
        <v>45544</v>
      </c>
      <c r="C206" s="322">
        <v>1498.65</v>
      </c>
      <c r="D206" s="209">
        <v>2.5689787475393633E-3</v>
      </c>
      <c r="E206" s="321">
        <v>24936.400000000001</v>
      </c>
      <c r="F206" s="210">
        <v>4.1986814455974297E-3</v>
      </c>
    </row>
    <row r="207" spans="2:6" ht="15" thickBot="1" x14ac:dyDescent="0.2">
      <c r="B207" s="313">
        <v>45541</v>
      </c>
      <c r="C207" s="322">
        <v>1444.95</v>
      </c>
      <c r="D207" s="210">
        <v>3.7163915706425854E-2</v>
      </c>
      <c r="E207" s="321">
        <v>24852.15</v>
      </c>
      <c r="F207" s="209">
        <v>3.3900487482974029E-3</v>
      </c>
    </row>
    <row r="208" spans="2:6" ht="15" thickBot="1" x14ac:dyDescent="0.2">
      <c r="B208" s="313">
        <v>45540</v>
      </c>
      <c r="C208" s="322">
        <v>1458</v>
      </c>
      <c r="D208" s="209">
        <v>-8.9506172839506348E-3</v>
      </c>
      <c r="E208" s="321">
        <v>25145.1</v>
      </c>
      <c r="F208" s="209">
        <v>-1.16503811875871E-2</v>
      </c>
    </row>
    <row r="209" spans="2:6" ht="15" thickBot="1" x14ac:dyDescent="0.2">
      <c r="B209" s="313">
        <v>45539</v>
      </c>
      <c r="C209" s="322">
        <v>1475.4</v>
      </c>
      <c r="D209" s="209">
        <v>-1.1793411956079747E-2</v>
      </c>
      <c r="E209" s="321">
        <v>25198.7</v>
      </c>
      <c r="F209" s="209">
        <v>-2.127093858016571E-3</v>
      </c>
    </row>
    <row r="210" spans="2:6" ht="15" thickBot="1" x14ac:dyDescent="0.2">
      <c r="B210" s="313">
        <v>45538</v>
      </c>
      <c r="C210" s="322">
        <v>1460.05</v>
      </c>
      <c r="D210" s="209">
        <v>1.0513338584295262E-2</v>
      </c>
      <c r="E210" s="321">
        <v>25279.85</v>
      </c>
      <c r="F210" s="210">
        <v>-3.2100665154262131E-3</v>
      </c>
    </row>
    <row r="211" spans="2:6" ht="15" thickBot="1" x14ac:dyDescent="0.2">
      <c r="B211" s="313">
        <v>45537</v>
      </c>
      <c r="C211" s="322">
        <v>1469.65</v>
      </c>
      <c r="D211" s="210">
        <v>-6.5321675228796616E-3</v>
      </c>
      <c r="E211" s="321">
        <v>25278.7</v>
      </c>
      <c r="F211" s="210">
        <v>4.5492845755390476E-5</v>
      </c>
    </row>
    <row r="212" spans="2:6" ht="15" thickBot="1" x14ac:dyDescent="0.2">
      <c r="B212" s="313">
        <v>45534</v>
      </c>
      <c r="C212" s="322">
        <v>1481.9</v>
      </c>
      <c r="D212" s="210">
        <v>-8.2664147378365138E-3</v>
      </c>
      <c r="E212" s="321">
        <v>25235.9</v>
      </c>
      <c r="F212" s="209">
        <v>1.6959965763059248E-3</v>
      </c>
    </row>
    <row r="213" spans="2:6" ht="15" thickBot="1" x14ac:dyDescent="0.2">
      <c r="B213" s="313">
        <v>45533</v>
      </c>
      <c r="C213" s="322">
        <v>1476.7</v>
      </c>
      <c r="D213" s="210">
        <v>3.5213652062029421E-3</v>
      </c>
      <c r="E213" s="321">
        <v>25151.95</v>
      </c>
      <c r="F213" s="209">
        <v>3.3377133780880808E-3</v>
      </c>
    </row>
    <row r="214" spans="2:6" ht="15" thickBot="1" x14ac:dyDescent="0.2">
      <c r="B214" s="313">
        <v>45532</v>
      </c>
      <c r="C214" s="322">
        <v>1477.05</v>
      </c>
      <c r="D214" s="209">
        <v>-2.3695880301943806E-4</v>
      </c>
      <c r="E214" s="321">
        <v>25052.35</v>
      </c>
      <c r="F214" s="209">
        <v>3.975674936682605E-3</v>
      </c>
    </row>
    <row r="215" spans="2:6" ht="15" thickBot="1" x14ac:dyDescent="0.2">
      <c r="B215" s="313">
        <v>45531</v>
      </c>
      <c r="C215" s="322">
        <v>1455.75</v>
      </c>
      <c r="D215" s="209">
        <v>1.4631633178773695E-2</v>
      </c>
      <c r="E215" s="321">
        <v>25017.75</v>
      </c>
      <c r="F215" s="209">
        <v>1.3830180571794415E-3</v>
      </c>
    </row>
    <row r="216" spans="2:6" ht="15" thickBot="1" x14ac:dyDescent="0.2">
      <c r="B216" s="313">
        <v>45530</v>
      </c>
      <c r="C216" s="322">
        <v>1453.6</v>
      </c>
      <c r="D216" s="210">
        <v>1.4790864061640097E-3</v>
      </c>
      <c r="E216" s="321">
        <v>25010.6</v>
      </c>
      <c r="F216" s="210">
        <v>2.8587878739427808E-4</v>
      </c>
    </row>
    <row r="217" spans="2:6" ht="15" thickBot="1" x14ac:dyDescent="0.2">
      <c r="B217" s="313">
        <v>45527</v>
      </c>
      <c r="C217" s="322">
        <v>1428.2</v>
      </c>
      <c r="D217" s="209">
        <v>1.7784624002240568E-2</v>
      </c>
      <c r="E217" s="321">
        <v>24823.15</v>
      </c>
      <c r="F217" s="210">
        <v>7.5514187361394036E-3</v>
      </c>
    </row>
    <row r="218" spans="2:6" ht="15" thickBot="1" x14ac:dyDescent="0.2">
      <c r="B218" s="313">
        <v>45526</v>
      </c>
      <c r="C218" s="322">
        <v>1440.2</v>
      </c>
      <c r="D218" s="210">
        <v>-8.3321760866545969E-3</v>
      </c>
      <c r="E218" s="321">
        <v>24811.5</v>
      </c>
      <c r="F218" s="209">
        <v>4.6954033411927831E-4</v>
      </c>
    </row>
    <row r="219" spans="2:6" ht="15" thickBot="1" x14ac:dyDescent="0.2">
      <c r="B219" s="313">
        <v>45525</v>
      </c>
      <c r="C219" s="322">
        <v>1391.45</v>
      </c>
      <c r="D219" s="210">
        <v>3.5035394732114034E-2</v>
      </c>
      <c r="E219" s="321">
        <v>24770.2</v>
      </c>
      <c r="F219" s="209">
        <v>1.6673260611541618E-3</v>
      </c>
    </row>
    <row r="220" spans="2:6" ht="15" thickBot="1" x14ac:dyDescent="0.2">
      <c r="B220" s="313">
        <v>45524</v>
      </c>
      <c r="C220" s="322">
        <v>1393.65</v>
      </c>
      <c r="D220" s="209">
        <v>-1.57858859828508E-3</v>
      </c>
      <c r="E220" s="321">
        <v>24698.85</v>
      </c>
      <c r="F220" s="209">
        <v>2.888798466325504E-3</v>
      </c>
    </row>
    <row r="221" spans="2:6" ht="15" thickBot="1" x14ac:dyDescent="0.2">
      <c r="B221" s="313">
        <v>45523</v>
      </c>
      <c r="C221" s="322">
        <v>1403.6</v>
      </c>
      <c r="D221" s="209">
        <v>-7.0889142205755595E-3</v>
      </c>
      <c r="E221" s="321">
        <v>24572.65</v>
      </c>
      <c r="F221" s="209">
        <v>5.1357912150296059E-3</v>
      </c>
    </row>
    <row r="222" spans="2:6" ht="15" thickBot="1" x14ac:dyDescent="0.2">
      <c r="B222" s="313">
        <v>45520</v>
      </c>
      <c r="C222" s="322">
        <v>1403.8</v>
      </c>
      <c r="D222" s="209">
        <v>-1.4247043738424559E-4</v>
      </c>
      <c r="E222" s="321">
        <v>24541.15</v>
      </c>
      <c r="F222" s="210">
        <v>1.283558431450782E-3</v>
      </c>
    </row>
    <row r="223" spans="2:6" ht="15" thickBot="1" x14ac:dyDescent="0.2">
      <c r="B223" s="313">
        <v>45518</v>
      </c>
      <c r="C223" s="322">
        <v>1370.9</v>
      </c>
      <c r="D223" s="210">
        <v>2.3998832883507015E-2</v>
      </c>
      <c r="E223" s="321">
        <v>24143.75</v>
      </c>
      <c r="F223" s="209">
        <v>1.6459746311157097E-2</v>
      </c>
    </row>
    <row r="224" spans="2:6" ht="15" thickBot="1" x14ac:dyDescent="0.2">
      <c r="B224" s="313">
        <v>45517</v>
      </c>
      <c r="C224" s="322">
        <v>1386.6</v>
      </c>
      <c r="D224" s="210">
        <v>-1.1322659743256747E-2</v>
      </c>
      <c r="E224" s="321">
        <v>24139</v>
      </c>
      <c r="F224" s="209">
        <v>1.9677699987563635E-4</v>
      </c>
    </row>
    <row r="225" spans="2:6" ht="15" thickBot="1" x14ac:dyDescent="0.2">
      <c r="B225" s="313">
        <v>45516</v>
      </c>
      <c r="C225" s="322">
        <v>1392.25</v>
      </c>
      <c r="D225" s="209">
        <v>-4.0581792063207889E-3</v>
      </c>
      <c r="E225" s="321">
        <v>24347</v>
      </c>
      <c r="F225" s="209">
        <v>-8.5431469996303244E-3</v>
      </c>
    </row>
    <row r="226" spans="2:6" ht="15" thickBot="1" x14ac:dyDescent="0.2">
      <c r="B226" s="313">
        <v>45513</v>
      </c>
      <c r="C226" s="322">
        <v>1444.85</v>
      </c>
      <c r="D226" s="210">
        <v>-3.6405163165726506E-2</v>
      </c>
      <c r="E226" s="321">
        <v>24367.5</v>
      </c>
      <c r="F226" s="210">
        <v>-8.4128449779419245E-4</v>
      </c>
    </row>
    <row r="227" spans="2:6" ht="15" thickBot="1" x14ac:dyDescent="0.2">
      <c r="B227" s="313">
        <v>45512</v>
      </c>
      <c r="C227" s="322">
        <v>1464</v>
      </c>
      <c r="D227" s="209">
        <v>-1.3080601092896216E-2</v>
      </c>
      <c r="E227" s="321">
        <v>24117</v>
      </c>
      <c r="F227" s="210">
        <v>1.0386864037815746E-2</v>
      </c>
    </row>
    <row r="228" spans="2:6" ht="15" thickBot="1" x14ac:dyDescent="0.2">
      <c r="B228" s="313">
        <v>45511</v>
      </c>
      <c r="C228" s="322">
        <v>1501.1</v>
      </c>
      <c r="D228" s="209">
        <v>-2.4715208846845638E-2</v>
      </c>
      <c r="E228" s="321">
        <v>24297.5</v>
      </c>
      <c r="F228" s="210">
        <v>-7.4287478135610652E-3</v>
      </c>
    </row>
    <row r="229" spans="2:6" ht="15" thickBot="1" x14ac:dyDescent="0.2">
      <c r="B229" s="313">
        <v>45510</v>
      </c>
      <c r="C229" s="322">
        <v>1479.25</v>
      </c>
      <c r="D229" s="209">
        <v>1.4770998816967973E-2</v>
      </c>
      <c r="E229" s="321">
        <v>23992.55</v>
      </c>
      <c r="F229" s="209">
        <v>1.2710195456506312E-2</v>
      </c>
    </row>
    <row r="230" spans="2:6" ht="15" thickBot="1" x14ac:dyDescent="0.2">
      <c r="B230" s="313">
        <v>45509</v>
      </c>
      <c r="C230" s="322">
        <v>1461.8</v>
      </c>
      <c r="D230" s="210">
        <v>1.1937337529073666E-2</v>
      </c>
      <c r="E230" s="321">
        <v>24055.599999999999</v>
      </c>
      <c r="F230" s="209">
        <v>-2.6210113237665755E-3</v>
      </c>
    </row>
    <row r="231" spans="2:6" ht="15" thickBot="1" x14ac:dyDescent="0.2">
      <c r="B231" s="313">
        <v>45506</v>
      </c>
      <c r="C231" s="322">
        <v>1457.9</v>
      </c>
      <c r="D231" s="210">
        <v>2.6750805953767998E-3</v>
      </c>
      <c r="E231" s="321">
        <v>24717.7</v>
      </c>
      <c r="F231" s="210">
        <v>-2.6786472851438536E-2</v>
      </c>
    </row>
    <row r="232" spans="2:6" ht="15" thickBot="1" x14ac:dyDescent="0.2">
      <c r="B232" s="313">
        <v>45505</v>
      </c>
      <c r="C232" s="322">
        <v>1468.5</v>
      </c>
      <c r="D232" s="209">
        <v>-7.2182499148790713E-3</v>
      </c>
      <c r="E232" s="321">
        <v>25010.9</v>
      </c>
      <c r="F232" s="209">
        <v>-1.1722888820474342E-2</v>
      </c>
    </row>
    <row r="233" spans="2:6" ht="15" thickBot="1" x14ac:dyDescent="0.2">
      <c r="B233" s="313">
        <v>45504</v>
      </c>
      <c r="C233" s="322">
        <v>1440.95</v>
      </c>
      <c r="D233" s="209">
        <v>1.9119330996911765E-2</v>
      </c>
      <c r="E233" s="321">
        <v>24951.15</v>
      </c>
      <c r="F233" s="209">
        <v>2.3946792031630526E-3</v>
      </c>
    </row>
    <row r="234" spans="2:6" ht="15" thickBot="1" x14ac:dyDescent="0.2">
      <c r="B234" s="313">
        <v>45503</v>
      </c>
      <c r="C234" s="322">
        <v>1440.2</v>
      </c>
      <c r="D234" s="209">
        <v>5.2076100541587067E-4</v>
      </c>
      <c r="E234" s="321">
        <v>24857.3</v>
      </c>
      <c r="F234" s="209">
        <v>3.7755508442189889E-3</v>
      </c>
    </row>
    <row r="235" spans="2:6" ht="15" thickBot="1" x14ac:dyDescent="0.2">
      <c r="B235" s="313">
        <v>45502</v>
      </c>
      <c r="C235" s="322">
        <v>1478.2</v>
      </c>
      <c r="D235" s="209">
        <v>-2.5706940874036022E-2</v>
      </c>
      <c r="E235" s="321">
        <v>24836.1</v>
      </c>
      <c r="F235" s="210">
        <v>8.5359617653346653E-4</v>
      </c>
    </row>
    <row r="236" spans="2:6" ht="15" thickBot="1" x14ac:dyDescent="0.2">
      <c r="B236" s="313">
        <v>45499</v>
      </c>
      <c r="C236" s="322">
        <v>1467.3</v>
      </c>
      <c r="D236" s="209">
        <v>7.4286103727936315E-3</v>
      </c>
      <c r="E236" s="321">
        <v>24834.85</v>
      </c>
      <c r="F236" s="209">
        <v>5.0332496471794386E-5</v>
      </c>
    </row>
    <row r="237" spans="2:6" ht="15" thickBot="1" x14ac:dyDescent="0.2">
      <c r="B237" s="313">
        <v>45498</v>
      </c>
      <c r="C237" s="322">
        <v>1480.1</v>
      </c>
      <c r="D237" s="209">
        <v>-8.6480643199783325E-3</v>
      </c>
      <c r="E237" s="321">
        <v>24406.1</v>
      </c>
      <c r="F237" s="210">
        <v>1.7567329479105664E-2</v>
      </c>
    </row>
    <row r="238" spans="2:6" ht="15" thickBot="1" x14ac:dyDescent="0.2">
      <c r="B238" s="313">
        <v>45497</v>
      </c>
      <c r="C238" s="322">
        <v>1457.7</v>
      </c>
      <c r="D238" s="210">
        <v>1.5366673526788777E-2</v>
      </c>
      <c r="E238" s="321">
        <v>24413.5</v>
      </c>
      <c r="F238" s="209">
        <v>-3.0311098367707956E-4</v>
      </c>
    </row>
    <row r="239" spans="2:6" ht="15" thickBot="1" x14ac:dyDescent="0.2">
      <c r="B239" s="313">
        <v>45496</v>
      </c>
      <c r="C239" s="322">
        <v>1518.45</v>
      </c>
      <c r="D239" s="210">
        <v>-4.0007902795613948E-2</v>
      </c>
      <c r="E239" s="321">
        <v>24479.05</v>
      </c>
      <c r="F239" s="209">
        <v>-2.6777999963233379E-3</v>
      </c>
    </row>
    <row r="240" spans="2:6" ht="15" thickBot="1" x14ac:dyDescent="0.2">
      <c r="B240" s="313">
        <v>45495</v>
      </c>
      <c r="C240" s="322">
        <v>1470.7</v>
      </c>
      <c r="D240" s="209">
        <v>3.2467532467532534E-2</v>
      </c>
      <c r="E240" s="321">
        <v>24509.25</v>
      </c>
      <c r="F240" s="209">
        <v>-1.2321878474453873E-3</v>
      </c>
    </row>
    <row r="241" spans="2:8" ht="15" thickBot="1" x14ac:dyDescent="0.2">
      <c r="B241" s="313">
        <v>45492</v>
      </c>
      <c r="C241" s="322">
        <v>1452.45</v>
      </c>
      <c r="D241" s="209">
        <v>1.2564976419153773E-2</v>
      </c>
      <c r="E241" s="321">
        <v>24530.9</v>
      </c>
      <c r="F241" s="209">
        <v>-8.8256036264466875E-4</v>
      </c>
    </row>
    <row r="242" spans="2:8" ht="15" thickBot="1" x14ac:dyDescent="0.2">
      <c r="B242" s="313">
        <v>45491</v>
      </c>
      <c r="C242" s="322">
        <v>1462.8</v>
      </c>
      <c r="D242" s="210">
        <v>-7.0754716981131782E-3</v>
      </c>
      <c r="E242" s="321">
        <v>24800.85</v>
      </c>
      <c r="F242" s="209">
        <v>-1.0884707580586794E-2</v>
      </c>
    </row>
    <row r="243" spans="2:8" ht="15" thickBot="1" x14ac:dyDescent="0.2">
      <c r="B243" s="313">
        <v>45489</v>
      </c>
      <c r="C243" s="322">
        <v>1452.8</v>
      </c>
      <c r="D243" s="209">
        <v>6.8832599118942017E-3</v>
      </c>
      <c r="E243" s="321">
        <v>24613</v>
      </c>
      <c r="F243" s="209">
        <v>7.6321456141064115E-3</v>
      </c>
    </row>
    <row r="244" spans="2:8" ht="15" thickBot="1" x14ac:dyDescent="0.2">
      <c r="B244" s="313">
        <v>45488</v>
      </c>
      <c r="C244" s="322">
        <v>1436.05</v>
      </c>
      <c r="D244" s="209">
        <v>1.1663939277880342E-2</v>
      </c>
      <c r="E244" s="321">
        <v>24586.7</v>
      </c>
      <c r="F244" s="210">
        <v>1.0696840161550369E-3</v>
      </c>
    </row>
    <row r="245" spans="2:8" ht="15" thickBot="1" x14ac:dyDescent="0.2">
      <c r="B245" s="313">
        <v>45485</v>
      </c>
      <c r="C245" s="322">
        <v>1444.15</v>
      </c>
      <c r="D245" s="210">
        <v>-5.6088356472666634E-3</v>
      </c>
      <c r="E245" s="321">
        <v>24502.15</v>
      </c>
      <c r="F245" s="209">
        <v>3.4507175900890807E-3</v>
      </c>
    </row>
    <row r="246" spans="2:8" ht="15" thickBot="1" x14ac:dyDescent="0.2">
      <c r="B246" s="313">
        <v>45484</v>
      </c>
      <c r="C246" s="322">
        <v>1441.35</v>
      </c>
      <c r="D246" s="209">
        <v>1.9426232351615891E-3</v>
      </c>
      <c r="E246" s="321">
        <v>24315.95</v>
      </c>
      <c r="F246" s="210">
        <v>7.6575252046495734E-3</v>
      </c>
    </row>
    <row r="247" spans="2:8" ht="15" thickBot="1" x14ac:dyDescent="0.2">
      <c r="B247" s="313">
        <v>45483</v>
      </c>
      <c r="C247" s="322">
        <v>1443.35</v>
      </c>
      <c r="D247" s="210">
        <v>-1.3856652925485768E-3</v>
      </c>
      <c r="E247" s="321">
        <v>24324.45</v>
      </c>
      <c r="F247" s="210">
        <v>-3.4944263899083783E-4</v>
      </c>
    </row>
    <row r="248" spans="2:8" ht="15" thickBot="1" x14ac:dyDescent="0.2">
      <c r="B248" s="313">
        <v>45482</v>
      </c>
      <c r="C248" s="322">
        <v>1411.1</v>
      </c>
      <c r="D248" s="209">
        <v>2.285451066543831E-2</v>
      </c>
      <c r="E248" s="321">
        <v>24433.200000000001</v>
      </c>
      <c r="F248" s="210">
        <v>-4.4509110554491471E-3</v>
      </c>
    </row>
    <row r="249" spans="2:8" ht="15" thickBot="1" x14ac:dyDescent="0.2">
      <c r="B249" s="313">
        <v>45481</v>
      </c>
      <c r="C249" s="322">
        <v>1425.8</v>
      </c>
      <c r="D249" s="210">
        <v>-1.0310001402721314E-2</v>
      </c>
      <c r="E249" s="321">
        <v>24320.55</v>
      </c>
      <c r="F249" s="209">
        <v>4.6318853808815508E-3</v>
      </c>
    </row>
    <row r="250" spans="2:8" ht="15" thickBot="1" x14ac:dyDescent="0.2">
      <c r="B250" s="313">
        <v>45478</v>
      </c>
      <c r="C250" s="323">
        <v>1374.2</v>
      </c>
      <c r="D250" s="267">
        <v>3.7549119487701788E-2</v>
      </c>
      <c r="E250" s="321">
        <v>24323.85</v>
      </c>
      <c r="F250" s="209">
        <v>-1.3566931221820067E-4</v>
      </c>
    </row>
    <row r="251" spans="2:8" ht="15" thickBot="1" x14ac:dyDescent="0.2">
      <c r="B251" s="313">
        <v>45477</v>
      </c>
      <c r="C251" s="322">
        <v>1363.65</v>
      </c>
      <c r="D251" s="209">
        <v>7.7365893007736997E-3</v>
      </c>
      <c r="E251" s="321">
        <v>24302.15</v>
      </c>
      <c r="F251" s="209">
        <v>8.9292511156413568E-4</v>
      </c>
    </row>
    <row r="252" spans="2:8" ht="15" thickBot="1" x14ac:dyDescent="0.2">
      <c r="B252" s="313">
        <v>45476</v>
      </c>
      <c r="C252" s="322">
        <v>1367.05</v>
      </c>
      <c r="D252" s="209">
        <v>-2.4871072747886247E-3</v>
      </c>
      <c r="E252" s="321">
        <v>24286.5</v>
      </c>
      <c r="F252" s="209">
        <v>6.4439091676460336E-4</v>
      </c>
    </row>
    <row r="253" spans="2:8" ht="15" thickBot="1" x14ac:dyDescent="0.2">
      <c r="B253" s="313">
        <v>45475</v>
      </c>
      <c r="C253" s="322">
        <v>1370.3</v>
      </c>
      <c r="D253" s="210">
        <v>-2.3717434138509352E-3</v>
      </c>
      <c r="E253" s="321">
        <v>24123.85</v>
      </c>
      <c r="F253" s="209">
        <v>6.7422903060665451E-3</v>
      </c>
    </row>
    <row r="254" spans="2:8" ht="15" thickBot="1" x14ac:dyDescent="0.2">
      <c r="B254" s="313">
        <v>45474</v>
      </c>
      <c r="C254" s="322">
        <v>1397.95</v>
      </c>
      <c r="D254" s="209">
        <v>-1.9778962051575588E-2</v>
      </c>
      <c r="E254" s="321">
        <v>24141.95</v>
      </c>
      <c r="F254" s="209">
        <v>-7.4973231242725369E-4</v>
      </c>
    </row>
    <row r="255" spans="2:8" ht="15" thickBot="1" x14ac:dyDescent="0.2">
      <c r="B255" s="313">
        <v>45471</v>
      </c>
      <c r="C255" s="322">
        <v>1376.45</v>
      </c>
      <c r="D255" s="209">
        <v>1.56198917505177E-2</v>
      </c>
      <c r="E255" s="321">
        <v>24010.6</v>
      </c>
      <c r="F255" s="209">
        <v>5.4705005289330533E-3</v>
      </c>
    </row>
    <row r="256" spans="2:8" ht="15" thickBot="1" x14ac:dyDescent="0.2">
      <c r="B256" s="313">
        <v>45470</v>
      </c>
      <c r="C256" s="322">
        <v>1362.25</v>
      </c>
      <c r="D256" s="209">
        <v>1.0423930996513064E-2</v>
      </c>
      <c r="E256" s="321">
        <v>24044.5</v>
      </c>
      <c r="F256" s="209">
        <v>-1.4098858366778932E-3</v>
      </c>
      <c r="G256" s="212"/>
      <c r="H256" s="213"/>
    </row>
    <row r="257" spans="2:8" ht="15" thickBot="1" x14ac:dyDescent="0.2">
      <c r="B257" s="313">
        <v>45469</v>
      </c>
      <c r="C257" s="322">
        <v>1414.95</v>
      </c>
      <c r="D257" s="209">
        <v>-3.7245132336831688E-2</v>
      </c>
      <c r="E257" s="321">
        <v>23868.799999999999</v>
      </c>
      <c r="F257" s="209">
        <v>7.3610738704921186E-3</v>
      </c>
      <c r="G257" s="212"/>
      <c r="H257" s="213"/>
    </row>
    <row r="258" spans="2:8" x14ac:dyDescent="0.15">
      <c r="B258" s="211"/>
      <c r="C258" s="314"/>
      <c r="D258" s="213"/>
      <c r="E258" s="315"/>
      <c r="F258" s="213"/>
      <c r="G258" s="212"/>
      <c r="H258" s="213"/>
    </row>
    <row r="259" spans="2:8" s="4" customFormat="1" x14ac:dyDescent="0.15">
      <c r="C259" s="4" t="s">
        <v>122</v>
      </c>
      <c r="D259" s="98">
        <f>_xlfn.COVARIANCE.S(D8:D257,F8:F257)</f>
        <v>3.5797892411098411E-5</v>
      </c>
      <c r="E259" s="4" t="s">
        <v>123</v>
      </c>
      <c r="F259" s="99">
        <f>_xlfn.VAR.S(F8:F257)</f>
        <v>7.3363298179417052E-5</v>
      </c>
    </row>
    <row r="261" spans="2:8" s="4" customFormat="1" x14ac:dyDescent="0.15">
      <c r="C261" s="4" t="s">
        <v>124</v>
      </c>
      <c r="D261" s="100">
        <f>D259/F259</f>
        <v>0.48795369482368689</v>
      </c>
    </row>
  </sheetData>
  <autoFilter ref="B7:F7" xr:uid="{00000000-0009-0000-0000-00000E000000}"/>
  <conditionalFormatting sqref="D8:D257">
    <cfRule type="cellIs" dxfId="9" priority="1" operator="greaterThan">
      <formula>0</formula>
    </cfRule>
    <cfRule type="cellIs" dxfId="8" priority="2" operator="lessThan">
      <formula>0</formula>
    </cfRule>
  </conditionalFormatting>
  <conditionalFormatting sqref="F8:F257">
    <cfRule type="cellIs" dxfId="7" priority="3" operator="greaterThan">
      <formula>0</formula>
    </cfRule>
    <cfRule type="cellIs" dxfId="6" priority="4" operator="lessThan">
      <formula>0</formula>
    </cfRule>
  </conditionalFormatting>
  <pageMargins left="0.7" right="0.7" top="0.75" bottom="0.75" header="0.3" footer="0.3"/>
  <pageSetup orientation="portrait" r:id="rId1"/>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tabColor rgb="FF92D050"/>
  </sheetPr>
  <dimension ref="B6:I2490"/>
  <sheetViews>
    <sheetView showGridLines="0" zoomScale="118" zoomScaleNormal="100" workbookViewId="0">
      <selection activeCell="D8" sqref="D8"/>
    </sheetView>
  </sheetViews>
  <sheetFormatPr baseColWidth="10" defaultColWidth="8.83203125" defaultRowHeight="13" x14ac:dyDescent="0.15"/>
  <cols>
    <col min="1" max="1" width="5.33203125" style="251" customWidth="1"/>
    <col min="2" max="2" width="17.83203125" style="251" bestFit="1" customWidth="1"/>
    <col min="3" max="3" width="19.5" style="253" bestFit="1" customWidth="1"/>
    <col min="4" max="4" width="12.5" style="251" bestFit="1" customWidth="1"/>
    <col min="5" max="5" width="12" style="251" bestFit="1" customWidth="1"/>
    <col min="6" max="6" width="8.83203125" style="251"/>
    <col min="7" max="7" width="11.1640625" style="251" bestFit="1" customWidth="1"/>
    <col min="8" max="8" width="12.5" style="251" bestFit="1" customWidth="1"/>
    <col min="9" max="16384" width="8.83203125" style="251"/>
  </cols>
  <sheetData>
    <row r="6" spans="2:4" ht="16.25" customHeight="1" x14ac:dyDescent="0.15"/>
    <row r="7" spans="2:4" s="250" customFormat="1" x14ac:dyDescent="0.15">
      <c r="B7" s="302" t="s">
        <v>119</v>
      </c>
      <c r="C7" s="303" t="s">
        <v>121</v>
      </c>
      <c r="D7" s="303" t="s">
        <v>276</v>
      </c>
    </row>
    <row r="8" spans="2:4" ht="14" thickBot="1" x14ac:dyDescent="0.2">
      <c r="B8" s="313">
        <v>45831</v>
      </c>
      <c r="C8" s="321">
        <v>24971.9</v>
      </c>
      <c r="D8" s="209"/>
    </row>
    <row r="9" spans="2:4" ht="14" thickBot="1" x14ac:dyDescent="0.2">
      <c r="B9" s="312">
        <v>45828</v>
      </c>
      <c r="C9" s="321">
        <v>25112.400000000001</v>
      </c>
      <c r="D9" s="209">
        <f>C8/C9-1</f>
        <v>-5.594845574297902E-3</v>
      </c>
    </row>
    <row r="10" spans="2:4" ht="14" thickBot="1" x14ac:dyDescent="0.2">
      <c r="B10" s="312">
        <v>45827</v>
      </c>
      <c r="C10" s="321">
        <v>24793.25</v>
      </c>
      <c r="D10" s="209">
        <f>C9/C10-1</f>
        <v>1.2872455204541611E-2</v>
      </c>
    </row>
    <row r="11" spans="2:4" ht="14" thickBot="1" x14ac:dyDescent="0.2">
      <c r="B11" s="312">
        <v>45826</v>
      </c>
      <c r="C11" s="321">
        <v>24812.05</v>
      </c>
      <c r="D11" s="209">
        <f t="shared" ref="D11:D74" si="0">C10/C11-1</f>
        <v>-7.5769636124378703E-4</v>
      </c>
    </row>
    <row r="12" spans="2:4" ht="14" thickBot="1" x14ac:dyDescent="0.2">
      <c r="B12" s="312">
        <v>45825</v>
      </c>
      <c r="C12" s="321">
        <v>24853.4</v>
      </c>
      <c r="D12" s="210">
        <f t="shared" si="0"/>
        <v>-1.6637562667483063E-3</v>
      </c>
    </row>
    <row r="13" spans="2:4" ht="14" thickBot="1" x14ac:dyDescent="0.2">
      <c r="B13" s="312">
        <v>45824</v>
      </c>
      <c r="C13" s="321">
        <v>24946.5</v>
      </c>
      <c r="D13" s="209">
        <f t="shared" si="0"/>
        <v>-3.7319864510051426E-3</v>
      </c>
    </row>
    <row r="14" spans="2:4" ht="14" thickBot="1" x14ac:dyDescent="0.2">
      <c r="B14" s="312">
        <v>45821</v>
      </c>
      <c r="C14" s="321">
        <v>24718.6</v>
      </c>
      <c r="D14" s="209">
        <f t="shared" si="0"/>
        <v>9.2197778191323021E-3</v>
      </c>
    </row>
    <row r="15" spans="2:4" ht="14" thickBot="1" x14ac:dyDescent="0.2">
      <c r="B15" s="312">
        <v>45820</v>
      </c>
      <c r="C15" s="321">
        <v>24888.2</v>
      </c>
      <c r="D15" s="209">
        <f t="shared" si="0"/>
        <v>-6.8144743292002374E-3</v>
      </c>
    </row>
    <row r="16" spans="2:4" ht="14" thickBot="1" x14ac:dyDescent="0.2">
      <c r="B16" s="312">
        <v>45819</v>
      </c>
      <c r="C16" s="321">
        <v>25141.4</v>
      </c>
      <c r="D16" s="210">
        <f t="shared" si="0"/>
        <v>-1.0071038207896121E-2</v>
      </c>
    </row>
    <row r="17" spans="2:4" ht="14" thickBot="1" x14ac:dyDescent="0.2">
      <c r="B17" s="312">
        <v>45818</v>
      </c>
      <c r="C17" s="321">
        <v>25104.25</v>
      </c>
      <c r="D17" s="209">
        <f t="shared" si="0"/>
        <v>1.4798291126005836E-3</v>
      </c>
    </row>
    <row r="18" spans="2:4" ht="14" thickBot="1" x14ac:dyDescent="0.2">
      <c r="B18" s="312">
        <v>45817</v>
      </c>
      <c r="C18" s="321">
        <v>25103.200000000001</v>
      </c>
      <c r="D18" s="210">
        <f t="shared" si="0"/>
        <v>4.1827336753952338E-5</v>
      </c>
    </row>
    <row r="19" spans="2:4" ht="14" thickBot="1" x14ac:dyDescent="0.2">
      <c r="B19" s="312">
        <v>45814</v>
      </c>
      <c r="C19" s="321">
        <v>25003.05</v>
      </c>
      <c r="D19" s="209">
        <f t="shared" si="0"/>
        <v>4.0055113276180609E-3</v>
      </c>
    </row>
    <row r="20" spans="2:4" ht="14" thickBot="1" x14ac:dyDescent="0.2">
      <c r="B20" s="312">
        <v>45813</v>
      </c>
      <c r="C20" s="321">
        <v>24750.9</v>
      </c>
      <c r="D20" s="210">
        <f t="shared" si="0"/>
        <v>1.0187508333030282E-2</v>
      </c>
    </row>
    <row r="21" spans="2:4" ht="14" thickBot="1" x14ac:dyDescent="0.2">
      <c r="B21" s="312">
        <v>45812</v>
      </c>
      <c r="C21" s="321">
        <v>24620.2</v>
      </c>
      <c r="D21" s="209">
        <f t="shared" si="0"/>
        <v>5.3086489955402882E-3</v>
      </c>
    </row>
    <row r="22" spans="2:4" ht="14" thickBot="1" x14ac:dyDescent="0.2">
      <c r="B22" s="312">
        <v>45811</v>
      </c>
      <c r="C22" s="321">
        <v>24542.5</v>
      </c>
      <c r="D22" s="210">
        <f t="shared" si="0"/>
        <v>3.1659366405216716E-3</v>
      </c>
    </row>
    <row r="23" spans="2:4" ht="14" thickBot="1" x14ac:dyDescent="0.2">
      <c r="B23" s="312">
        <v>45810</v>
      </c>
      <c r="C23" s="321">
        <v>24716.6</v>
      </c>
      <c r="D23" s="209">
        <f t="shared" si="0"/>
        <v>-7.0438490730925229E-3</v>
      </c>
    </row>
    <row r="24" spans="2:4" ht="14" thickBot="1" x14ac:dyDescent="0.2">
      <c r="B24" s="312">
        <v>45807</v>
      </c>
      <c r="C24" s="321">
        <v>24750.7</v>
      </c>
      <c r="D24" s="209">
        <f t="shared" si="0"/>
        <v>-1.3777388114276645E-3</v>
      </c>
    </row>
    <row r="25" spans="2:4" ht="14" thickBot="1" x14ac:dyDescent="0.2">
      <c r="B25" s="312">
        <v>45806</v>
      </c>
      <c r="C25" s="321">
        <v>24833.599999999999</v>
      </c>
      <c r="D25" s="210">
        <f t="shared" si="0"/>
        <v>-3.3382191869080202E-3</v>
      </c>
    </row>
    <row r="26" spans="2:4" ht="14" thickBot="1" x14ac:dyDescent="0.2">
      <c r="B26" s="312">
        <v>45805</v>
      </c>
      <c r="C26" s="321">
        <v>24752.45</v>
      </c>
      <c r="D26" s="209">
        <f t="shared" si="0"/>
        <v>3.2784633440325894E-3</v>
      </c>
    </row>
    <row r="27" spans="2:4" ht="14" thickBot="1" x14ac:dyDescent="0.2">
      <c r="B27" s="312">
        <v>45804</v>
      </c>
      <c r="C27" s="321">
        <v>24826.2</v>
      </c>
      <c r="D27" s="209">
        <f t="shared" si="0"/>
        <v>-2.9706519725128944E-3</v>
      </c>
    </row>
    <row r="28" spans="2:4" ht="14" thickBot="1" x14ac:dyDescent="0.2">
      <c r="B28" s="312">
        <v>45803</v>
      </c>
      <c r="C28" s="321">
        <v>25001.15</v>
      </c>
      <c r="D28" s="209">
        <f t="shared" si="0"/>
        <v>-6.9976781068070704E-3</v>
      </c>
    </row>
    <row r="29" spans="2:4" ht="14" thickBot="1" x14ac:dyDescent="0.2">
      <c r="B29" s="312">
        <v>45800</v>
      </c>
      <c r="C29" s="321">
        <v>24853.15</v>
      </c>
      <c r="D29" s="209">
        <f t="shared" si="0"/>
        <v>5.954979549875894E-3</v>
      </c>
    </row>
    <row r="30" spans="2:4" ht="14" thickBot="1" x14ac:dyDescent="0.2">
      <c r="B30" s="312">
        <v>45799</v>
      </c>
      <c r="C30" s="321">
        <v>24609.7</v>
      </c>
      <c r="D30" s="210">
        <f t="shared" si="0"/>
        <v>9.8924407855438545E-3</v>
      </c>
    </row>
    <row r="31" spans="2:4" ht="14" thickBot="1" x14ac:dyDescent="0.2">
      <c r="B31" s="312">
        <v>45798</v>
      </c>
      <c r="C31" s="321">
        <v>24813.45</v>
      </c>
      <c r="D31" s="209">
        <f t="shared" si="0"/>
        <v>-8.2112725155107924E-3</v>
      </c>
    </row>
    <row r="32" spans="2:4" ht="14" thickBot="1" x14ac:dyDescent="0.2">
      <c r="B32" s="312">
        <v>45797</v>
      </c>
      <c r="C32" s="321">
        <v>24683.9</v>
      </c>
      <c r="D32" s="210">
        <f t="shared" si="0"/>
        <v>5.2483602672186436E-3</v>
      </c>
    </row>
    <row r="33" spans="2:4" ht="14" thickBot="1" x14ac:dyDescent="0.2">
      <c r="B33" s="312">
        <v>45796</v>
      </c>
      <c r="C33" s="321">
        <v>24945.45</v>
      </c>
      <c r="D33" s="210">
        <f t="shared" si="0"/>
        <v>-1.0484878003804265E-2</v>
      </c>
    </row>
    <row r="34" spans="2:4" ht="14" thickBot="1" x14ac:dyDescent="0.2">
      <c r="B34" s="312">
        <v>45793</v>
      </c>
      <c r="C34" s="321">
        <v>25019.8</v>
      </c>
      <c r="D34" s="209">
        <f t="shared" si="0"/>
        <v>-2.9716464560067823E-3</v>
      </c>
    </row>
    <row r="35" spans="2:4" ht="14" thickBot="1" x14ac:dyDescent="0.2">
      <c r="B35" s="312">
        <v>45792</v>
      </c>
      <c r="C35" s="321">
        <v>25062.1</v>
      </c>
      <c r="D35" s="210">
        <f t="shared" si="0"/>
        <v>-1.6878074862042292E-3</v>
      </c>
    </row>
    <row r="36" spans="2:4" ht="14" thickBot="1" x14ac:dyDescent="0.2">
      <c r="B36" s="312">
        <v>45791</v>
      </c>
      <c r="C36" s="321">
        <v>24666.9</v>
      </c>
      <c r="D36" s="209">
        <f t="shared" si="0"/>
        <v>1.6021470067175025E-2</v>
      </c>
    </row>
    <row r="37" spans="2:4" ht="14" thickBot="1" x14ac:dyDescent="0.2">
      <c r="B37" s="312">
        <v>45790</v>
      </c>
      <c r="C37" s="321">
        <v>24578.35</v>
      </c>
      <c r="D37" s="209">
        <f t="shared" si="0"/>
        <v>3.602764221357635E-3</v>
      </c>
    </row>
    <row r="38" spans="2:4" ht="14" thickBot="1" x14ac:dyDescent="0.2">
      <c r="B38" s="312">
        <v>45789</v>
      </c>
      <c r="C38" s="321">
        <v>24924.7</v>
      </c>
      <c r="D38" s="209">
        <f t="shared" si="0"/>
        <v>-1.3895854313191403E-2</v>
      </c>
    </row>
    <row r="39" spans="2:4" ht="14" thickBot="1" x14ac:dyDescent="0.2">
      <c r="B39" s="312">
        <v>45786</v>
      </c>
      <c r="C39" s="321">
        <v>24008</v>
      </c>
      <c r="D39" s="209">
        <f t="shared" si="0"/>
        <v>3.8183105631456105E-2</v>
      </c>
    </row>
    <row r="40" spans="2:4" ht="14" thickBot="1" x14ac:dyDescent="0.2">
      <c r="B40" s="312">
        <v>45785</v>
      </c>
      <c r="C40" s="321">
        <v>24273.8</v>
      </c>
      <c r="D40" s="209">
        <f t="shared" si="0"/>
        <v>-1.0950077861727414E-2</v>
      </c>
    </row>
    <row r="41" spans="2:4" ht="14" thickBot="1" x14ac:dyDescent="0.2">
      <c r="B41" s="312">
        <v>45784</v>
      </c>
      <c r="C41" s="321">
        <v>24414.400000000001</v>
      </c>
      <c r="D41" s="209">
        <f t="shared" si="0"/>
        <v>-5.758896389016388E-3</v>
      </c>
    </row>
    <row r="42" spans="2:4" ht="14" thickBot="1" x14ac:dyDescent="0.2">
      <c r="B42" s="312">
        <v>45783</v>
      </c>
      <c r="C42" s="321">
        <v>24379.599999999999</v>
      </c>
      <c r="D42" s="210">
        <f t="shared" si="0"/>
        <v>1.4274229273656402E-3</v>
      </c>
    </row>
    <row r="43" spans="2:4" ht="14" thickBot="1" x14ac:dyDescent="0.2">
      <c r="B43" s="312">
        <v>45782</v>
      </c>
      <c r="C43" s="321">
        <v>24461.15</v>
      </c>
      <c r="D43" s="209">
        <f t="shared" si="0"/>
        <v>-3.3338579747886898E-3</v>
      </c>
    </row>
    <row r="44" spans="2:4" ht="14" thickBot="1" x14ac:dyDescent="0.2">
      <c r="B44" s="312">
        <v>45779</v>
      </c>
      <c r="C44" s="321">
        <v>24346.7</v>
      </c>
      <c r="D44" s="210">
        <f t="shared" si="0"/>
        <v>4.7008424139616256E-3</v>
      </c>
    </row>
    <row r="45" spans="2:4" ht="14" thickBot="1" x14ac:dyDescent="0.2">
      <c r="B45" s="312">
        <v>45777</v>
      </c>
      <c r="C45" s="321">
        <v>24334.2</v>
      </c>
      <c r="D45" s="209">
        <f t="shared" si="0"/>
        <v>5.1368033467302787E-4</v>
      </c>
    </row>
    <row r="46" spans="2:4" ht="14" thickBot="1" x14ac:dyDescent="0.2">
      <c r="B46" s="312">
        <v>45776</v>
      </c>
      <c r="C46" s="321">
        <v>24335.95</v>
      </c>
      <c r="D46" s="209">
        <f t="shared" si="0"/>
        <v>-7.1910075423398112E-5</v>
      </c>
    </row>
    <row r="47" spans="2:4" ht="14" thickBot="1" x14ac:dyDescent="0.2">
      <c r="B47" s="312">
        <v>45775</v>
      </c>
      <c r="C47" s="321">
        <v>24328.5</v>
      </c>
      <c r="D47" s="210">
        <f t="shared" si="0"/>
        <v>3.0622520911682827E-4</v>
      </c>
    </row>
    <row r="48" spans="2:4" ht="14" thickBot="1" x14ac:dyDescent="0.2">
      <c r="B48" s="312">
        <v>45772</v>
      </c>
      <c r="C48" s="321">
        <v>24039.35</v>
      </c>
      <c r="D48" s="209">
        <f t="shared" si="0"/>
        <v>1.2028195437896683E-2</v>
      </c>
    </row>
    <row r="49" spans="2:4" ht="14" thickBot="1" x14ac:dyDescent="0.2">
      <c r="B49" s="312">
        <v>45771</v>
      </c>
      <c r="C49" s="321">
        <v>24246.7</v>
      </c>
      <c r="D49" s="210">
        <f t="shared" si="0"/>
        <v>-8.5516791975815964E-3</v>
      </c>
    </row>
    <row r="50" spans="2:4" ht="14" thickBot="1" x14ac:dyDescent="0.2">
      <c r="B50" s="312">
        <v>45770</v>
      </c>
      <c r="C50" s="321">
        <v>24328.95</v>
      </c>
      <c r="D50" s="209">
        <f t="shared" si="0"/>
        <v>-3.380745983694311E-3</v>
      </c>
    </row>
    <row r="51" spans="2:4" ht="14" thickBot="1" x14ac:dyDescent="0.2">
      <c r="B51" s="312">
        <v>45769</v>
      </c>
      <c r="C51" s="321">
        <v>24167.25</v>
      </c>
      <c r="D51" s="210">
        <f t="shared" si="0"/>
        <v>6.6908729789281196E-3</v>
      </c>
    </row>
    <row r="52" spans="2:4" ht="14" thickBot="1" x14ac:dyDescent="0.2">
      <c r="B52" s="312">
        <v>45768</v>
      </c>
      <c r="C52" s="321">
        <v>24125.55</v>
      </c>
      <c r="D52" s="209">
        <f t="shared" si="0"/>
        <v>1.7284580040661801E-3</v>
      </c>
    </row>
    <row r="53" spans="2:4" ht="14" thickBot="1" x14ac:dyDescent="0.2">
      <c r="B53" s="312">
        <v>45764</v>
      </c>
      <c r="C53" s="321">
        <v>23851.65</v>
      </c>
      <c r="D53" s="210">
        <f t="shared" si="0"/>
        <v>1.1483482274811108E-2</v>
      </c>
    </row>
    <row r="54" spans="2:4" ht="14" thickBot="1" x14ac:dyDescent="0.2">
      <c r="B54" s="312">
        <v>45763</v>
      </c>
      <c r="C54" s="321">
        <v>23437.200000000001</v>
      </c>
      <c r="D54" s="209">
        <f t="shared" si="0"/>
        <v>1.7683426347857356E-2</v>
      </c>
    </row>
    <row r="55" spans="2:4" ht="14" thickBot="1" x14ac:dyDescent="0.2">
      <c r="B55" s="312">
        <v>45762</v>
      </c>
      <c r="C55" s="321">
        <v>23328.55</v>
      </c>
      <c r="D55" s="210">
        <f t="shared" si="0"/>
        <v>4.6573833350123106E-3</v>
      </c>
    </row>
    <row r="56" spans="2:4" ht="14" thickBot="1" x14ac:dyDescent="0.2">
      <c r="B56" s="312">
        <v>45758</v>
      </c>
      <c r="C56" s="321">
        <v>22828.55</v>
      </c>
      <c r="D56" s="210">
        <f t="shared" si="0"/>
        <v>2.1902398531663314E-2</v>
      </c>
    </row>
    <row r="57" spans="2:4" ht="14" thickBot="1" x14ac:dyDescent="0.2">
      <c r="B57" s="312">
        <v>45756</v>
      </c>
      <c r="C57" s="321">
        <v>22399.15</v>
      </c>
      <c r="D57" s="209">
        <f t="shared" si="0"/>
        <v>1.91703703042303E-2</v>
      </c>
    </row>
    <row r="58" spans="2:4" ht="14" thickBot="1" x14ac:dyDescent="0.2">
      <c r="B58" s="312">
        <v>45755</v>
      </c>
      <c r="C58" s="321">
        <v>22535.85</v>
      </c>
      <c r="D58" s="210">
        <f t="shared" si="0"/>
        <v>-6.0658905699140231E-3</v>
      </c>
    </row>
    <row r="59" spans="2:4" ht="14" thickBot="1" x14ac:dyDescent="0.2">
      <c r="B59" s="312">
        <v>45754</v>
      </c>
      <c r="C59" s="321">
        <v>22161.599999999999</v>
      </c>
      <c r="D59" s="210">
        <f t="shared" si="0"/>
        <v>1.68873186051548E-2</v>
      </c>
    </row>
    <row r="60" spans="2:4" ht="14" thickBot="1" x14ac:dyDescent="0.2">
      <c r="B60" s="312">
        <v>45751</v>
      </c>
      <c r="C60" s="321">
        <v>22904.45</v>
      </c>
      <c r="D60" s="210">
        <f t="shared" si="0"/>
        <v>-3.2432562231356932E-2</v>
      </c>
    </row>
    <row r="61" spans="2:4" ht="14" thickBot="1" x14ac:dyDescent="0.2">
      <c r="B61" s="312">
        <v>45750</v>
      </c>
      <c r="C61" s="321">
        <v>23250.1</v>
      </c>
      <c r="D61" s="209">
        <f t="shared" si="0"/>
        <v>-1.4866602724289302E-2</v>
      </c>
    </row>
    <row r="62" spans="2:4" ht="14" thickBot="1" x14ac:dyDescent="0.2">
      <c r="B62" s="312">
        <v>45749</v>
      </c>
      <c r="C62" s="321">
        <v>23332.35</v>
      </c>
      <c r="D62" s="209">
        <f t="shared" si="0"/>
        <v>-3.5251485598322141E-3</v>
      </c>
    </row>
    <row r="63" spans="2:4" ht="14" thickBot="1" x14ac:dyDescent="0.2">
      <c r="B63" s="312">
        <v>45748</v>
      </c>
      <c r="C63" s="321">
        <v>23165.7</v>
      </c>
      <c r="D63" s="209">
        <f t="shared" si="0"/>
        <v>7.1938253538634811E-3</v>
      </c>
    </row>
    <row r="64" spans="2:4" ht="14" thickBot="1" x14ac:dyDescent="0.2">
      <c r="B64" s="312">
        <v>45744</v>
      </c>
      <c r="C64" s="321">
        <v>23519.35</v>
      </c>
      <c r="D64" s="209">
        <f t="shared" si="0"/>
        <v>-1.5036555006834651E-2</v>
      </c>
    </row>
    <row r="65" spans="2:4" ht="14" thickBot="1" x14ac:dyDescent="0.2">
      <c r="B65" s="312">
        <v>45743</v>
      </c>
      <c r="C65" s="321">
        <v>23591.95</v>
      </c>
      <c r="D65" s="209">
        <f t="shared" si="0"/>
        <v>-3.0773208658039231E-3</v>
      </c>
    </row>
    <row r="66" spans="2:4" ht="14" thickBot="1" x14ac:dyDescent="0.2">
      <c r="B66" s="312">
        <v>45742</v>
      </c>
      <c r="C66" s="321">
        <v>23486.85</v>
      </c>
      <c r="D66" s="210">
        <f t="shared" si="0"/>
        <v>4.4748444342259663E-3</v>
      </c>
    </row>
    <row r="67" spans="2:4" ht="14" thickBot="1" x14ac:dyDescent="0.2">
      <c r="B67" s="312">
        <v>45741</v>
      </c>
      <c r="C67" s="321">
        <v>23668.65</v>
      </c>
      <c r="D67" s="209">
        <f t="shared" si="0"/>
        <v>-7.6810464475161044E-3</v>
      </c>
    </row>
    <row r="68" spans="2:4" ht="14" thickBot="1" x14ac:dyDescent="0.2">
      <c r="B68" s="312">
        <v>45740</v>
      </c>
      <c r="C68" s="321">
        <v>23658.35</v>
      </c>
      <c r="D68" s="209">
        <f t="shared" si="0"/>
        <v>4.353642582852757E-4</v>
      </c>
    </row>
    <row r="69" spans="2:4" ht="14" thickBot="1" x14ac:dyDescent="0.2">
      <c r="B69" s="312">
        <v>45737</v>
      </c>
      <c r="C69" s="321">
        <v>23350.400000000001</v>
      </c>
      <c r="D69" s="210">
        <f t="shared" si="0"/>
        <v>1.3188210908592346E-2</v>
      </c>
    </row>
    <row r="70" spans="2:4" ht="14" thickBot="1" x14ac:dyDescent="0.2">
      <c r="B70" s="312">
        <v>45736</v>
      </c>
      <c r="C70" s="321">
        <v>23190.65</v>
      </c>
      <c r="D70" s="210">
        <f t="shared" si="0"/>
        <v>6.8885520673203082E-3</v>
      </c>
    </row>
    <row r="71" spans="2:4" ht="14" thickBot="1" x14ac:dyDescent="0.2">
      <c r="B71" s="312">
        <v>45735</v>
      </c>
      <c r="C71" s="321">
        <v>22907.599999999999</v>
      </c>
      <c r="D71" s="209">
        <f t="shared" si="0"/>
        <v>1.2356161273987754E-2</v>
      </c>
    </row>
    <row r="72" spans="2:4" ht="14" thickBot="1" x14ac:dyDescent="0.2">
      <c r="B72" s="312">
        <v>45734</v>
      </c>
      <c r="C72" s="321">
        <v>22834.3</v>
      </c>
      <c r="D72" s="210">
        <f t="shared" si="0"/>
        <v>3.2100830767747279E-3</v>
      </c>
    </row>
    <row r="73" spans="2:4" ht="14" thickBot="1" x14ac:dyDescent="0.2">
      <c r="B73" s="312">
        <v>45733</v>
      </c>
      <c r="C73" s="321">
        <v>22508.75</v>
      </c>
      <c r="D73" s="209">
        <f t="shared" si="0"/>
        <v>1.4463264286110888E-2</v>
      </c>
    </row>
    <row r="74" spans="2:4" ht="14" thickBot="1" x14ac:dyDescent="0.2">
      <c r="B74" s="312">
        <v>45729</v>
      </c>
      <c r="C74" s="321">
        <v>22397.200000000001</v>
      </c>
      <c r="D74" s="209">
        <f t="shared" si="0"/>
        <v>4.9805332809458314E-3</v>
      </c>
    </row>
    <row r="75" spans="2:4" ht="14" thickBot="1" x14ac:dyDescent="0.2">
      <c r="B75" s="312">
        <v>45728</v>
      </c>
      <c r="C75" s="321">
        <v>22470.5</v>
      </c>
      <c r="D75" s="209">
        <f t="shared" ref="D75:D138" si="1">C74/C75-1</f>
        <v>-3.2620546939320372E-3</v>
      </c>
    </row>
    <row r="76" spans="2:4" ht="14" thickBot="1" x14ac:dyDescent="0.2">
      <c r="B76" s="312">
        <v>45727</v>
      </c>
      <c r="C76" s="321">
        <v>22497.9</v>
      </c>
      <c r="D76" s="209">
        <f t="shared" si="1"/>
        <v>-1.2178914476462799E-3</v>
      </c>
    </row>
    <row r="77" spans="2:4" ht="14" thickBot="1" x14ac:dyDescent="0.2">
      <c r="B77" s="312">
        <v>45726</v>
      </c>
      <c r="C77" s="321">
        <v>22460.3</v>
      </c>
      <c r="D77" s="209">
        <f t="shared" si="1"/>
        <v>1.6740649056334878E-3</v>
      </c>
    </row>
    <row r="78" spans="2:4" ht="14" thickBot="1" x14ac:dyDescent="0.2">
      <c r="B78" s="312">
        <v>45723</v>
      </c>
      <c r="C78" s="321">
        <v>22552.5</v>
      </c>
      <c r="D78" s="210">
        <f t="shared" si="1"/>
        <v>-4.0882385544840361E-3</v>
      </c>
    </row>
    <row r="79" spans="2:4" ht="14" thickBot="1" x14ac:dyDescent="0.2">
      <c r="B79" s="312">
        <v>45722</v>
      </c>
      <c r="C79" s="321">
        <v>22544.7</v>
      </c>
      <c r="D79" s="209">
        <f t="shared" si="1"/>
        <v>3.459793210820461E-4</v>
      </c>
    </row>
    <row r="80" spans="2:4" ht="14" thickBot="1" x14ac:dyDescent="0.2">
      <c r="B80" s="312">
        <v>45721</v>
      </c>
      <c r="C80" s="321">
        <v>22337.3</v>
      </c>
      <c r="D80" s="210">
        <f t="shared" si="1"/>
        <v>9.2849180518683738E-3</v>
      </c>
    </row>
    <row r="81" spans="2:4" ht="14" thickBot="1" x14ac:dyDescent="0.2">
      <c r="B81" s="312">
        <v>45720</v>
      </c>
      <c r="C81" s="321">
        <v>22082.65</v>
      </c>
      <c r="D81" s="209">
        <f t="shared" si="1"/>
        <v>1.1531677583985545E-2</v>
      </c>
    </row>
    <row r="82" spans="2:4" ht="14" thickBot="1" x14ac:dyDescent="0.2">
      <c r="B82" s="312">
        <v>45719</v>
      </c>
      <c r="C82" s="321">
        <v>22119.3</v>
      </c>
      <c r="D82" s="209">
        <f t="shared" si="1"/>
        <v>-1.6569240437083188E-3</v>
      </c>
    </row>
    <row r="83" spans="2:4" ht="14" thickBot="1" x14ac:dyDescent="0.2">
      <c r="B83" s="312">
        <v>45716</v>
      </c>
      <c r="C83" s="321">
        <v>22124.7</v>
      </c>
      <c r="D83" s="209">
        <f t="shared" si="1"/>
        <v>-2.4407110604895976E-4</v>
      </c>
    </row>
    <row r="84" spans="2:4" ht="14" thickBot="1" x14ac:dyDescent="0.2">
      <c r="B84" s="312">
        <v>45715</v>
      </c>
      <c r="C84" s="321">
        <v>22545.05</v>
      </c>
      <c r="D84" s="210">
        <f t="shared" si="1"/>
        <v>-1.8644891007116748E-2</v>
      </c>
    </row>
    <row r="85" spans="2:4" ht="14" thickBot="1" x14ac:dyDescent="0.2">
      <c r="B85" s="312">
        <v>45713</v>
      </c>
      <c r="C85" s="321">
        <v>22547.55</v>
      </c>
      <c r="D85" s="209">
        <f t="shared" si="1"/>
        <v>-1.1087679149179852E-4</v>
      </c>
    </row>
    <row r="86" spans="2:4" ht="14" thickBot="1" x14ac:dyDescent="0.2">
      <c r="B86" s="312">
        <v>45712</v>
      </c>
      <c r="C86" s="321">
        <v>22553.35</v>
      </c>
      <c r="D86" s="209">
        <f t="shared" si="1"/>
        <v>-2.5716800386632599E-4</v>
      </c>
    </row>
    <row r="87" spans="2:4" ht="14" thickBot="1" x14ac:dyDescent="0.2">
      <c r="B87" s="312">
        <v>45709</v>
      </c>
      <c r="C87" s="321">
        <v>22795.9</v>
      </c>
      <c r="D87" s="210">
        <f t="shared" si="1"/>
        <v>-1.0640071240881177E-2</v>
      </c>
    </row>
    <row r="88" spans="2:4" ht="14" thickBot="1" x14ac:dyDescent="0.2">
      <c r="B88" s="312">
        <v>45708</v>
      </c>
      <c r="C88" s="321">
        <v>22913.15</v>
      </c>
      <c r="D88" s="209">
        <f t="shared" si="1"/>
        <v>-5.1171488861200265E-3</v>
      </c>
    </row>
    <row r="89" spans="2:4" ht="14" thickBot="1" x14ac:dyDescent="0.2">
      <c r="B89" s="312">
        <v>45707</v>
      </c>
      <c r="C89" s="321">
        <v>22932.9</v>
      </c>
      <c r="D89" s="209">
        <f t="shared" si="1"/>
        <v>-8.6120813329326751E-4</v>
      </c>
    </row>
    <row r="90" spans="2:4" ht="14" thickBot="1" x14ac:dyDescent="0.2">
      <c r="B90" s="312">
        <v>45706</v>
      </c>
      <c r="C90" s="321">
        <v>22945.3</v>
      </c>
      <c r="D90" s="209">
        <f t="shared" si="1"/>
        <v>-5.4041568425766684E-4</v>
      </c>
    </row>
    <row r="91" spans="2:4" ht="14" thickBot="1" x14ac:dyDescent="0.2">
      <c r="B91" s="312">
        <v>45705</v>
      </c>
      <c r="C91" s="321">
        <v>22959.5</v>
      </c>
      <c r="D91" s="209">
        <f t="shared" si="1"/>
        <v>-6.1848036760381309E-4</v>
      </c>
    </row>
    <row r="92" spans="2:4" ht="14" thickBot="1" x14ac:dyDescent="0.2">
      <c r="B92" s="312">
        <v>45702</v>
      </c>
      <c r="C92" s="321">
        <v>22929.25</v>
      </c>
      <c r="D92" s="209">
        <f t="shared" si="1"/>
        <v>1.3192755977626813E-3</v>
      </c>
    </row>
    <row r="93" spans="2:4" ht="14" thickBot="1" x14ac:dyDescent="0.2">
      <c r="B93" s="312">
        <v>45701</v>
      </c>
      <c r="C93" s="321">
        <v>23031.4</v>
      </c>
      <c r="D93" s="209">
        <f t="shared" si="1"/>
        <v>-4.4352492683902289E-3</v>
      </c>
    </row>
    <row r="94" spans="2:4" ht="14" thickBot="1" x14ac:dyDescent="0.2">
      <c r="B94" s="312">
        <v>45700</v>
      </c>
      <c r="C94" s="321">
        <v>23045.25</v>
      </c>
      <c r="D94" s="209">
        <f t="shared" si="1"/>
        <v>-6.0099152753811946E-4</v>
      </c>
    </row>
    <row r="95" spans="2:4" ht="14" thickBot="1" x14ac:dyDescent="0.2">
      <c r="B95" s="312">
        <v>45699</v>
      </c>
      <c r="C95" s="321">
        <v>23071.8</v>
      </c>
      <c r="D95" s="210">
        <f t="shared" si="1"/>
        <v>-1.1507554677138154E-3</v>
      </c>
    </row>
    <row r="96" spans="2:4" ht="14" thickBot="1" x14ac:dyDescent="0.2">
      <c r="B96" s="312">
        <v>45698</v>
      </c>
      <c r="C96" s="321">
        <v>23381.599999999999</v>
      </c>
      <c r="D96" s="210">
        <f t="shared" si="1"/>
        <v>-1.3249734834228644E-2</v>
      </c>
    </row>
    <row r="97" spans="2:4" ht="14" thickBot="1" x14ac:dyDescent="0.2">
      <c r="B97" s="312">
        <v>45695</v>
      </c>
      <c r="C97" s="321">
        <v>23559.95</v>
      </c>
      <c r="D97" s="209">
        <f t="shared" si="1"/>
        <v>-7.5700500213287114E-3</v>
      </c>
    </row>
    <row r="98" spans="2:4" ht="14" thickBot="1" x14ac:dyDescent="0.2">
      <c r="B98" s="312">
        <v>45694</v>
      </c>
      <c r="C98" s="321">
        <v>23603.35</v>
      </c>
      <c r="D98" s="209">
        <f t="shared" si="1"/>
        <v>-1.8387220458111475E-3</v>
      </c>
    </row>
    <row r="99" spans="2:4" ht="14" thickBot="1" x14ac:dyDescent="0.2">
      <c r="B99" s="312">
        <v>45693</v>
      </c>
      <c r="C99" s="321">
        <v>23696.3</v>
      </c>
      <c r="D99" s="210">
        <f t="shared" si="1"/>
        <v>-3.922553310010457E-3</v>
      </c>
    </row>
    <row r="100" spans="2:4" ht="14" thickBot="1" x14ac:dyDescent="0.2">
      <c r="B100" s="312">
        <v>45692</v>
      </c>
      <c r="C100" s="321">
        <v>23739.25</v>
      </c>
      <c r="D100" s="210">
        <f t="shared" si="1"/>
        <v>-1.8092399717767327E-3</v>
      </c>
    </row>
    <row r="101" spans="2:4" ht="14" thickBot="1" x14ac:dyDescent="0.2">
      <c r="B101" s="312">
        <v>45691</v>
      </c>
      <c r="C101" s="321">
        <v>23361.05</v>
      </c>
      <c r="D101" s="209">
        <f t="shared" si="1"/>
        <v>1.6189340804458663E-2</v>
      </c>
    </row>
    <row r="102" spans="2:4" ht="14" thickBot="1" x14ac:dyDescent="0.2">
      <c r="B102" s="312">
        <v>45689</v>
      </c>
      <c r="C102" s="321">
        <v>23482.15</v>
      </c>
      <c r="D102" s="209">
        <f t="shared" si="1"/>
        <v>-5.1571086974575575E-3</v>
      </c>
    </row>
    <row r="103" spans="2:4" ht="14" thickBot="1" x14ac:dyDescent="0.2">
      <c r="B103" s="312">
        <v>45688</v>
      </c>
      <c r="C103" s="321">
        <v>23508.400000000001</v>
      </c>
      <c r="D103" s="210">
        <f t="shared" si="1"/>
        <v>-1.1166221435742196E-3</v>
      </c>
    </row>
    <row r="104" spans="2:4" ht="14" thickBot="1" x14ac:dyDescent="0.2">
      <c r="B104" s="312">
        <v>45687</v>
      </c>
      <c r="C104" s="321">
        <v>23249.5</v>
      </c>
      <c r="D104" s="209">
        <f t="shared" si="1"/>
        <v>1.1135723348889348E-2</v>
      </c>
    </row>
    <row r="105" spans="2:4" ht="14" thickBot="1" x14ac:dyDescent="0.2">
      <c r="B105" s="312">
        <v>45686</v>
      </c>
      <c r="C105" s="321">
        <v>23163.1</v>
      </c>
      <c r="D105" s="209">
        <f t="shared" si="1"/>
        <v>3.7300706727512178E-3</v>
      </c>
    </row>
    <row r="106" spans="2:4" ht="14" thickBot="1" x14ac:dyDescent="0.2">
      <c r="B106" s="312">
        <v>45685</v>
      </c>
      <c r="C106" s="321">
        <v>22957.25</v>
      </c>
      <c r="D106" s="210">
        <f t="shared" si="1"/>
        <v>8.9666663036731542E-3</v>
      </c>
    </row>
    <row r="107" spans="2:4" ht="14" thickBot="1" x14ac:dyDescent="0.2">
      <c r="B107" s="312">
        <v>45684</v>
      </c>
      <c r="C107" s="321">
        <v>22829.15</v>
      </c>
      <c r="D107" s="209">
        <f t="shared" si="1"/>
        <v>5.6112470240896606E-3</v>
      </c>
    </row>
    <row r="108" spans="2:4" ht="14" thickBot="1" x14ac:dyDescent="0.2">
      <c r="B108" s="312">
        <v>45681</v>
      </c>
      <c r="C108" s="321">
        <v>23092.2</v>
      </c>
      <c r="D108" s="210">
        <f t="shared" si="1"/>
        <v>-1.139129229783209E-2</v>
      </c>
    </row>
    <row r="109" spans="2:4" ht="14" thickBot="1" x14ac:dyDescent="0.2">
      <c r="B109" s="312">
        <v>45680</v>
      </c>
      <c r="C109" s="321">
        <v>23205.35</v>
      </c>
      <c r="D109" s="209">
        <f t="shared" si="1"/>
        <v>-4.876030742910431E-3</v>
      </c>
    </row>
    <row r="110" spans="2:4" ht="14" thickBot="1" x14ac:dyDescent="0.2">
      <c r="B110" s="312">
        <v>45679</v>
      </c>
      <c r="C110" s="321">
        <v>23155.35</v>
      </c>
      <c r="D110" s="209">
        <f t="shared" si="1"/>
        <v>2.1593281898135697E-3</v>
      </c>
    </row>
    <row r="111" spans="2:4" ht="14" thickBot="1" x14ac:dyDescent="0.2">
      <c r="B111" s="312">
        <v>45678</v>
      </c>
      <c r="C111" s="321">
        <v>23024.65</v>
      </c>
      <c r="D111" s="209">
        <f t="shared" si="1"/>
        <v>5.6765249417471964E-3</v>
      </c>
    </row>
    <row r="112" spans="2:4" ht="14" thickBot="1" x14ac:dyDescent="0.2">
      <c r="B112" s="312">
        <v>45677</v>
      </c>
      <c r="C112" s="321">
        <v>23344.75</v>
      </c>
      <c r="D112" s="210">
        <f t="shared" si="1"/>
        <v>-1.3711862410177855E-2</v>
      </c>
    </row>
    <row r="113" spans="2:4" ht="14" thickBot="1" x14ac:dyDescent="0.2">
      <c r="B113" s="312">
        <v>45674</v>
      </c>
      <c r="C113" s="321">
        <v>23203.200000000001</v>
      </c>
      <c r="D113" s="210">
        <f t="shared" si="1"/>
        <v>6.1004516618397009E-3</v>
      </c>
    </row>
    <row r="114" spans="2:4" ht="14" thickBot="1" x14ac:dyDescent="0.2">
      <c r="B114" s="312">
        <v>45673</v>
      </c>
      <c r="C114" s="321">
        <v>23311.8</v>
      </c>
      <c r="D114" s="209">
        <f t="shared" si="1"/>
        <v>-4.6585849226571385E-3</v>
      </c>
    </row>
    <row r="115" spans="2:4" ht="14" thickBot="1" x14ac:dyDescent="0.2">
      <c r="B115" s="312">
        <v>45672</v>
      </c>
      <c r="C115" s="321">
        <v>23213.200000000001</v>
      </c>
      <c r="D115" s="209">
        <f t="shared" si="1"/>
        <v>4.2475832715866968E-3</v>
      </c>
    </row>
    <row r="116" spans="2:4" ht="14" thickBot="1" x14ac:dyDescent="0.2">
      <c r="B116" s="312">
        <v>45671</v>
      </c>
      <c r="C116" s="321">
        <v>23176.05</v>
      </c>
      <c r="D116" s="210">
        <f t="shared" si="1"/>
        <v>1.6029478707546563E-3</v>
      </c>
    </row>
    <row r="117" spans="2:4" ht="14" thickBot="1" x14ac:dyDescent="0.2">
      <c r="B117" s="312">
        <v>45670</v>
      </c>
      <c r="C117" s="321">
        <v>23085.95</v>
      </c>
      <c r="D117" s="210">
        <f t="shared" si="1"/>
        <v>3.9028066854513987E-3</v>
      </c>
    </row>
    <row r="118" spans="2:4" ht="14" thickBot="1" x14ac:dyDescent="0.2">
      <c r="B118" s="312">
        <v>45667</v>
      </c>
      <c r="C118" s="321">
        <v>23431.5</v>
      </c>
      <c r="D118" s="210">
        <f t="shared" si="1"/>
        <v>-1.4747241960608504E-2</v>
      </c>
    </row>
    <row r="119" spans="2:4" ht="14" thickBot="1" x14ac:dyDescent="0.2">
      <c r="B119" s="312">
        <v>45666</v>
      </c>
      <c r="C119" s="321">
        <v>23526.5</v>
      </c>
      <c r="D119" s="210">
        <f t="shared" si="1"/>
        <v>-4.037999702463213E-3</v>
      </c>
    </row>
    <row r="120" spans="2:4" ht="14" thickBot="1" x14ac:dyDescent="0.2">
      <c r="B120" s="312">
        <v>45665</v>
      </c>
      <c r="C120" s="321">
        <v>23688.95</v>
      </c>
      <c r="D120" s="210">
        <f t="shared" si="1"/>
        <v>-6.8576277124988705E-3</v>
      </c>
    </row>
    <row r="121" spans="2:4" ht="14" thickBot="1" x14ac:dyDescent="0.2">
      <c r="B121" s="312">
        <v>45664</v>
      </c>
      <c r="C121" s="321">
        <v>23707.9</v>
      </c>
      <c r="D121" s="210">
        <f t="shared" si="1"/>
        <v>-7.9931162186441806E-4</v>
      </c>
    </row>
    <row r="122" spans="2:4" ht="14" thickBot="1" x14ac:dyDescent="0.2">
      <c r="B122" s="312">
        <v>45663</v>
      </c>
      <c r="C122" s="321">
        <v>23616.05</v>
      </c>
      <c r="D122" s="209">
        <f t="shared" si="1"/>
        <v>3.8893040961549552E-3</v>
      </c>
    </row>
    <row r="123" spans="2:4" ht="14" thickBot="1" x14ac:dyDescent="0.2">
      <c r="B123" s="312">
        <v>45660</v>
      </c>
      <c r="C123" s="321">
        <v>24004.75</v>
      </c>
      <c r="D123" s="210">
        <f t="shared" si="1"/>
        <v>-1.6192628542267662E-2</v>
      </c>
    </row>
    <row r="124" spans="2:4" ht="14" thickBot="1" x14ac:dyDescent="0.2">
      <c r="B124" s="312">
        <v>45659</v>
      </c>
      <c r="C124" s="321">
        <v>24188.65</v>
      </c>
      <c r="D124" s="210">
        <f t="shared" si="1"/>
        <v>-7.6027393012839672E-3</v>
      </c>
    </row>
    <row r="125" spans="2:4" ht="14" thickBot="1" x14ac:dyDescent="0.2">
      <c r="B125" s="312">
        <v>45658</v>
      </c>
      <c r="C125" s="321">
        <v>23742.9</v>
      </c>
      <c r="D125" s="210">
        <f t="shared" si="1"/>
        <v>1.8774033500541298E-2</v>
      </c>
    </row>
    <row r="126" spans="2:4" ht="14" thickBot="1" x14ac:dyDescent="0.2">
      <c r="B126" s="312">
        <v>45657</v>
      </c>
      <c r="C126" s="321">
        <v>23644.799999999999</v>
      </c>
      <c r="D126" s="209">
        <f t="shared" si="1"/>
        <v>4.1489037758830616E-3</v>
      </c>
    </row>
    <row r="127" spans="2:4" ht="14" thickBot="1" x14ac:dyDescent="0.2">
      <c r="B127" s="312">
        <v>45656</v>
      </c>
      <c r="C127" s="321">
        <v>23644.9</v>
      </c>
      <c r="D127" s="209">
        <f t="shared" si="1"/>
        <v>-4.2292418238609741E-6</v>
      </c>
    </row>
    <row r="128" spans="2:4" ht="14" thickBot="1" x14ac:dyDescent="0.2">
      <c r="B128" s="312">
        <v>45653</v>
      </c>
      <c r="C128" s="321">
        <v>23813.4</v>
      </c>
      <c r="D128" s="210">
        <f t="shared" si="1"/>
        <v>-7.0758480519371725E-3</v>
      </c>
    </row>
    <row r="129" spans="2:4" ht="14" thickBot="1" x14ac:dyDescent="0.2">
      <c r="B129" s="312">
        <v>45652</v>
      </c>
      <c r="C129" s="321">
        <v>23750.2</v>
      </c>
      <c r="D129" s="209">
        <f t="shared" si="1"/>
        <v>2.6610302229033156E-3</v>
      </c>
    </row>
    <row r="130" spans="2:4" ht="14" thickBot="1" x14ac:dyDescent="0.2">
      <c r="B130" s="312">
        <v>45650</v>
      </c>
      <c r="C130" s="321">
        <v>23727.65</v>
      </c>
      <c r="D130" s="209">
        <f t="shared" si="1"/>
        <v>9.5036803054671104E-4</v>
      </c>
    </row>
    <row r="131" spans="2:4" ht="14" thickBot="1" x14ac:dyDescent="0.2">
      <c r="B131" s="312">
        <v>45649</v>
      </c>
      <c r="C131" s="321">
        <v>23753.45</v>
      </c>
      <c r="D131" s="210">
        <f t="shared" si="1"/>
        <v>-1.0861580107310864E-3</v>
      </c>
    </row>
    <row r="132" spans="2:4" ht="14" thickBot="1" x14ac:dyDescent="0.2">
      <c r="B132" s="312">
        <v>45646</v>
      </c>
      <c r="C132" s="321">
        <v>23587.5</v>
      </c>
      <c r="D132" s="210">
        <f t="shared" si="1"/>
        <v>7.0355060943296799E-3</v>
      </c>
    </row>
    <row r="133" spans="2:4" ht="14" thickBot="1" x14ac:dyDescent="0.2">
      <c r="B133" s="312">
        <v>45645</v>
      </c>
      <c r="C133" s="321">
        <v>23951.7</v>
      </c>
      <c r="D133" s="209">
        <f t="shared" si="1"/>
        <v>-1.5205601272561098E-2</v>
      </c>
    </row>
    <row r="134" spans="2:4" ht="14" thickBot="1" x14ac:dyDescent="0.2">
      <c r="B134" s="312">
        <v>45644</v>
      </c>
      <c r="C134" s="321">
        <v>24198.85</v>
      </c>
      <c r="D134" s="210">
        <f t="shared" si="1"/>
        <v>-1.0213295259898669E-2</v>
      </c>
    </row>
    <row r="135" spans="2:4" ht="14" thickBot="1" x14ac:dyDescent="0.2">
      <c r="B135" s="312">
        <v>45643</v>
      </c>
      <c r="C135" s="321">
        <v>24336</v>
      </c>
      <c r="D135" s="209">
        <f t="shared" si="1"/>
        <v>-5.6356837606837962E-3</v>
      </c>
    </row>
    <row r="136" spans="2:4" ht="14" thickBot="1" x14ac:dyDescent="0.2">
      <c r="B136" s="312">
        <v>45642</v>
      </c>
      <c r="C136" s="321">
        <v>24668.25</v>
      </c>
      <c r="D136" s="210">
        <f t="shared" si="1"/>
        <v>-1.3468730047733413E-2</v>
      </c>
    </row>
    <row r="137" spans="2:4" ht="14" thickBot="1" x14ac:dyDescent="0.2">
      <c r="B137" s="312">
        <v>45639</v>
      </c>
      <c r="C137" s="321">
        <v>24768.3</v>
      </c>
      <c r="D137" s="209">
        <f t="shared" si="1"/>
        <v>-4.0394375068131261E-3</v>
      </c>
    </row>
    <row r="138" spans="2:4" ht="14" thickBot="1" x14ac:dyDescent="0.2">
      <c r="B138" s="312">
        <v>45638</v>
      </c>
      <c r="C138" s="321">
        <v>24548.7</v>
      </c>
      <c r="D138" s="210">
        <f t="shared" si="1"/>
        <v>8.9454838749098986E-3</v>
      </c>
    </row>
    <row r="139" spans="2:4" ht="14" thickBot="1" x14ac:dyDescent="0.2">
      <c r="B139" s="312">
        <v>45637</v>
      </c>
      <c r="C139" s="321">
        <v>24641.8</v>
      </c>
      <c r="D139" s="210">
        <f t="shared" ref="D139:D202" si="2">C138/C139-1</f>
        <v>-3.778133090926783E-3</v>
      </c>
    </row>
    <row r="140" spans="2:4" ht="14" thickBot="1" x14ac:dyDescent="0.2">
      <c r="B140" s="312">
        <v>45636</v>
      </c>
      <c r="C140" s="321">
        <v>24610.05</v>
      </c>
      <c r="D140" s="210">
        <f t="shared" si="2"/>
        <v>1.2901233439184256E-3</v>
      </c>
    </row>
    <row r="141" spans="2:4" ht="14" thickBot="1" x14ac:dyDescent="0.2">
      <c r="B141" s="312">
        <v>45635</v>
      </c>
      <c r="C141" s="321">
        <v>24619</v>
      </c>
      <c r="D141" s="210">
        <f t="shared" si="2"/>
        <v>-3.6354035501040549E-4</v>
      </c>
    </row>
    <row r="142" spans="2:4" ht="14" thickBot="1" x14ac:dyDescent="0.2">
      <c r="B142" s="312">
        <v>45632</v>
      </c>
      <c r="C142" s="321">
        <v>24677.8</v>
      </c>
      <c r="D142" s="209">
        <f t="shared" si="2"/>
        <v>-2.3827083451523068E-3</v>
      </c>
    </row>
    <row r="143" spans="2:4" ht="14" thickBot="1" x14ac:dyDescent="0.2">
      <c r="B143" s="312">
        <v>45631</v>
      </c>
      <c r="C143" s="321">
        <v>24708.400000000001</v>
      </c>
      <c r="D143" s="209">
        <f t="shared" si="2"/>
        <v>-1.2384452251057443E-3</v>
      </c>
    </row>
    <row r="144" spans="2:4" ht="14" thickBot="1" x14ac:dyDescent="0.2">
      <c r="B144" s="312">
        <v>45630</v>
      </c>
      <c r="C144" s="321">
        <v>24467.45</v>
      </c>
      <c r="D144" s="209">
        <f t="shared" si="2"/>
        <v>9.8477773531773227E-3</v>
      </c>
    </row>
    <row r="145" spans="2:4" ht="14" thickBot="1" x14ac:dyDescent="0.2">
      <c r="B145" s="312">
        <v>45629</v>
      </c>
      <c r="C145" s="321">
        <v>24457.15</v>
      </c>
      <c r="D145" s="210">
        <f t="shared" si="2"/>
        <v>4.2114473681520437E-4</v>
      </c>
    </row>
    <row r="146" spans="2:4" ht="14" thickBot="1" x14ac:dyDescent="0.2">
      <c r="B146" s="312">
        <v>45628</v>
      </c>
      <c r="C146" s="321">
        <v>24276.05</v>
      </c>
      <c r="D146" s="209">
        <f t="shared" si="2"/>
        <v>7.4600274756395635E-3</v>
      </c>
    </row>
    <row r="147" spans="2:4" ht="14" thickBot="1" x14ac:dyDescent="0.2">
      <c r="B147" s="312">
        <v>45625</v>
      </c>
      <c r="C147" s="321">
        <v>24131.1</v>
      </c>
      <c r="D147" s="209">
        <f t="shared" si="2"/>
        <v>6.0067713448621607E-3</v>
      </c>
    </row>
    <row r="148" spans="2:4" ht="14" thickBot="1" x14ac:dyDescent="0.2">
      <c r="B148" s="312">
        <v>45624</v>
      </c>
      <c r="C148" s="321">
        <v>23914.15</v>
      </c>
      <c r="D148" s="209">
        <f t="shared" si="2"/>
        <v>9.0720347576642713E-3</v>
      </c>
    </row>
    <row r="149" spans="2:4" ht="14" thickBot="1" x14ac:dyDescent="0.2">
      <c r="B149" s="312">
        <v>45623</v>
      </c>
      <c r="C149" s="321">
        <v>24274.9</v>
      </c>
      <c r="D149" s="209">
        <f t="shared" si="2"/>
        <v>-1.4861029293632533E-2</v>
      </c>
    </row>
    <row r="150" spans="2:4" ht="14" thickBot="1" x14ac:dyDescent="0.2">
      <c r="B150" s="312">
        <v>45622</v>
      </c>
      <c r="C150" s="321">
        <v>24194.5</v>
      </c>
      <c r="D150" s="209">
        <f t="shared" si="2"/>
        <v>3.3230692926078387E-3</v>
      </c>
    </row>
    <row r="151" spans="2:4" ht="14" thickBot="1" x14ac:dyDescent="0.2">
      <c r="B151" s="312">
        <v>45621</v>
      </c>
      <c r="C151" s="321">
        <v>24221.9</v>
      </c>
      <c r="D151" s="209">
        <f t="shared" si="2"/>
        <v>-1.1312077087264338E-3</v>
      </c>
    </row>
    <row r="152" spans="2:4" ht="14" thickBot="1" x14ac:dyDescent="0.2">
      <c r="B152" s="312">
        <v>45618</v>
      </c>
      <c r="C152" s="321">
        <v>23907.25</v>
      </c>
      <c r="D152" s="209">
        <f t="shared" si="2"/>
        <v>1.3161279528176584E-2</v>
      </c>
    </row>
    <row r="153" spans="2:4" ht="14" thickBot="1" x14ac:dyDescent="0.2">
      <c r="B153" s="312">
        <v>45617</v>
      </c>
      <c r="C153" s="321">
        <v>23349.9</v>
      </c>
      <c r="D153" s="210">
        <f t="shared" si="2"/>
        <v>2.3869481239748191E-2</v>
      </c>
    </row>
    <row r="154" spans="2:4" ht="14" thickBot="1" x14ac:dyDescent="0.2">
      <c r="B154" s="312">
        <v>45615</v>
      </c>
      <c r="C154" s="321">
        <v>23518.5</v>
      </c>
      <c r="D154" s="209">
        <f t="shared" si="2"/>
        <v>-7.1688245423814356E-3</v>
      </c>
    </row>
    <row r="155" spans="2:4" ht="14" thickBot="1" x14ac:dyDescent="0.2">
      <c r="B155" s="312">
        <v>45614</v>
      </c>
      <c r="C155" s="321">
        <v>23453.8</v>
      </c>
      <c r="D155" s="209">
        <f t="shared" si="2"/>
        <v>2.758614808687776E-3</v>
      </c>
    </row>
    <row r="156" spans="2:4" ht="14" thickBot="1" x14ac:dyDescent="0.2">
      <c r="B156" s="312">
        <v>45610</v>
      </c>
      <c r="C156" s="321">
        <v>23532.7</v>
      </c>
      <c r="D156" s="209">
        <f t="shared" si="2"/>
        <v>-3.3527814487925856E-3</v>
      </c>
    </row>
    <row r="157" spans="2:4" ht="14" thickBot="1" x14ac:dyDescent="0.2">
      <c r="B157" s="312">
        <v>45609</v>
      </c>
      <c r="C157" s="321">
        <v>23559.05</v>
      </c>
      <c r="D157" s="210">
        <f t="shared" si="2"/>
        <v>-1.1184661520731165E-3</v>
      </c>
    </row>
    <row r="158" spans="2:4" ht="14" thickBot="1" x14ac:dyDescent="0.2">
      <c r="B158" s="312">
        <v>45608</v>
      </c>
      <c r="C158" s="321">
        <v>23883.45</v>
      </c>
      <c r="D158" s="210">
        <f t="shared" si="2"/>
        <v>-1.3582627300494754E-2</v>
      </c>
    </row>
    <row r="159" spans="2:4" ht="14" thickBot="1" x14ac:dyDescent="0.2">
      <c r="B159" s="312">
        <v>45607</v>
      </c>
      <c r="C159" s="321">
        <v>24141.3</v>
      </c>
      <c r="D159" s="209">
        <f t="shared" si="2"/>
        <v>-1.0680866399075395E-2</v>
      </c>
    </row>
    <row r="160" spans="2:4" ht="14" thickBot="1" x14ac:dyDescent="0.2">
      <c r="B160" s="312">
        <v>45604</v>
      </c>
      <c r="C160" s="321">
        <v>24148.2</v>
      </c>
      <c r="D160" s="209">
        <f t="shared" si="2"/>
        <v>-2.8573558277644739E-4</v>
      </c>
    </row>
    <row r="161" spans="2:4" ht="14" thickBot="1" x14ac:dyDescent="0.2">
      <c r="B161" s="312">
        <v>45603</v>
      </c>
      <c r="C161" s="321">
        <v>24199.35</v>
      </c>
      <c r="D161" s="209">
        <f t="shared" si="2"/>
        <v>-2.1136931363857636E-3</v>
      </c>
    </row>
    <row r="162" spans="2:4" ht="14" thickBot="1" x14ac:dyDescent="0.2">
      <c r="B162" s="312">
        <v>45602</v>
      </c>
      <c r="C162" s="321">
        <v>24484.05</v>
      </c>
      <c r="D162" s="210">
        <f t="shared" si="2"/>
        <v>-1.1627978214388546E-2</v>
      </c>
    </row>
    <row r="163" spans="2:4" ht="14" thickBot="1" x14ac:dyDescent="0.2">
      <c r="B163" s="312">
        <v>45601</v>
      </c>
      <c r="C163" s="321">
        <v>24213.3</v>
      </c>
      <c r="D163" s="210">
        <f t="shared" si="2"/>
        <v>1.1181871120417242E-2</v>
      </c>
    </row>
    <row r="164" spans="2:4" ht="14" thickBot="1" x14ac:dyDescent="0.2">
      <c r="B164" s="312">
        <v>45600</v>
      </c>
      <c r="C164" s="321">
        <v>23995.35</v>
      </c>
      <c r="D164" s="209">
        <f t="shared" si="2"/>
        <v>9.0830098331551312E-3</v>
      </c>
    </row>
    <row r="165" spans="2:4" ht="14" thickBot="1" x14ac:dyDescent="0.2">
      <c r="B165" s="312">
        <v>45597</v>
      </c>
      <c r="C165" s="321">
        <v>24304.35</v>
      </c>
      <c r="D165" s="209">
        <f t="shared" si="2"/>
        <v>-1.2713773460306443E-2</v>
      </c>
    </row>
    <row r="166" spans="2:4" ht="14" thickBot="1" x14ac:dyDescent="0.2">
      <c r="B166" s="312">
        <v>45596</v>
      </c>
      <c r="C166" s="321">
        <v>24205.35</v>
      </c>
      <c r="D166" s="210">
        <f t="shared" si="2"/>
        <v>4.0900048956118429E-3</v>
      </c>
    </row>
    <row r="167" spans="2:4" ht="14" thickBot="1" x14ac:dyDescent="0.2">
      <c r="B167" s="312">
        <v>45595</v>
      </c>
      <c r="C167" s="321">
        <v>24340.85</v>
      </c>
      <c r="D167" s="210">
        <f t="shared" si="2"/>
        <v>-5.5667735514577377E-3</v>
      </c>
    </row>
    <row r="168" spans="2:4" ht="14" thickBot="1" x14ac:dyDescent="0.2">
      <c r="B168" s="312">
        <v>45594</v>
      </c>
      <c r="C168" s="321">
        <v>24466.85</v>
      </c>
      <c r="D168" s="209">
        <f t="shared" si="2"/>
        <v>-5.1498251716097787E-3</v>
      </c>
    </row>
    <row r="169" spans="2:4" ht="14" thickBot="1" x14ac:dyDescent="0.2">
      <c r="B169" s="312">
        <v>45593</v>
      </c>
      <c r="C169" s="321">
        <v>24339.15</v>
      </c>
      <c r="D169" s="210">
        <f t="shared" si="2"/>
        <v>5.2466910307056303E-3</v>
      </c>
    </row>
    <row r="170" spans="2:4" ht="14" thickBot="1" x14ac:dyDescent="0.2">
      <c r="B170" s="312">
        <v>45590</v>
      </c>
      <c r="C170" s="321">
        <v>24180.799999999999</v>
      </c>
      <c r="D170" s="209">
        <f t="shared" si="2"/>
        <v>6.5485840005294893E-3</v>
      </c>
    </row>
    <row r="171" spans="2:4" ht="14" thickBot="1" x14ac:dyDescent="0.2">
      <c r="B171" s="312">
        <v>45589</v>
      </c>
      <c r="C171" s="321">
        <v>24399.4</v>
      </c>
      <c r="D171" s="209">
        <f t="shared" si="2"/>
        <v>-8.9592367025419506E-3</v>
      </c>
    </row>
    <row r="172" spans="2:4" ht="14" thickBot="1" x14ac:dyDescent="0.2">
      <c r="B172" s="312">
        <v>45588</v>
      </c>
      <c r="C172" s="321">
        <v>24435.5</v>
      </c>
      <c r="D172" s="210">
        <f t="shared" si="2"/>
        <v>-1.4773587608192251E-3</v>
      </c>
    </row>
    <row r="173" spans="2:4" ht="14" thickBot="1" x14ac:dyDescent="0.2">
      <c r="B173" s="312">
        <v>45587</v>
      </c>
      <c r="C173" s="321">
        <v>24472.1</v>
      </c>
      <c r="D173" s="210">
        <f t="shared" si="2"/>
        <v>-1.4955806816742134E-3</v>
      </c>
    </row>
    <row r="174" spans="2:4" ht="14" thickBot="1" x14ac:dyDescent="0.2">
      <c r="B174" s="312">
        <v>45586</v>
      </c>
      <c r="C174" s="321">
        <v>24781.1</v>
      </c>
      <c r="D174" s="210">
        <f t="shared" si="2"/>
        <v>-1.2469180141317371E-2</v>
      </c>
    </row>
    <row r="175" spans="2:4" ht="14" thickBot="1" x14ac:dyDescent="0.2">
      <c r="B175" s="312">
        <v>45583</v>
      </c>
      <c r="C175" s="321">
        <v>24854.05</v>
      </c>
      <c r="D175" s="209">
        <f t="shared" si="2"/>
        <v>-2.9351353199982277E-3</v>
      </c>
    </row>
    <row r="176" spans="2:4" ht="14" thickBot="1" x14ac:dyDescent="0.2">
      <c r="B176" s="312">
        <v>45582</v>
      </c>
      <c r="C176" s="321">
        <v>24749.85</v>
      </c>
      <c r="D176" s="210">
        <f t="shared" si="2"/>
        <v>4.2101265260194864E-3</v>
      </c>
    </row>
    <row r="177" spans="2:4" ht="14" thickBot="1" x14ac:dyDescent="0.2">
      <c r="B177" s="312">
        <v>45581</v>
      </c>
      <c r="C177" s="321">
        <v>24971.3</v>
      </c>
      <c r="D177" s="210">
        <f t="shared" si="2"/>
        <v>-8.8681806714108191E-3</v>
      </c>
    </row>
    <row r="178" spans="2:4" ht="14" thickBot="1" x14ac:dyDescent="0.2">
      <c r="B178" s="312">
        <v>45580</v>
      </c>
      <c r="C178" s="321">
        <v>25057.35</v>
      </c>
      <c r="D178" s="209">
        <f t="shared" si="2"/>
        <v>-3.4341221238478603E-3</v>
      </c>
    </row>
    <row r="179" spans="2:4" ht="14" thickBot="1" x14ac:dyDescent="0.2">
      <c r="B179" s="312">
        <v>45579</v>
      </c>
      <c r="C179" s="321">
        <v>25127.95</v>
      </c>
      <c r="D179" s="209">
        <f t="shared" si="2"/>
        <v>-2.809620362982379E-3</v>
      </c>
    </row>
    <row r="180" spans="2:4" ht="14" thickBot="1" x14ac:dyDescent="0.2">
      <c r="B180" s="312">
        <v>45576</v>
      </c>
      <c r="C180" s="321">
        <v>24964.25</v>
      </c>
      <c r="D180" s="210">
        <f t="shared" si="2"/>
        <v>6.5573770491802463E-3</v>
      </c>
    </row>
    <row r="181" spans="2:4" ht="14" thickBot="1" x14ac:dyDescent="0.2">
      <c r="B181" s="312">
        <v>45575</v>
      </c>
      <c r="C181" s="321">
        <v>24998.45</v>
      </c>
      <c r="D181" s="210">
        <f t="shared" si="2"/>
        <v>-1.3680848212589414E-3</v>
      </c>
    </row>
    <row r="182" spans="2:4" ht="14" thickBot="1" x14ac:dyDescent="0.2">
      <c r="B182" s="312">
        <v>45574</v>
      </c>
      <c r="C182" s="321">
        <v>24981.95</v>
      </c>
      <c r="D182" s="209">
        <f t="shared" si="2"/>
        <v>6.6047686429593355E-4</v>
      </c>
    </row>
    <row r="183" spans="2:4" ht="14" thickBot="1" x14ac:dyDescent="0.2">
      <c r="B183" s="312">
        <v>45573</v>
      </c>
      <c r="C183" s="321">
        <v>25013.15</v>
      </c>
      <c r="D183" s="209">
        <f t="shared" si="2"/>
        <v>-1.2473438971101203E-3</v>
      </c>
    </row>
    <row r="184" spans="2:4" ht="14" thickBot="1" x14ac:dyDescent="0.2">
      <c r="B184" s="312">
        <v>45572</v>
      </c>
      <c r="C184" s="321">
        <v>24795.75</v>
      </c>
      <c r="D184" s="209">
        <f t="shared" si="2"/>
        <v>8.7676315497615676E-3</v>
      </c>
    </row>
    <row r="185" spans="2:4" ht="14" thickBot="1" x14ac:dyDescent="0.2">
      <c r="B185" s="312">
        <v>45569</v>
      </c>
      <c r="C185" s="321">
        <v>25014.6</v>
      </c>
      <c r="D185" s="209">
        <f t="shared" si="2"/>
        <v>-8.7488906478615514E-3</v>
      </c>
    </row>
    <row r="186" spans="2:4" ht="14" thickBot="1" x14ac:dyDescent="0.2">
      <c r="B186" s="312">
        <v>45568</v>
      </c>
      <c r="C186" s="321">
        <v>25250.1</v>
      </c>
      <c r="D186" s="209">
        <f t="shared" si="2"/>
        <v>-9.3266957358584257E-3</v>
      </c>
    </row>
    <row r="187" spans="2:4" ht="14" thickBot="1" x14ac:dyDescent="0.2">
      <c r="B187" s="312">
        <v>45566</v>
      </c>
      <c r="C187" s="321">
        <v>25796.9</v>
      </c>
      <c r="D187" s="209">
        <f t="shared" si="2"/>
        <v>-2.1196345297303298E-2</v>
      </c>
    </row>
    <row r="188" spans="2:4" ht="14" thickBot="1" x14ac:dyDescent="0.2">
      <c r="B188" s="312">
        <v>45565</v>
      </c>
      <c r="C188" s="321">
        <v>25810.85</v>
      </c>
      <c r="D188" s="210">
        <f t="shared" si="2"/>
        <v>-5.4047038357885047E-4</v>
      </c>
    </row>
    <row r="189" spans="2:4" ht="14" thickBot="1" x14ac:dyDescent="0.2">
      <c r="B189" s="312">
        <v>45562</v>
      </c>
      <c r="C189" s="321">
        <v>26178.95</v>
      </c>
      <c r="D189" s="209">
        <f t="shared" si="2"/>
        <v>-1.4060915353747983E-2</v>
      </c>
    </row>
    <row r="190" spans="2:4" ht="14" thickBot="1" x14ac:dyDescent="0.2">
      <c r="B190" s="312">
        <v>45561</v>
      </c>
      <c r="C190" s="321">
        <v>26216.05</v>
      </c>
      <c r="D190" s="209">
        <f t="shared" si="2"/>
        <v>-1.4151636116043198E-3</v>
      </c>
    </row>
    <row r="191" spans="2:4" ht="14" thickBot="1" x14ac:dyDescent="0.2">
      <c r="B191" s="312">
        <v>45560</v>
      </c>
      <c r="C191" s="321">
        <v>26004.15</v>
      </c>
      <c r="D191" s="210">
        <f t="shared" si="2"/>
        <v>8.1486993422204002E-3</v>
      </c>
    </row>
    <row r="192" spans="2:4" ht="14" thickBot="1" x14ac:dyDescent="0.2">
      <c r="B192" s="312">
        <v>45559</v>
      </c>
      <c r="C192" s="321">
        <v>25940.400000000001</v>
      </c>
      <c r="D192" s="209">
        <f t="shared" si="2"/>
        <v>2.4575565527131804E-3</v>
      </c>
    </row>
    <row r="193" spans="2:4" ht="14" thickBot="1" x14ac:dyDescent="0.2">
      <c r="B193" s="312">
        <v>45558</v>
      </c>
      <c r="C193" s="321">
        <v>25939.05</v>
      </c>
      <c r="D193" s="209">
        <f t="shared" si="2"/>
        <v>5.2045082607143911E-5</v>
      </c>
    </row>
    <row r="194" spans="2:4" ht="14" thickBot="1" x14ac:dyDescent="0.2">
      <c r="B194" s="312">
        <v>45555</v>
      </c>
      <c r="C194" s="321">
        <v>25790.95</v>
      </c>
      <c r="D194" s="209">
        <f t="shared" si="2"/>
        <v>5.7423243424534753E-3</v>
      </c>
    </row>
    <row r="195" spans="2:4" ht="14" thickBot="1" x14ac:dyDescent="0.2">
      <c r="B195" s="312">
        <v>45554</v>
      </c>
      <c r="C195" s="321">
        <v>25415.8</v>
      </c>
      <c r="D195" s="209">
        <f t="shared" si="2"/>
        <v>1.4760503308965278E-2</v>
      </c>
    </row>
    <row r="196" spans="2:4" ht="14" thickBot="1" x14ac:dyDescent="0.2">
      <c r="B196" s="312">
        <v>45553</v>
      </c>
      <c r="C196" s="321">
        <v>25377.55</v>
      </c>
      <c r="D196" s="209">
        <f t="shared" si="2"/>
        <v>1.5072376963103373E-3</v>
      </c>
    </row>
    <row r="197" spans="2:4" ht="14" thickBot="1" x14ac:dyDescent="0.2">
      <c r="B197" s="312">
        <v>45552</v>
      </c>
      <c r="C197" s="321">
        <v>25418.55</v>
      </c>
      <c r="D197" s="209">
        <f t="shared" si="2"/>
        <v>-1.6129952337957665E-3</v>
      </c>
    </row>
    <row r="198" spans="2:4" ht="14" thickBot="1" x14ac:dyDescent="0.2">
      <c r="B198" s="312">
        <v>45551</v>
      </c>
      <c r="C198" s="321">
        <v>25383.75</v>
      </c>
      <c r="D198" s="209">
        <f t="shared" si="2"/>
        <v>1.3709558280394774E-3</v>
      </c>
    </row>
    <row r="199" spans="2:4" ht="14" thickBot="1" x14ac:dyDescent="0.2">
      <c r="B199" s="312">
        <v>45548</v>
      </c>
      <c r="C199" s="321">
        <v>25356.5</v>
      </c>
      <c r="D199" s="209">
        <f t="shared" si="2"/>
        <v>1.0746751326089488E-3</v>
      </c>
    </row>
    <row r="200" spans="2:4" ht="14" thickBot="1" x14ac:dyDescent="0.2">
      <c r="B200" s="312">
        <v>45547</v>
      </c>
      <c r="C200" s="321">
        <v>25388.9</v>
      </c>
      <c r="D200" s="210">
        <f t="shared" si="2"/>
        <v>-1.276148238009589E-3</v>
      </c>
    </row>
    <row r="201" spans="2:4" ht="14" thickBot="1" x14ac:dyDescent="0.2">
      <c r="B201" s="312">
        <v>45546</v>
      </c>
      <c r="C201" s="321">
        <v>24918.45</v>
      </c>
      <c r="D201" s="210">
        <f t="shared" si="2"/>
        <v>1.8879585206944993E-2</v>
      </c>
    </row>
    <row r="202" spans="2:4" ht="14" thickBot="1" x14ac:dyDescent="0.2">
      <c r="B202" s="312">
        <v>45545</v>
      </c>
      <c r="C202" s="321">
        <v>25041.1</v>
      </c>
      <c r="D202" s="209">
        <f t="shared" si="2"/>
        <v>-4.8979477738596566E-3</v>
      </c>
    </row>
    <row r="203" spans="2:4" ht="14" thickBot="1" x14ac:dyDescent="0.2">
      <c r="B203" s="312">
        <v>45544</v>
      </c>
      <c r="C203" s="321">
        <v>24936.400000000001</v>
      </c>
      <c r="D203" s="209">
        <f t="shared" ref="D203:D266" si="3">C202/C203-1</f>
        <v>4.1986814455974297E-3</v>
      </c>
    </row>
    <row r="204" spans="2:4" ht="14" thickBot="1" x14ac:dyDescent="0.2">
      <c r="B204" s="312">
        <v>45541</v>
      </c>
      <c r="C204" s="321">
        <v>24852.15</v>
      </c>
      <c r="D204" s="210">
        <f t="shared" si="3"/>
        <v>3.3900487482974029E-3</v>
      </c>
    </row>
    <row r="205" spans="2:4" ht="14" thickBot="1" x14ac:dyDescent="0.2">
      <c r="B205" s="312">
        <v>45540</v>
      </c>
      <c r="C205" s="321">
        <v>25145.1</v>
      </c>
      <c r="D205" s="209">
        <f t="shared" si="3"/>
        <v>-1.16503811875871E-2</v>
      </c>
    </row>
    <row r="206" spans="2:4" ht="14" thickBot="1" x14ac:dyDescent="0.2">
      <c r="B206" s="312">
        <v>45539</v>
      </c>
      <c r="C206" s="321">
        <v>25198.7</v>
      </c>
      <c r="D206" s="210">
        <f t="shared" si="3"/>
        <v>-2.127093858016571E-3</v>
      </c>
    </row>
    <row r="207" spans="2:4" ht="14" thickBot="1" x14ac:dyDescent="0.2">
      <c r="B207" s="312">
        <v>45538</v>
      </c>
      <c r="C207" s="321">
        <v>25279.85</v>
      </c>
      <c r="D207" s="209">
        <f t="shared" si="3"/>
        <v>-3.2100665154262131E-3</v>
      </c>
    </row>
    <row r="208" spans="2:4" ht="14" thickBot="1" x14ac:dyDescent="0.2">
      <c r="B208" s="312">
        <v>45537</v>
      </c>
      <c r="C208" s="321">
        <v>25278.7</v>
      </c>
      <c r="D208" s="209">
        <f t="shared" si="3"/>
        <v>4.5492845755390476E-5</v>
      </c>
    </row>
    <row r="209" spans="2:4" ht="14" thickBot="1" x14ac:dyDescent="0.2">
      <c r="B209" s="312">
        <v>45534</v>
      </c>
      <c r="C209" s="321">
        <v>25235.9</v>
      </c>
      <c r="D209" s="209">
        <f t="shared" si="3"/>
        <v>1.6959965763059248E-3</v>
      </c>
    </row>
    <row r="210" spans="2:4" ht="14" thickBot="1" x14ac:dyDescent="0.2">
      <c r="B210" s="312">
        <v>45533</v>
      </c>
      <c r="C210" s="321">
        <v>25151.95</v>
      </c>
      <c r="D210" s="210">
        <f t="shared" si="3"/>
        <v>3.3377133780880808E-3</v>
      </c>
    </row>
    <row r="211" spans="2:4" ht="14" thickBot="1" x14ac:dyDescent="0.2">
      <c r="B211" s="312">
        <v>45532</v>
      </c>
      <c r="C211" s="321">
        <v>25052.35</v>
      </c>
      <c r="D211" s="210">
        <f t="shared" si="3"/>
        <v>3.975674936682605E-3</v>
      </c>
    </row>
    <row r="212" spans="2:4" ht="14" thickBot="1" x14ac:dyDescent="0.2">
      <c r="B212" s="312">
        <v>45531</v>
      </c>
      <c r="C212" s="321">
        <v>25017.75</v>
      </c>
      <c r="D212" s="209">
        <f t="shared" si="3"/>
        <v>1.3830180571794415E-3</v>
      </c>
    </row>
    <row r="213" spans="2:4" ht="14" thickBot="1" x14ac:dyDescent="0.2">
      <c r="B213" s="312">
        <v>45530</v>
      </c>
      <c r="C213" s="321">
        <v>25010.6</v>
      </c>
      <c r="D213" s="209">
        <f t="shared" si="3"/>
        <v>2.8587878739427808E-4</v>
      </c>
    </row>
    <row r="214" spans="2:4" ht="14" thickBot="1" x14ac:dyDescent="0.2">
      <c r="B214" s="312">
        <v>45527</v>
      </c>
      <c r="C214" s="321">
        <v>24823.15</v>
      </c>
      <c r="D214" s="209">
        <f t="shared" si="3"/>
        <v>7.5514187361394036E-3</v>
      </c>
    </row>
    <row r="215" spans="2:4" ht="14" thickBot="1" x14ac:dyDescent="0.2">
      <c r="B215" s="312">
        <v>45526</v>
      </c>
      <c r="C215" s="321">
        <v>24811.5</v>
      </c>
      <c r="D215" s="209">
        <f t="shared" si="3"/>
        <v>4.6954033411927831E-4</v>
      </c>
    </row>
    <row r="216" spans="2:4" ht="14" thickBot="1" x14ac:dyDescent="0.2">
      <c r="B216" s="312">
        <v>45525</v>
      </c>
      <c r="C216" s="321">
        <v>24770.2</v>
      </c>
      <c r="D216" s="210">
        <f t="shared" si="3"/>
        <v>1.6673260611541618E-3</v>
      </c>
    </row>
    <row r="217" spans="2:4" ht="14" thickBot="1" x14ac:dyDescent="0.2">
      <c r="B217" s="312">
        <v>45524</v>
      </c>
      <c r="C217" s="321">
        <v>24698.85</v>
      </c>
      <c r="D217" s="210">
        <f t="shared" si="3"/>
        <v>2.888798466325504E-3</v>
      </c>
    </row>
    <row r="218" spans="2:4" ht="14" thickBot="1" x14ac:dyDescent="0.2">
      <c r="B218" s="312">
        <v>45523</v>
      </c>
      <c r="C218" s="321">
        <v>24572.65</v>
      </c>
      <c r="D218" s="209">
        <f t="shared" si="3"/>
        <v>5.1357912150296059E-3</v>
      </c>
    </row>
    <row r="219" spans="2:4" ht="14" thickBot="1" x14ac:dyDescent="0.2">
      <c r="B219" s="312">
        <v>45520</v>
      </c>
      <c r="C219" s="321">
        <v>24541.15</v>
      </c>
      <c r="D219" s="209">
        <f t="shared" si="3"/>
        <v>1.283558431450782E-3</v>
      </c>
    </row>
    <row r="220" spans="2:4" ht="14" thickBot="1" x14ac:dyDescent="0.2">
      <c r="B220" s="312">
        <v>45518</v>
      </c>
      <c r="C220" s="321">
        <v>24143.75</v>
      </c>
      <c r="D220" s="209">
        <f t="shared" si="3"/>
        <v>1.6459746311157097E-2</v>
      </c>
    </row>
    <row r="221" spans="2:4" ht="14" thickBot="1" x14ac:dyDescent="0.2">
      <c r="B221" s="312">
        <v>45517</v>
      </c>
      <c r="C221" s="321">
        <v>24139</v>
      </c>
      <c r="D221" s="209">
        <f t="shared" si="3"/>
        <v>1.9677699987563635E-4</v>
      </c>
    </row>
    <row r="222" spans="2:4" ht="14" thickBot="1" x14ac:dyDescent="0.2">
      <c r="B222" s="312">
        <v>45516</v>
      </c>
      <c r="C222" s="321">
        <v>24347</v>
      </c>
      <c r="D222" s="210">
        <f t="shared" si="3"/>
        <v>-8.5431469996303244E-3</v>
      </c>
    </row>
    <row r="223" spans="2:4" ht="14" thickBot="1" x14ac:dyDescent="0.2">
      <c r="B223" s="312">
        <v>45513</v>
      </c>
      <c r="C223" s="321">
        <v>24367.5</v>
      </c>
      <c r="D223" s="209">
        <f t="shared" si="3"/>
        <v>-8.4128449779419245E-4</v>
      </c>
    </row>
    <row r="224" spans="2:4" ht="14" thickBot="1" x14ac:dyDescent="0.2">
      <c r="B224" s="312">
        <v>45512</v>
      </c>
      <c r="C224" s="321">
        <v>24117</v>
      </c>
      <c r="D224" s="209">
        <f t="shared" si="3"/>
        <v>1.0386864037815746E-2</v>
      </c>
    </row>
    <row r="225" spans="2:4" ht="14" thickBot="1" x14ac:dyDescent="0.2">
      <c r="B225" s="312">
        <v>45511</v>
      </c>
      <c r="C225" s="321">
        <v>24297.5</v>
      </c>
      <c r="D225" s="209">
        <f t="shared" si="3"/>
        <v>-7.4287478135610652E-3</v>
      </c>
    </row>
    <row r="226" spans="2:4" ht="14" thickBot="1" x14ac:dyDescent="0.2">
      <c r="B226" s="312">
        <v>45510</v>
      </c>
      <c r="C226" s="321">
        <v>23992.55</v>
      </c>
      <c r="D226" s="210">
        <f t="shared" si="3"/>
        <v>1.2710195456506312E-2</v>
      </c>
    </row>
    <row r="227" spans="2:4" ht="14" thickBot="1" x14ac:dyDescent="0.2">
      <c r="B227" s="312">
        <v>45509</v>
      </c>
      <c r="C227" s="321">
        <v>24055.599999999999</v>
      </c>
      <c r="D227" s="210">
        <f t="shared" si="3"/>
        <v>-2.6210113237665755E-3</v>
      </c>
    </row>
    <row r="228" spans="2:4" ht="14" thickBot="1" x14ac:dyDescent="0.2">
      <c r="B228" s="312">
        <v>45506</v>
      </c>
      <c r="C228" s="321">
        <v>24717.7</v>
      </c>
      <c r="D228" s="210">
        <f t="shared" si="3"/>
        <v>-2.6786472851438536E-2</v>
      </c>
    </row>
    <row r="229" spans="2:4" ht="14" thickBot="1" x14ac:dyDescent="0.2">
      <c r="B229" s="312">
        <v>45505</v>
      </c>
      <c r="C229" s="321">
        <v>25010.9</v>
      </c>
      <c r="D229" s="209">
        <f t="shared" si="3"/>
        <v>-1.1722888820474342E-2</v>
      </c>
    </row>
    <row r="230" spans="2:4" ht="14" thickBot="1" x14ac:dyDescent="0.2">
      <c r="B230" s="312">
        <v>45504</v>
      </c>
      <c r="C230" s="321">
        <v>24951.15</v>
      </c>
      <c r="D230" s="209">
        <f t="shared" si="3"/>
        <v>2.3946792031630526E-3</v>
      </c>
    </row>
    <row r="231" spans="2:4" ht="14" thickBot="1" x14ac:dyDescent="0.2">
      <c r="B231" s="312">
        <v>45503</v>
      </c>
      <c r="C231" s="321">
        <v>24857.3</v>
      </c>
      <c r="D231" s="210">
        <f t="shared" si="3"/>
        <v>3.7755508442189889E-3</v>
      </c>
    </row>
    <row r="232" spans="2:4" ht="14" thickBot="1" x14ac:dyDescent="0.2">
      <c r="B232" s="312">
        <v>45502</v>
      </c>
      <c r="C232" s="321">
        <v>24836.1</v>
      </c>
      <c r="D232" s="209">
        <f t="shared" si="3"/>
        <v>8.5359617653346653E-4</v>
      </c>
    </row>
    <row r="233" spans="2:4" ht="14" thickBot="1" x14ac:dyDescent="0.2">
      <c r="B233" s="312">
        <v>45499</v>
      </c>
      <c r="C233" s="321">
        <v>24834.85</v>
      </c>
      <c r="D233" s="209">
        <f t="shared" si="3"/>
        <v>5.0332496471794386E-5</v>
      </c>
    </row>
    <row r="234" spans="2:4" ht="14" thickBot="1" x14ac:dyDescent="0.2">
      <c r="B234" s="312">
        <v>45498</v>
      </c>
      <c r="C234" s="321">
        <v>24406.1</v>
      </c>
      <c r="D234" s="209">
        <f t="shared" si="3"/>
        <v>1.7567329479105664E-2</v>
      </c>
    </row>
    <row r="235" spans="2:4" ht="14" thickBot="1" x14ac:dyDescent="0.2">
      <c r="B235" s="312">
        <v>45497</v>
      </c>
      <c r="C235" s="321">
        <v>24413.5</v>
      </c>
      <c r="D235" s="210">
        <f t="shared" si="3"/>
        <v>-3.0311098367707956E-4</v>
      </c>
    </row>
    <row r="236" spans="2:4" ht="14" thickBot="1" x14ac:dyDescent="0.2">
      <c r="B236" s="312">
        <v>45496</v>
      </c>
      <c r="C236" s="321">
        <v>24479.05</v>
      </c>
      <c r="D236" s="209">
        <f t="shared" si="3"/>
        <v>-2.6777999963233379E-3</v>
      </c>
    </row>
    <row r="237" spans="2:4" ht="14" thickBot="1" x14ac:dyDescent="0.2">
      <c r="B237" s="312">
        <v>45495</v>
      </c>
      <c r="C237" s="321">
        <v>24509.25</v>
      </c>
      <c r="D237" s="210">
        <f t="shared" si="3"/>
        <v>-1.2321878474453873E-3</v>
      </c>
    </row>
    <row r="238" spans="2:4" ht="14" thickBot="1" x14ac:dyDescent="0.2">
      <c r="B238" s="312">
        <v>45492</v>
      </c>
      <c r="C238" s="321">
        <v>24530.9</v>
      </c>
      <c r="D238" s="209">
        <f t="shared" si="3"/>
        <v>-8.8256036264466875E-4</v>
      </c>
    </row>
    <row r="239" spans="2:4" ht="14" thickBot="1" x14ac:dyDescent="0.2">
      <c r="B239" s="312">
        <v>45491</v>
      </c>
      <c r="C239" s="321">
        <v>24800.85</v>
      </c>
      <c r="D239" s="209">
        <f t="shared" si="3"/>
        <v>-1.0884707580586794E-2</v>
      </c>
    </row>
    <row r="240" spans="2:4" ht="14" thickBot="1" x14ac:dyDescent="0.2">
      <c r="B240" s="312">
        <v>45489</v>
      </c>
      <c r="C240" s="321">
        <v>24613</v>
      </c>
      <c r="D240" s="209">
        <f t="shared" si="3"/>
        <v>7.6321456141064115E-3</v>
      </c>
    </row>
    <row r="241" spans="2:4" ht="14" thickBot="1" x14ac:dyDescent="0.2">
      <c r="B241" s="312">
        <v>45488</v>
      </c>
      <c r="C241" s="321">
        <v>24586.7</v>
      </c>
      <c r="D241" s="209">
        <f t="shared" si="3"/>
        <v>1.0696840161550369E-3</v>
      </c>
    </row>
    <row r="242" spans="2:4" ht="14" thickBot="1" x14ac:dyDescent="0.2">
      <c r="B242" s="312">
        <v>45485</v>
      </c>
      <c r="C242" s="321">
        <v>24502.15</v>
      </c>
      <c r="D242" s="209">
        <f t="shared" si="3"/>
        <v>3.4507175900890807E-3</v>
      </c>
    </row>
    <row r="243" spans="2:4" ht="14" thickBot="1" x14ac:dyDescent="0.2">
      <c r="B243" s="312">
        <v>45484</v>
      </c>
      <c r="C243" s="321">
        <v>24315.95</v>
      </c>
      <c r="D243" s="209">
        <f t="shared" si="3"/>
        <v>7.6575252046495734E-3</v>
      </c>
    </row>
    <row r="244" spans="2:4" ht="14" thickBot="1" x14ac:dyDescent="0.2">
      <c r="B244" s="312">
        <v>45483</v>
      </c>
      <c r="C244" s="321">
        <v>24324.45</v>
      </c>
      <c r="D244" s="210">
        <f t="shared" si="3"/>
        <v>-3.4944263899083783E-4</v>
      </c>
    </row>
    <row r="245" spans="2:4" ht="14" thickBot="1" x14ac:dyDescent="0.2">
      <c r="B245" s="312">
        <v>45482</v>
      </c>
      <c r="C245" s="321">
        <v>24433.200000000001</v>
      </c>
      <c r="D245" s="209">
        <f t="shared" si="3"/>
        <v>-4.4509110554491471E-3</v>
      </c>
    </row>
    <row r="246" spans="2:4" ht="14" thickBot="1" x14ac:dyDescent="0.2">
      <c r="B246" s="312">
        <v>45481</v>
      </c>
      <c r="C246" s="321">
        <v>24320.55</v>
      </c>
      <c r="D246" s="210">
        <f t="shared" si="3"/>
        <v>4.6318853808815508E-3</v>
      </c>
    </row>
    <row r="247" spans="2:4" ht="14" thickBot="1" x14ac:dyDescent="0.2">
      <c r="B247" s="312">
        <v>45478</v>
      </c>
      <c r="C247" s="321">
        <v>24323.85</v>
      </c>
      <c r="D247" s="210">
        <f t="shared" si="3"/>
        <v>-1.3566931221820067E-4</v>
      </c>
    </row>
    <row r="248" spans="2:4" ht="14" thickBot="1" x14ac:dyDescent="0.2">
      <c r="B248" s="312">
        <v>45477</v>
      </c>
      <c r="C248" s="321">
        <v>24302.15</v>
      </c>
      <c r="D248" s="210">
        <f t="shared" si="3"/>
        <v>8.9292511156413568E-4</v>
      </c>
    </row>
    <row r="249" spans="2:4" ht="14" thickBot="1" x14ac:dyDescent="0.2">
      <c r="B249" s="312">
        <v>45476</v>
      </c>
      <c r="C249" s="321">
        <v>24286.5</v>
      </c>
      <c r="D249" s="209">
        <f t="shared" si="3"/>
        <v>6.4439091676460336E-4</v>
      </c>
    </row>
    <row r="250" spans="2:4" ht="14" thickBot="1" x14ac:dyDescent="0.2">
      <c r="B250" s="312">
        <v>45475</v>
      </c>
      <c r="C250" s="321">
        <v>24123.85</v>
      </c>
      <c r="D250" s="209">
        <f t="shared" si="3"/>
        <v>6.7422903060665451E-3</v>
      </c>
    </row>
    <row r="251" spans="2:4" ht="14" thickBot="1" x14ac:dyDescent="0.2">
      <c r="B251" s="312">
        <v>45474</v>
      </c>
      <c r="C251" s="321">
        <v>24141.95</v>
      </c>
      <c r="D251" s="209">
        <f t="shared" si="3"/>
        <v>-7.4973231242725369E-4</v>
      </c>
    </row>
    <row r="252" spans="2:4" ht="14" thickBot="1" x14ac:dyDescent="0.2">
      <c r="B252" s="312">
        <v>45471</v>
      </c>
      <c r="C252" s="321">
        <v>24010.6</v>
      </c>
      <c r="D252" s="209">
        <f t="shared" si="3"/>
        <v>5.4705005289330533E-3</v>
      </c>
    </row>
    <row r="253" spans="2:4" ht="14" thickBot="1" x14ac:dyDescent="0.2">
      <c r="B253" s="312">
        <v>45470</v>
      </c>
      <c r="C253" s="321">
        <v>24044.5</v>
      </c>
      <c r="D253" s="209">
        <f t="shared" si="3"/>
        <v>-1.4098858366778932E-3</v>
      </c>
    </row>
    <row r="254" spans="2:4" ht="14" thickBot="1" x14ac:dyDescent="0.2">
      <c r="B254" s="312">
        <v>45469</v>
      </c>
      <c r="C254" s="321">
        <v>23868.799999999999</v>
      </c>
      <c r="D254" s="209">
        <f t="shared" si="3"/>
        <v>7.3610738704921186E-3</v>
      </c>
    </row>
    <row r="255" spans="2:4" ht="14" thickBot="1" x14ac:dyDescent="0.2">
      <c r="B255" s="312">
        <v>45468</v>
      </c>
      <c r="C255" s="321">
        <v>23721.3</v>
      </c>
      <c r="D255" s="209">
        <f t="shared" si="3"/>
        <v>6.2180403266263173E-3</v>
      </c>
    </row>
    <row r="256" spans="2:4" ht="14" thickBot="1" x14ac:dyDescent="0.2">
      <c r="B256" s="312">
        <v>45467</v>
      </c>
      <c r="C256" s="321">
        <v>23537.85</v>
      </c>
      <c r="D256" s="209">
        <f t="shared" si="3"/>
        <v>7.7938299377386944E-3</v>
      </c>
    </row>
    <row r="257" spans="2:4" ht="14" thickBot="1" x14ac:dyDescent="0.2">
      <c r="B257" s="312">
        <v>45464</v>
      </c>
      <c r="C257" s="321">
        <v>23501.1</v>
      </c>
      <c r="D257" s="209">
        <f t="shared" si="3"/>
        <v>1.5637565901169825E-3</v>
      </c>
    </row>
    <row r="258" spans="2:4" ht="14" thickBot="1" x14ac:dyDescent="0.2">
      <c r="B258" s="312">
        <v>45463</v>
      </c>
      <c r="C258" s="321">
        <v>23567</v>
      </c>
      <c r="D258" s="210">
        <f t="shared" si="3"/>
        <v>-2.7962829380066001E-3</v>
      </c>
    </row>
    <row r="259" spans="2:4" ht="14" thickBot="1" x14ac:dyDescent="0.2">
      <c r="B259" s="312">
        <v>45462</v>
      </c>
      <c r="C259" s="321">
        <v>23516</v>
      </c>
      <c r="D259" s="209">
        <f t="shared" si="3"/>
        <v>2.1687361796223215E-3</v>
      </c>
    </row>
    <row r="260" spans="2:4" ht="14" thickBot="1" x14ac:dyDescent="0.2">
      <c r="B260" s="312">
        <v>45461</v>
      </c>
      <c r="C260" s="321">
        <v>23557.9</v>
      </c>
      <c r="D260" s="210">
        <f t="shared" si="3"/>
        <v>-1.7785965642099777E-3</v>
      </c>
    </row>
    <row r="261" spans="2:4" ht="14" thickBot="1" x14ac:dyDescent="0.2">
      <c r="B261" s="312">
        <v>45457</v>
      </c>
      <c r="C261" s="321">
        <v>23465.599999999999</v>
      </c>
      <c r="D261" s="210">
        <f t="shared" si="3"/>
        <v>3.933417428064967E-3</v>
      </c>
    </row>
    <row r="262" spans="2:4" ht="14" thickBot="1" x14ac:dyDescent="0.2">
      <c r="B262" s="312">
        <v>45456</v>
      </c>
      <c r="C262" s="321">
        <v>23398.9</v>
      </c>
      <c r="D262" s="209">
        <f t="shared" si="3"/>
        <v>2.8505613511744521E-3</v>
      </c>
    </row>
    <row r="263" spans="2:4" ht="14" thickBot="1" x14ac:dyDescent="0.2">
      <c r="B263" s="312">
        <v>45455</v>
      </c>
      <c r="C263" s="321">
        <v>23322.95</v>
      </c>
      <c r="D263" s="209">
        <f t="shared" si="3"/>
        <v>3.2564491198583401E-3</v>
      </c>
    </row>
    <row r="264" spans="2:4" ht="14" thickBot="1" x14ac:dyDescent="0.2">
      <c r="B264" s="312">
        <v>45454</v>
      </c>
      <c r="C264" s="321">
        <v>23264.85</v>
      </c>
      <c r="D264" s="210">
        <f t="shared" si="3"/>
        <v>2.4973296625596664E-3</v>
      </c>
    </row>
    <row r="265" spans="2:4" ht="14" thickBot="1" x14ac:dyDescent="0.2">
      <c r="B265" s="312">
        <v>45453</v>
      </c>
      <c r="C265" s="321">
        <v>23259.200000000001</v>
      </c>
      <c r="D265" s="209">
        <f t="shared" si="3"/>
        <v>2.4291463162962046E-4</v>
      </c>
    </row>
    <row r="266" spans="2:4" ht="14" thickBot="1" x14ac:dyDescent="0.2">
      <c r="B266" s="312">
        <v>45450</v>
      </c>
      <c r="C266" s="321">
        <v>23290.15</v>
      </c>
      <c r="D266" s="209">
        <f t="shared" si="3"/>
        <v>-1.3288879633664985E-3</v>
      </c>
    </row>
    <row r="267" spans="2:4" ht="14" thickBot="1" x14ac:dyDescent="0.2">
      <c r="B267" s="312">
        <v>45449</v>
      </c>
      <c r="C267" s="321">
        <v>22821.4</v>
      </c>
      <c r="D267" s="210">
        <f t="shared" ref="D267:D330" si="4">C266/C267-1</f>
        <v>2.0539931818380985E-2</v>
      </c>
    </row>
    <row r="268" spans="2:4" ht="14" thickBot="1" x14ac:dyDescent="0.2">
      <c r="B268" s="312">
        <v>45448</v>
      </c>
      <c r="C268" s="321">
        <v>22620.35</v>
      </c>
      <c r="D268" s="210">
        <f t="shared" si="4"/>
        <v>8.888014553267487E-3</v>
      </c>
    </row>
    <row r="269" spans="2:4" ht="14" thickBot="1" x14ac:dyDescent="0.2">
      <c r="B269" s="312">
        <v>45447</v>
      </c>
      <c r="C269" s="321">
        <v>21884.5</v>
      </c>
      <c r="D269" s="210">
        <f t="shared" si="4"/>
        <v>3.3624254609426751E-2</v>
      </c>
    </row>
    <row r="270" spans="2:4" ht="14" thickBot="1" x14ac:dyDescent="0.2">
      <c r="B270" s="312">
        <v>45446</v>
      </c>
      <c r="C270" s="321">
        <v>23263.9</v>
      </c>
      <c r="D270" s="210">
        <f t="shared" si="4"/>
        <v>-5.9293583620975032E-2</v>
      </c>
    </row>
    <row r="271" spans="2:4" ht="14" thickBot="1" x14ac:dyDescent="0.2">
      <c r="B271" s="312">
        <v>45443</v>
      </c>
      <c r="C271" s="321">
        <v>22530.7</v>
      </c>
      <c r="D271" s="210">
        <f t="shared" si="4"/>
        <v>3.2542264554585643E-2</v>
      </c>
    </row>
    <row r="272" spans="2:4" ht="14" thickBot="1" x14ac:dyDescent="0.2">
      <c r="B272" s="312">
        <v>45442</v>
      </c>
      <c r="C272" s="321">
        <v>22488.65</v>
      </c>
      <c r="D272" s="209">
        <f t="shared" si="4"/>
        <v>1.8698321153114428E-3</v>
      </c>
    </row>
    <row r="273" spans="2:4" ht="14" thickBot="1" x14ac:dyDescent="0.2">
      <c r="B273" s="312">
        <v>45441</v>
      </c>
      <c r="C273" s="321">
        <v>22704.7</v>
      </c>
      <c r="D273" s="209">
        <f t="shared" si="4"/>
        <v>-9.515650944518117E-3</v>
      </c>
    </row>
    <row r="274" spans="2:4" ht="14" thickBot="1" x14ac:dyDescent="0.2">
      <c r="B274" s="312">
        <v>45440</v>
      </c>
      <c r="C274" s="321">
        <v>22888.15</v>
      </c>
      <c r="D274" s="209">
        <f t="shared" si="4"/>
        <v>-8.015064563977492E-3</v>
      </c>
    </row>
    <row r="275" spans="2:4" ht="14" thickBot="1" x14ac:dyDescent="0.2">
      <c r="B275" s="312">
        <v>45439</v>
      </c>
      <c r="C275" s="321">
        <v>22932.45</v>
      </c>
      <c r="D275" s="210">
        <f t="shared" si="4"/>
        <v>-1.9317604529824894E-3</v>
      </c>
    </row>
    <row r="276" spans="2:4" ht="14" thickBot="1" x14ac:dyDescent="0.2">
      <c r="B276" s="312">
        <v>45436</v>
      </c>
      <c r="C276" s="321">
        <v>22957.1</v>
      </c>
      <c r="D276" s="209">
        <f t="shared" si="4"/>
        <v>-1.073741892486324E-3</v>
      </c>
    </row>
    <row r="277" spans="2:4" ht="14" thickBot="1" x14ac:dyDescent="0.2">
      <c r="B277" s="312">
        <v>45435</v>
      </c>
      <c r="C277" s="321">
        <v>22967.65</v>
      </c>
      <c r="D277" s="210">
        <f t="shared" si="4"/>
        <v>-4.5934172629780168E-4</v>
      </c>
    </row>
    <row r="278" spans="2:4" ht="14" thickBot="1" x14ac:dyDescent="0.2">
      <c r="B278" s="312">
        <v>45434</v>
      </c>
      <c r="C278" s="321">
        <v>22597.8</v>
      </c>
      <c r="D278" s="210">
        <f t="shared" si="4"/>
        <v>1.6366637460283773E-2</v>
      </c>
    </row>
    <row r="279" spans="2:4" ht="14" thickBot="1" x14ac:dyDescent="0.2">
      <c r="B279" s="312">
        <v>45433</v>
      </c>
      <c r="C279" s="321">
        <v>22529.05</v>
      </c>
      <c r="D279" s="210">
        <f t="shared" si="4"/>
        <v>3.0516155807722711E-3</v>
      </c>
    </row>
    <row r="280" spans="2:4" ht="14" thickBot="1" x14ac:dyDescent="0.2">
      <c r="B280" s="312">
        <v>45430</v>
      </c>
      <c r="C280" s="321">
        <v>22502</v>
      </c>
      <c r="D280" s="210">
        <f t="shared" si="4"/>
        <v>1.2021153675227936E-3</v>
      </c>
    </row>
    <row r="281" spans="2:4" ht="14" thickBot="1" x14ac:dyDescent="0.2">
      <c r="B281" s="312">
        <v>45429</v>
      </c>
      <c r="C281" s="321">
        <v>22466.1</v>
      </c>
      <c r="D281" s="210">
        <f t="shared" si="4"/>
        <v>1.5979631533733496E-3</v>
      </c>
    </row>
    <row r="282" spans="2:4" ht="14" thickBot="1" x14ac:dyDescent="0.2">
      <c r="B282" s="312">
        <v>45428</v>
      </c>
      <c r="C282" s="321">
        <v>22403.85</v>
      </c>
      <c r="D282" s="210">
        <f t="shared" si="4"/>
        <v>2.7785402955295968E-3</v>
      </c>
    </row>
    <row r="283" spans="2:4" ht="14" thickBot="1" x14ac:dyDescent="0.2">
      <c r="B283" s="312">
        <v>45427</v>
      </c>
      <c r="C283" s="321">
        <v>22200.55</v>
      </c>
      <c r="D283" s="210">
        <f t="shared" si="4"/>
        <v>9.1574307843724778E-3</v>
      </c>
    </row>
    <row r="284" spans="2:4" ht="14" thickBot="1" x14ac:dyDescent="0.2">
      <c r="B284" s="312">
        <v>45426</v>
      </c>
      <c r="C284" s="321">
        <v>22217.85</v>
      </c>
      <c r="D284" s="210">
        <f t="shared" si="4"/>
        <v>-7.7865320001702099E-4</v>
      </c>
    </row>
    <row r="285" spans="2:4" ht="14" thickBot="1" x14ac:dyDescent="0.2">
      <c r="B285" s="312">
        <v>45425</v>
      </c>
      <c r="C285" s="321">
        <v>22104.05</v>
      </c>
      <c r="D285" s="209">
        <f t="shared" si="4"/>
        <v>5.1483777859713253E-3</v>
      </c>
    </row>
    <row r="286" spans="2:4" ht="14" thickBot="1" x14ac:dyDescent="0.2">
      <c r="B286" s="312">
        <v>45422</v>
      </c>
      <c r="C286" s="321">
        <v>22055.200000000001</v>
      </c>
      <c r="D286" s="209">
        <f t="shared" si="4"/>
        <v>2.2148971671078765E-3</v>
      </c>
    </row>
    <row r="287" spans="2:4" ht="14" thickBot="1" x14ac:dyDescent="0.2">
      <c r="B287" s="312">
        <v>45421</v>
      </c>
      <c r="C287" s="321">
        <v>21957.5</v>
      </c>
      <c r="D287" s="209">
        <f t="shared" si="4"/>
        <v>4.4495047250370234E-3</v>
      </c>
    </row>
    <row r="288" spans="2:4" ht="14" thickBot="1" x14ac:dyDescent="0.2">
      <c r="B288" s="312">
        <v>45420</v>
      </c>
      <c r="C288" s="321">
        <v>22302.5</v>
      </c>
      <c r="D288" s="210">
        <f t="shared" si="4"/>
        <v>-1.546911781190452E-2</v>
      </c>
    </row>
    <row r="289" spans="2:4" ht="14" thickBot="1" x14ac:dyDescent="0.2">
      <c r="B289" s="312">
        <v>45419</v>
      </c>
      <c r="C289" s="321">
        <v>22302.5</v>
      </c>
      <c r="D289" s="210">
        <f t="shared" si="4"/>
        <v>0</v>
      </c>
    </row>
    <row r="290" spans="2:4" ht="14" thickBot="1" x14ac:dyDescent="0.2">
      <c r="B290" s="312">
        <v>45418</v>
      </c>
      <c r="C290" s="321">
        <v>22442.7</v>
      </c>
      <c r="D290" s="209">
        <f t="shared" si="4"/>
        <v>-6.2470201891929866E-3</v>
      </c>
    </row>
    <row r="291" spans="2:4" ht="14" thickBot="1" x14ac:dyDescent="0.2">
      <c r="B291" s="312">
        <v>45415</v>
      </c>
      <c r="C291" s="321">
        <v>22475.85</v>
      </c>
      <c r="D291" s="209">
        <f t="shared" si="4"/>
        <v>-1.4749164102803025E-3</v>
      </c>
    </row>
    <row r="292" spans="2:4" ht="14" thickBot="1" x14ac:dyDescent="0.2">
      <c r="B292" s="312">
        <v>45414</v>
      </c>
      <c r="C292" s="321">
        <v>22648.2</v>
      </c>
      <c r="D292" s="210">
        <f t="shared" si="4"/>
        <v>-7.6098762815588472E-3</v>
      </c>
    </row>
    <row r="293" spans="2:4" ht="14" thickBot="1" x14ac:dyDescent="0.2">
      <c r="B293" s="312">
        <v>45412</v>
      </c>
      <c r="C293" s="321">
        <v>22604.85</v>
      </c>
      <c r="D293" s="210">
        <f t="shared" si="4"/>
        <v>1.917730044658672E-3</v>
      </c>
    </row>
    <row r="294" spans="2:4" ht="14" thickBot="1" x14ac:dyDescent="0.2">
      <c r="B294" s="312">
        <v>45411</v>
      </c>
      <c r="C294" s="321">
        <v>22643.4</v>
      </c>
      <c r="D294" s="209">
        <f t="shared" si="4"/>
        <v>-1.7024828426828176E-3</v>
      </c>
    </row>
    <row r="295" spans="2:4" ht="14" thickBot="1" x14ac:dyDescent="0.2">
      <c r="B295" s="312">
        <v>45408</v>
      </c>
      <c r="C295" s="321">
        <v>22419.95</v>
      </c>
      <c r="D295" s="210">
        <f t="shared" si="4"/>
        <v>9.9665699522077933E-3</v>
      </c>
    </row>
    <row r="296" spans="2:4" ht="14" thickBot="1" x14ac:dyDescent="0.2">
      <c r="B296" s="312">
        <v>45407</v>
      </c>
      <c r="C296" s="321">
        <v>22570.35</v>
      </c>
      <c r="D296" s="210">
        <f t="shared" si="4"/>
        <v>-6.6636095585579369E-3</v>
      </c>
    </row>
    <row r="297" spans="2:4" ht="14" thickBot="1" x14ac:dyDescent="0.2">
      <c r="B297" s="312">
        <v>45406</v>
      </c>
      <c r="C297" s="321">
        <v>22402.400000000001</v>
      </c>
      <c r="D297" s="209">
        <f t="shared" si="4"/>
        <v>7.496964610934409E-3</v>
      </c>
    </row>
    <row r="298" spans="2:4" ht="14" thickBot="1" x14ac:dyDescent="0.2">
      <c r="B298" s="312">
        <v>45405</v>
      </c>
      <c r="C298" s="321">
        <v>22368</v>
      </c>
      <c r="D298" s="209">
        <f t="shared" si="4"/>
        <v>1.5379113018598733E-3</v>
      </c>
    </row>
    <row r="299" spans="2:4" ht="14" thickBot="1" x14ac:dyDescent="0.2">
      <c r="B299" s="312">
        <v>45404</v>
      </c>
      <c r="C299" s="321">
        <v>22336.400000000001</v>
      </c>
      <c r="D299" s="210">
        <f t="shared" si="4"/>
        <v>1.4147311115488836E-3</v>
      </c>
    </row>
    <row r="300" spans="2:4" ht="14" thickBot="1" x14ac:dyDescent="0.2">
      <c r="B300" s="312">
        <v>45401</v>
      </c>
      <c r="C300" s="321">
        <v>22147</v>
      </c>
      <c r="D300" s="210">
        <f t="shared" si="4"/>
        <v>8.5519483451483858E-3</v>
      </c>
    </row>
    <row r="301" spans="2:4" ht="14" thickBot="1" x14ac:dyDescent="0.2">
      <c r="B301" s="312">
        <v>45400</v>
      </c>
      <c r="C301" s="321">
        <v>21995.85</v>
      </c>
      <c r="D301" s="210">
        <f t="shared" si="4"/>
        <v>6.8717508075386569E-3</v>
      </c>
    </row>
    <row r="302" spans="2:4" ht="14" thickBot="1" x14ac:dyDescent="0.2">
      <c r="B302" s="312">
        <v>45398</v>
      </c>
      <c r="C302" s="321">
        <v>22147.9</v>
      </c>
      <c r="D302" s="209">
        <f t="shared" si="4"/>
        <v>-6.8652106971768267E-3</v>
      </c>
    </row>
    <row r="303" spans="2:4" ht="14" thickBot="1" x14ac:dyDescent="0.2">
      <c r="B303" s="312">
        <v>45397</v>
      </c>
      <c r="C303" s="321">
        <v>22272.5</v>
      </c>
      <c r="D303" s="210">
        <f t="shared" si="4"/>
        <v>-5.5943427994162853E-3</v>
      </c>
    </row>
    <row r="304" spans="2:4" ht="14" thickBot="1" x14ac:dyDescent="0.2">
      <c r="B304" s="312">
        <v>45394</v>
      </c>
      <c r="C304" s="321">
        <v>22519.4</v>
      </c>
      <c r="D304" s="210">
        <f t="shared" si="4"/>
        <v>-1.0963880032327733E-2</v>
      </c>
    </row>
    <row r="305" spans="2:4" ht="14" thickBot="1" x14ac:dyDescent="0.2">
      <c r="B305" s="312">
        <v>45392</v>
      </c>
      <c r="C305" s="321">
        <v>22753.8</v>
      </c>
      <c r="D305" s="209">
        <f t="shared" si="4"/>
        <v>-1.0301576000492085E-2</v>
      </c>
    </row>
    <row r="306" spans="2:4" ht="14" thickBot="1" x14ac:dyDescent="0.2">
      <c r="B306" s="312">
        <v>45391</v>
      </c>
      <c r="C306" s="321">
        <v>22642.75</v>
      </c>
      <c r="D306" s="209">
        <f t="shared" si="4"/>
        <v>4.904439610913025E-3</v>
      </c>
    </row>
    <row r="307" spans="2:4" ht="14" thickBot="1" x14ac:dyDescent="0.2">
      <c r="B307" s="312">
        <v>45390</v>
      </c>
      <c r="C307" s="321">
        <v>22666.3</v>
      </c>
      <c r="D307" s="210">
        <f t="shared" si="4"/>
        <v>-1.0389873953843276E-3</v>
      </c>
    </row>
    <row r="308" spans="2:4" ht="14" thickBot="1" x14ac:dyDescent="0.2">
      <c r="B308" s="312">
        <v>45387</v>
      </c>
      <c r="C308" s="321">
        <v>22513.7</v>
      </c>
      <c r="D308" s="209">
        <f t="shared" si="4"/>
        <v>6.7780951154186031E-3</v>
      </c>
    </row>
    <row r="309" spans="2:4" ht="14" thickBot="1" x14ac:dyDescent="0.2">
      <c r="B309" s="312">
        <v>45386</v>
      </c>
      <c r="C309" s="321">
        <v>22514.65</v>
      </c>
      <c r="D309" s="210">
        <f t="shared" si="4"/>
        <v>-4.2194748752555356E-5</v>
      </c>
    </row>
    <row r="310" spans="2:4" ht="14" thickBot="1" x14ac:dyDescent="0.2">
      <c r="B310" s="312">
        <v>45385</v>
      </c>
      <c r="C310" s="321">
        <v>22434.65</v>
      </c>
      <c r="D310" s="210">
        <f t="shared" si="4"/>
        <v>3.5659125504521327E-3</v>
      </c>
    </row>
    <row r="311" spans="2:4" ht="14" thickBot="1" x14ac:dyDescent="0.2">
      <c r="B311" s="312">
        <v>45384</v>
      </c>
      <c r="C311" s="321">
        <v>22453.3</v>
      </c>
      <c r="D311" s="210">
        <f t="shared" si="4"/>
        <v>-8.306128720498851E-4</v>
      </c>
    </row>
    <row r="312" spans="2:4" ht="14" thickBot="1" x14ac:dyDescent="0.2">
      <c r="B312" s="312">
        <v>45383</v>
      </c>
      <c r="C312" s="321">
        <v>22462</v>
      </c>
      <c r="D312" s="209">
        <f t="shared" si="4"/>
        <v>-3.8732080847658779E-4</v>
      </c>
    </row>
    <row r="313" spans="2:4" ht="14" thickBot="1" x14ac:dyDescent="0.2">
      <c r="B313" s="312">
        <v>45379</v>
      </c>
      <c r="C313" s="321">
        <v>22326.9</v>
      </c>
      <c r="D313" s="210">
        <f t="shared" si="4"/>
        <v>6.0509967796693598E-3</v>
      </c>
    </row>
    <row r="314" spans="2:4" ht="14" thickBot="1" x14ac:dyDescent="0.2">
      <c r="B314" s="312">
        <v>45378</v>
      </c>
      <c r="C314" s="321">
        <v>22123.65</v>
      </c>
      <c r="D314" s="210">
        <f t="shared" si="4"/>
        <v>9.1870012407537782E-3</v>
      </c>
    </row>
    <row r="315" spans="2:4" ht="14" thickBot="1" x14ac:dyDescent="0.2">
      <c r="B315" s="312">
        <v>45377</v>
      </c>
      <c r="C315" s="321">
        <v>22004.7</v>
      </c>
      <c r="D315" s="210">
        <f t="shared" si="4"/>
        <v>5.4056633355601402E-3</v>
      </c>
    </row>
    <row r="316" spans="2:4" ht="14" thickBot="1" x14ac:dyDescent="0.2">
      <c r="B316" s="312">
        <v>45373</v>
      </c>
      <c r="C316" s="321">
        <v>22096.75</v>
      </c>
      <c r="D316" s="209">
        <f t="shared" si="4"/>
        <v>-4.1657709844207247E-3</v>
      </c>
    </row>
    <row r="317" spans="2:4" ht="14" thickBot="1" x14ac:dyDescent="0.2">
      <c r="B317" s="312">
        <v>45372</v>
      </c>
      <c r="C317" s="321">
        <v>22011.95</v>
      </c>
      <c r="D317" s="209">
        <f t="shared" si="4"/>
        <v>3.8524528721899376E-3</v>
      </c>
    </row>
    <row r="318" spans="2:4" ht="14" thickBot="1" x14ac:dyDescent="0.2">
      <c r="B318" s="312">
        <v>45371</v>
      </c>
      <c r="C318" s="321">
        <v>21839.1</v>
      </c>
      <c r="D318" s="210">
        <f t="shared" si="4"/>
        <v>7.9147034447391018E-3</v>
      </c>
    </row>
    <row r="319" spans="2:4" ht="14" thickBot="1" x14ac:dyDescent="0.2">
      <c r="B319" s="312">
        <v>45370</v>
      </c>
      <c r="C319" s="321">
        <v>21817.45</v>
      </c>
      <c r="D319" s="209">
        <f t="shared" si="4"/>
        <v>9.9232495089940365E-4</v>
      </c>
    </row>
    <row r="320" spans="2:4" ht="14" thickBot="1" x14ac:dyDescent="0.2">
      <c r="B320" s="312">
        <v>45369</v>
      </c>
      <c r="C320" s="321">
        <v>22055.7</v>
      </c>
      <c r="D320" s="210">
        <f t="shared" si="4"/>
        <v>-1.0802196257656771E-2</v>
      </c>
    </row>
    <row r="321" spans="2:4" ht="14" thickBot="1" x14ac:dyDescent="0.2">
      <c r="B321" s="312">
        <v>45366</v>
      </c>
      <c r="C321" s="321">
        <v>22023.35</v>
      </c>
      <c r="D321" s="209">
        <f t="shared" si="4"/>
        <v>1.4688955131714199E-3</v>
      </c>
    </row>
    <row r="322" spans="2:4" ht="14" thickBot="1" x14ac:dyDescent="0.2">
      <c r="B322" s="312">
        <v>45365</v>
      </c>
      <c r="C322" s="321">
        <v>22146.65</v>
      </c>
      <c r="D322" s="209">
        <f t="shared" si="4"/>
        <v>-5.5674334493028832E-3</v>
      </c>
    </row>
    <row r="323" spans="2:4" ht="14" thickBot="1" x14ac:dyDescent="0.2">
      <c r="B323" s="312">
        <v>45364</v>
      </c>
      <c r="C323" s="321">
        <v>21997.7</v>
      </c>
      <c r="D323" s="210">
        <f t="shared" si="4"/>
        <v>6.7711624397095438E-3</v>
      </c>
    </row>
    <row r="324" spans="2:4" ht="14" thickBot="1" x14ac:dyDescent="0.2">
      <c r="B324" s="312">
        <v>45363</v>
      </c>
      <c r="C324" s="321">
        <v>22335.7</v>
      </c>
      <c r="D324" s="210">
        <f t="shared" si="4"/>
        <v>-1.5132724741109493E-2</v>
      </c>
    </row>
    <row r="325" spans="2:4" ht="14" thickBot="1" x14ac:dyDescent="0.2">
      <c r="B325" s="312">
        <v>45362</v>
      </c>
      <c r="C325" s="321">
        <v>22332.65</v>
      </c>
      <c r="D325" s="210">
        <f t="shared" si="4"/>
        <v>1.3657134285449679E-4</v>
      </c>
    </row>
    <row r="326" spans="2:4" ht="14" thickBot="1" x14ac:dyDescent="0.2">
      <c r="B326" s="312">
        <v>45358</v>
      </c>
      <c r="C326" s="321">
        <v>22493.55</v>
      </c>
      <c r="D326" s="210">
        <f t="shared" si="4"/>
        <v>-7.1531616841271628E-3</v>
      </c>
    </row>
    <row r="327" spans="2:4" ht="14" thickBot="1" x14ac:dyDescent="0.2">
      <c r="B327" s="312">
        <v>45357</v>
      </c>
      <c r="C327" s="321">
        <v>22474.05</v>
      </c>
      <c r="D327" s="209">
        <f t="shared" si="4"/>
        <v>8.6766737637411495E-4</v>
      </c>
    </row>
    <row r="328" spans="2:4" ht="14" thickBot="1" x14ac:dyDescent="0.2">
      <c r="B328" s="312">
        <v>45356</v>
      </c>
      <c r="C328" s="321">
        <v>22356.3</v>
      </c>
      <c r="D328" s="210">
        <f t="shared" si="4"/>
        <v>5.2669717260906967E-3</v>
      </c>
    </row>
    <row r="329" spans="2:4" ht="14" thickBot="1" x14ac:dyDescent="0.2">
      <c r="B329" s="312">
        <v>45355</v>
      </c>
      <c r="C329" s="321">
        <v>22405.599999999999</v>
      </c>
      <c r="D329" s="210">
        <f t="shared" si="4"/>
        <v>-2.2003427714499812E-3</v>
      </c>
    </row>
    <row r="330" spans="2:4" ht="14" thickBot="1" x14ac:dyDescent="0.2">
      <c r="B330" s="312">
        <v>45353</v>
      </c>
      <c r="C330" s="321">
        <v>22378.400000000001</v>
      </c>
      <c r="D330" s="209">
        <f t="shared" si="4"/>
        <v>1.2154577628427088E-3</v>
      </c>
    </row>
    <row r="331" spans="2:4" ht="14" thickBot="1" x14ac:dyDescent="0.2">
      <c r="B331" s="312">
        <v>45352</v>
      </c>
      <c r="C331" s="321">
        <v>22338.75</v>
      </c>
      <c r="D331" s="209">
        <f t="shared" ref="D331:D394" si="5">C330/C331-1</f>
        <v>1.7749426445079486E-3</v>
      </c>
    </row>
    <row r="332" spans="2:4" ht="14" thickBot="1" x14ac:dyDescent="0.2">
      <c r="B332" s="312">
        <v>45351</v>
      </c>
      <c r="C332" s="321">
        <v>21982.799999999999</v>
      </c>
      <c r="D332" s="209">
        <f t="shared" si="5"/>
        <v>1.6192204814673428E-2</v>
      </c>
    </row>
    <row r="333" spans="2:4" ht="14" thickBot="1" x14ac:dyDescent="0.2">
      <c r="B333" s="312">
        <v>45350</v>
      </c>
      <c r="C333" s="321">
        <v>21951.15</v>
      </c>
      <c r="D333" s="210">
        <f t="shared" si="5"/>
        <v>1.4418378991531977E-3</v>
      </c>
    </row>
    <row r="334" spans="2:4" ht="14" thickBot="1" x14ac:dyDescent="0.2">
      <c r="B334" s="312">
        <v>45349</v>
      </c>
      <c r="C334" s="321">
        <v>22198.35</v>
      </c>
      <c r="D334" s="209">
        <f t="shared" si="5"/>
        <v>-1.1135962808046407E-2</v>
      </c>
    </row>
    <row r="335" spans="2:4" ht="14" thickBot="1" x14ac:dyDescent="0.2">
      <c r="B335" s="312">
        <v>45348</v>
      </c>
      <c r="C335" s="321">
        <v>22122.05</v>
      </c>
      <c r="D335" s="210">
        <f t="shared" si="5"/>
        <v>3.4490474436139618E-3</v>
      </c>
    </row>
    <row r="336" spans="2:4" ht="14" thickBot="1" x14ac:dyDescent="0.2">
      <c r="B336" s="312">
        <v>45345</v>
      </c>
      <c r="C336" s="321">
        <v>22212.7</v>
      </c>
      <c r="D336" s="210">
        <f t="shared" si="5"/>
        <v>-4.0809987079464261E-3</v>
      </c>
    </row>
    <row r="337" spans="2:4" ht="14" thickBot="1" x14ac:dyDescent="0.2">
      <c r="B337" s="312">
        <v>45344</v>
      </c>
      <c r="C337" s="321">
        <v>22217.45</v>
      </c>
      <c r="D337" s="209">
        <f t="shared" si="5"/>
        <v>-2.1379591267223219E-4</v>
      </c>
    </row>
    <row r="338" spans="2:4" ht="14" thickBot="1" x14ac:dyDescent="0.2">
      <c r="B338" s="312">
        <v>45343</v>
      </c>
      <c r="C338" s="321">
        <v>22055.05</v>
      </c>
      <c r="D338" s="210">
        <f t="shared" si="5"/>
        <v>7.3633929644232321E-3</v>
      </c>
    </row>
    <row r="339" spans="2:4" ht="14" thickBot="1" x14ac:dyDescent="0.2">
      <c r="B339" s="312">
        <v>45342</v>
      </c>
      <c r="C339" s="321">
        <v>22196.95</v>
      </c>
      <c r="D339" s="209">
        <f t="shared" si="5"/>
        <v>-6.3927701778848656E-3</v>
      </c>
    </row>
    <row r="340" spans="2:4" ht="14" thickBot="1" x14ac:dyDescent="0.2">
      <c r="B340" s="312">
        <v>45341</v>
      </c>
      <c r="C340" s="321">
        <v>22122.25</v>
      </c>
      <c r="D340" s="209">
        <f t="shared" si="5"/>
        <v>3.3766908881329716E-3</v>
      </c>
    </row>
    <row r="341" spans="2:4" ht="14" thickBot="1" x14ac:dyDescent="0.2">
      <c r="B341" s="312">
        <v>45338</v>
      </c>
      <c r="C341" s="321">
        <v>22040.7</v>
      </c>
      <c r="D341" s="209">
        <f t="shared" si="5"/>
        <v>3.6999732313400813E-3</v>
      </c>
    </row>
    <row r="342" spans="2:4" ht="14" thickBot="1" x14ac:dyDescent="0.2">
      <c r="B342" s="312">
        <v>45337</v>
      </c>
      <c r="C342" s="321">
        <v>21910.75</v>
      </c>
      <c r="D342" s="209">
        <f t="shared" si="5"/>
        <v>5.9308786782743539E-3</v>
      </c>
    </row>
    <row r="343" spans="2:4" ht="14" thickBot="1" x14ac:dyDescent="0.2">
      <c r="B343" s="312">
        <v>45336</v>
      </c>
      <c r="C343" s="321">
        <v>21840.05</v>
      </c>
      <c r="D343" s="209">
        <f t="shared" si="5"/>
        <v>3.2371720760713263E-3</v>
      </c>
    </row>
    <row r="344" spans="2:4" ht="14" thickBot="1" x14ac:dyDescent="0.2">
      <c r="B344" s="312">
        <v>45335</v>
      </c>
      <c r="C344" s="321">
        <v>21743.25</v>
      </c>
      <c r="D344" s="209">
        <f t="shared" si="5"/>
        <v>4.4519563542708696E-3</v>
      </c>
    </row>
    <row r="345" spans="2:4" ht="14" thickBot="1" x14ac:dyDescent="0.2">
      <c r="B345" s="312">
        <v>45334</v>
      </c>
      <c r="C345" s="321">
        <v>21616.05</v>
      </c>
      <c r="D345" s="209">
        <f t="shared" si="5"/>
        <v>5.8845163663112654E-3</v>
      </c>
    </row>
    <row r="346" spans="2:4" ht="14" thickBot="1" x14ac:dyDescent="0.2">
      <c r="B346" s="312">
        <v>45331</v>
      </c>
      <c r="C346" s="321">
        <v>21782.5</v>
      </c>
      <c r="D346" s="209">
        <f t="shared" si="5"/>
        <v>-7.6414552966831417E-3</v>
      </c>
    </row>
    <row r="347" spans="2:4" ht="14" thickBot="1" x14ac:dyDescent="0.2">
      <c r="B347" s="312">
        <v>45330</v>
      </c>
      <c r="C347" s="321">
        <v>21717.95</v>
      </c>
      <c r="D347" s="210">
        <f t="shared" si="5"/>
        <v>2.9721958103781088E-3</v>
      </c>
    </row>
    <row r="348" spans="2:4" ht="14" thickBot="1" x14ac:dyDescent="0.2">
      <c r="B348" s="312">
        <v>45329</v>
      </c>
      <c r="C348" s="321">
        <v>21930.5</v>
      </c>
      <c r="D348" s="210">
        <f t="shared" si="5"/>
        <v>-9.6919814869701471E-3</v>
      </c>
    </row>
    <row r="349" spans="2:4" ht="14" thickBot="1" x14ac:dyDescent="0.2">
      <c r="B349" s="312">
        <v>45328</v>
      </c>
      <c r="C349" s="321">
        <v>21929.4</v>
      </c>
      <c r="D349" s="210">
        <f t="shared" si="5"/>
        <v>5.0160971116319786E-5</v>
      </c>
    </row>
    <row r="350" spans="2:4" ht="14" thickBot="1" x14ac:dyDescent="0.2">
      <c r="B350" s="312">
        <v>45327</v>
      </c>
      <c r="C350" s="321">
        <v>21771.7</v>
      </c>
      <c r="D350" s="209">
        <f t="shared" si="5"/>
        <v>7.2433480160023489E-3</v>
      </c>
    </row>
    <row r="351" spans="2:4" ht="14" thickBot="1" x14ac:dyDescent="0.2">
      <c r="B351" s="312">
        <v>45324</v>
      </c>
      <c r="C351" s="321">
        <v>21853.8</v>
      </c>
      <c r="D351" s="209">
        <f t="shared" si="5"/>
        <v>-3.756783717248191E-3</v>
      </c>
    </row>
    <row r="352" spans="2:4" ht="14" thickBot="1" x14ac:dyDescent="0.2">
      <c r="B352" s="312">
        <v>45323</v>
      </c>
      <c r="C352" s="321">
        <v>21697.45</v>
      </c>
      <c r="D352" s="210">
        <f t="shared" si="5"/>
        <v>7.2059159025599229E-3</v>
      </c>
    </row>
    <row r="353" spans="2:4" ht="14" thickBot="1" x14ac:dyDescent="0.2">
      <c r="B353" s="312">
        <v>45322</v>
      </c>
      <c r="C353" s="321">
        <v>21725.7</v>
      </c>
      <c r="D353" s="209">
        <f t="shared" si="5"/>
        <v>-1.3003033273956133E-3</v>
      </c>
    </row>
    <row r="354" spans="2:4" ht="14" thickBot="1" x14ac:dyDescent="0.2">
      <c r="B354" s="312">
        <v>45321</v>
      </c>
      <c r="C354" s="321">
        <v>21522.1</v>
      </c>
      <c r="D354" s="210">
        <f t="shared" si="5"/>
        <v>9.4600433972522602E-3</v>
      </c>
    </row>
    <row r="355" spans="2:4" ht="14" thickBot="1" x14ac:dyDescent="0.2">
      <c r="B355" s="312">
        <v>45320</v>
      </c>
      <c r="C355" s="321">
        <v>21737.599999999999</v>
      </c>
      <c r="D355" s="210">
        <f t="shared" si="5"/>
        <v>-9.9136979243338308E-3</v>
      </c>
    </row>
    <row r="356" spans="2:4" ht="14" thickBot="1" x14ac:dyDescent="0.2">
      <c r="B356" s="312">
        <v>45316</v>
      </c>
      <c r="C356" s="321">
        <v>21352.6</v>
      </c>
      <c r="D356" s="209">
        <f t="shared" si="5"/>
        <v>1.8030591122392581E-2</v>
      </c>
    </row>
    <row r="357" spans="2:4" ht="14" thickBot="1" x14ac:dyDescent="0.2">
      <c r="B357" s="312">
        <v>45315</v>
      </c>
      <c r="C357" s="321">
        <v>21453.95</v>
      </c>
      <c r="D357" s="209">
        <f t="shared" si="5"/>
        <v>-4.7240717909756702E-3</v>
      </c>
    </row>
    <row r="358" spans="2:4" ht="14" thickBot="1" x14ac:dyDescent="0.2">
      <c r="B358" s="312">
        <v>45314</v>
      </c>
      <c r="C358" s="321">
        <v>21238.799999999999</v>
      </c>
      <c r="D358" s="210">
        <f t="shared" si="5"/>
        <v>1.0130045011959243E-2</v>
      </c>
    </row>
    <row r="359" spans="2:4" ht="14" thickBot="1" x14ac:dyDescent="0.2">
      <c r="B359" s="312">
        <v>45311</v>
      </c>
      <c r="C359" s="321">
        <v>21571.8</v>
      </c>
      <c r="D359" s="210">
        <f t="shared" si="5"/>
        <v>-1.5436820293160514E-2</v>
      </c>
    </row>
    <row r="360" spans="2:4" ht="14" thickBot="1" x14ac:dyDescent="0.2">
      <c r="B360" s="312">
        <v>45310</v>
      </c>
      <c r="C360" s="321">
        <v>21622.400000000001</v>
      </c>
      <c r="D360" s="209">
        <f t="shared" si="5"/>
        <v>-2.3401657540329523E-3</v>
      </c>
    </row>
    <row r="361" spans="2:4" ht="14" thickBot="1" x14ac:dyDescent="0.2">
      <c r="B361" s="312">
        <v>45309</v>
      </c>
      <c r="C361" s="321">
        <v>21462.25</v>
      </c>
      <c r="D361" s="209">
        <f t="shared" si="5"/>
        <v>7.4619389858938678E-3</v>
      </c>
    </row>
    <row r="362" spans="2:4" ht="14" thickBot="1" x14ac:dyDescent="0.2">
      <c r="B362" s="312">
        <v>45308</v>
      </c>
      <c r="C362" s="321">
        <v>21571.95</v>
      </c>
      <c r="D362" s="209">
        <f t="shared" si="5"/>
        <v>-5.0853075405793424E-3</v>
      </c>
    </row>
    <row r="363" spans="2:4" ht="14" thickBot="1" x14ac:dyDescent="0.2">
      <c r="B363" s="312">
        <v>45307</v>
      </c>
      <c r="C363" s="321">
        <v>22032.3</v>
      </c>
      <c r="D363" s="209">
        <f t="shared" si="5"/>
        <v>-2.0894323334377241E-2</v>
      </c>
    </row>
    <row r="364" spans="2:4" ht="14" thickBot="1" x14ac:dyDescent="0.2">
      <c r="B364" s="312">
        <v>45306</v>
      </c>
      <c r="C364" s="321">
        <v>22097.45</v>
      </c>
      <c r="D364" s="210">
        <f t="shared" si="5"/>
        <v>-2.9483039898269281E-3</v>
      </c>
    </row>
    <row r="365" spans="2:4" ht="14" thickBot="1" x14ac:dyDescent="0.2">
      <c r="B365" s="312">
        <v>45303</v>
      </c>
      <c r="C365" s="321">
        <v>21894.55</v>
      </c>
      <c r="D365" s="209">
        <f t="shared" si="5"/>
        <v>9.2671463903117868E-3</v>
      </c>
    </row>
    <row r="366" spans="2:4" ht="14" thickBot="1" x14ac:dyDescent="0.2">
      <c r="B366" s="312">
        <v>45302</v>
      </c>
      <c r="C366" s="321">
        <v>21647.200000000001</v>
      </c>
      <c r="D366" s="209">
        <f t="shared" si="5"/>
        <v>1.1426420045086649E-2</v>
      </c>
    </row>
    <row r="367" spans="2:4" ht="14" thickBot="1" x14ac:dyDescent="0.2">
      <c r="B367" s="312">
        <v>45301</v>
      </c>
      <c r="C367" s="321">
        <v>21618.7</v>
      </c>
      <c r="D367" s="209">
        <f t="shared" si="5"/>
        <v>1.3183031357111297E-3</v>
      </c>
    </row>
    <row r="368" spans="2:4" ht="14" thickBot="1" x14ac:dyDescent="0.2">
      <c r="B368" s="312">
        <v>45300</v>
      </c>
      <c r="C368" s="321">
        <v>21544.85</v>
      </c>
      <c r="D368" s="209">
        <f t="shared" si="5"/>
        <v>3.4277333098164942E-3</v>
      </c>
    </row>
    <row r="369" spans="2:4" ht="14" thickBot="1" x14ac:dyDescent="0.2">
      <c r="B369" s="312">
        <v>45299</v>
      </c>
      <c r="C369" s="321">
        <v>21513</v>
      </c>
      <c r="D369" s="209">
        <f t="shared" si="5"/>
        <v>1.4805001626922998E-3</v>
      </c>
    </row>
    <row r="370" spans="2:4" ht="14" thickBot="1" x14ac:dyDescent="0.2">
      <c r="B370" s="312">
        <v>45296</v>
      </c>
      <c r="C370" s="321">
        <v>21710.799999999999</v>
      </c>
      <c r="D370" s="209">
        <f t="shared" si="5"/>
        <v>-9.1106730290915205E-3</v>
      </c>
    </row>
    <row r="371" spans="2:4" ht="14" thickBot="1" x14ac:dyDescent="0.2">
      <c r="B371" s="312">
        <v>45295</v>
      </c>
      <c r="C371" s="321">
        <v>21658.6</v>
      </c>
      <c r="D371" s="209">
        <f t="shared" si="5"/>
        <v>2.4101280784538659E-3</v>
      </c>
    </row>
    <row r="372" spans="2:4" ht="14" thickBot="1" x14ac:dyDescent="0.2">
      <c r="B372" s="312">
        <v>45294</v>
      </c>
      <c r="C372" s="321">
        <v>21517.35</v>
      </c>
      <c r="D372" s="210">
        <f t="shared" si="5"/>
        <v>6.5644700671783074E-3</v>
      </c>
    </row>
    <row r="373" spans="2:4" ht="14" thickBot="1" x14ac:dyDescent="0.2">
      <c r="B373" s="312">
        <v>45293</v>
      </c>
      <c r="C373" s="321">
        <v>21665.8</v>
      </c>
      <c r="D373" s="209">
        <f t="shared" si="5"/>
        <v>-6.8518125340398806E-3</v>
      </c>
    </row>
    <row r="374" spans="2:4" ht="14" thickBot="1" x14ac:dyDescent="0.2">
      <c r="B374" s="312">
        <v>45292</v>
      </c>
      <c r="C374" s="321">
        <v>21741.9</v>
      </c>
      <c r="D374" s="210">
        <f t="shared" si="5"/>
        <v>-3.5001540803702991E-3</v>
      </c>
    </row>
    <row r="375" spans="2:4" ht="14" thickBot="1" x14ac:dyDescent="0.2">
      <c r="B375" s="312">
        <v>45289</v>
      </c>
      <c r="C375" s="321">
        <v>21731.4</v>
      </c>
      <c r="D375" s="210">
        <f t="shared" si="5"/>
        <v>4.8317181589774272E-4</v>
      </c>
    </row>
    <row r="376" spans="2:4" ht="14" thickBot="1" x14ac:dyDescent="0.2">
      <c r="B376" s="312">
        <v>45288</v>
      </c>
      <c r="C376" s="321">
        <v>21778.7</v>
      </c>
      <c r="D376" s="210">
        <f t="shared" si="5"/>
        <v>-2.1718468044464867E-3</v>
      </c>
    </row>
    <row r="377" spans="2:4" ht="14" thickBot="1" x14ac:dyDescent="0.2">
      <c r="B377" s="312">
        <v>45287</v>
      </c>
      <c r="C377" s="321">
        <v>21654.75</v>
      </c>
      <c r="D377" s="209">
        <f t="shared" si="5"/>
        <v>5.7239173853311787E-3</v>
      </c>
    </row>
    <row r="378" spans="2:4" ht="14" thickBot="1" x14ac:dyDescent="0.2">
      <c r="B378" s="312">
        <v>45286</v>
      </c>
      <c r="C378" s="321">
        <v>21441.35</v>
      </c>
      <c r="D378" s="209">
        <f t="shared" si="5"/>
        <v>9.9527315211029865E-3</v>
      </c>
    </row>
    <row r="379" spans="2:4" ht="14" thickBot="1" x14ac:dyDescent="0.2">
      <c r="B379" s="312">
        <v>45282</v>
      </c>
      <c r="C379" s="321">
        <v>21349.4</v>
      </c>
      <c r="D379" s="210">
        <f t="shared" si="5"/>
        <v>4.306912606443225E-3</v>
      </c>
    </row>
    <row r="380" spans="2:4" ht="14" thickBot="1" x14ac:dyDescent="0.2">
      <c r="B380" s="312">
        <v>45281</v>
      </c>
      <c r="C380" s="321">
        <v>21255.05</v>
      </c>
      <c r="D380" s="209">
        <f t="shared" si="5"/>
        <v>4.4389450977533329E-3</v>
      </c>
    </row>
    <row r="381" spans="2:4" ht="14" thickBot="1" x14ac:dyDescent="0.2">
      <c r="B381" s="312">
        <v>45280</v>
      </c>
      <c r="C381" s="321">
        <v>21150.15</v>
      </c>
      <c r="D381" s="210">
        <f t="shared" si="5"/>
        <v>4.9597756989903097E-3</v>
      </c>
    </row>
    <row r="382" spans="2:4" ht="14" thickBot="1" x14ac:dyDescent="0.2">
      <c r="B382" s="312">
        <v>45279</v>
      </c>
      <c r="C382" s="321">
        <v>21453.1</v>
      </c>
      <c r="D382" s="210">
        <f t="shared" si="5"/>
        <v>-1.4121502253753415E-2</v>
      </c>
    </row>
    <row r="383" spans="2:4" ht="14" thickBot="1" x14ac:dyDescent="0.2">
      <c r="B383" s="312">
        <v>45278</v>
      </c>
      <c r="C383" s="321">
        <v>21418.65</v>
      </c>
      <c r="D383" s="210">
        <f t="shared" si="5"/>
        <v>1.6084113611267714E-3</v>
      </c>
    </row>
    <row r="384" spans="2:4" ht="14" thickBot="1" x14ac:dyDescent="0.2">
      <c r="B384" s="312">
        <v>45275</v>
      </c>
      <c r="C384" s="321">
        <v>21456.65</v>
      </c>
      <c r="D384" s="210">
        <f t="shared" si="5"/>
        <v>-1.7710127163373945E-3</v>
      </c>
    </row>
    <row r="385" spans="2:4" ht="14" thickBot="1" x14ac:dyDescent="0.2">
      <c r="B385" s="312">
        <v>45274</v>
      </c>
      <c r="C385" s="321">
        <v>21182.7</v>
      </c>
      <c r="D385" s="210">
        <f t="shared" si="5"/>
        <v>1.2932723401643864E-2</v>
      </c>
    </row>
    <row r="386" spans="2:4" ht="14" thickBot="1" x14ac:dyDescent="0.2">
      <c r="B386" s="312">
        <v>45273</v>
      </c>
      <c r="C386" s="321">
        <v>20926.349999999999</v>
      </c>
      <c r="D386" s="210">
        <f t="shared" si="5"/>
        <v>1.2250105727946048E-2</v>
      </c>
    </row>
    <row r="387" spans="2:4" ht="14" thickBot="1" x14ac:dyDescent="0.2">
      <c r="B387" s="312">
        <v>45272</v>
      </c>
      <c r="C387" s="321">
        <v>20906.400000000001</v>
      </c>
      <c r="D387" s="210">
        <f t="shared" si="5"/>
        <v>9.5425324302600423E-4</v>
      </c>
    </row>
    <row r="388" spans="2:4" ht="14" thickBot="1" x14ac:dyDescent="0.2">
      <c r="B388" s="312">
        <v>45271</v>
      </c>
      <c r="C388" s="321">
        <v>20997.1</v>
      </c>
      <c r="D388" s="209">
        <f t="shared" si="5"/>
        <v>-4.3196441413336784E-3</v>
      </c>
    </row>
    <row r="389" spans="2:4" ht="14" thickBot="1" x14ac:dyDescent="0.2">
      <c r="B389" s="312">
        <v>45268</v>
      </c>
      <c r="C389" s="321">
        <v>20969.400000000001</v>
      </c>
      <c r="D389" s="209">
        <f t="shared" si="5"/>
        <v>1.3209724646388032E-3</v>
      </c>
    </row>
    <row r="390" spans="2:4" ht="14" thickBot="1" x14ac:dyDescent="0.2">
      <c r="B390" s="312">
        <v>45267</v>
      </c>
      <c r="C390" s="321">
        <v>20901.150000000001</v>
      </c>
      <c r="D390" s="210">
        <f t="shared" si="5"/>
        <v>3.2653705657343934E-3</v>
      </c>
    </row>
    <row r="391" spans="2:4" ht="14" thickBot="1" x14ac:dyDescent="0.2">
      <c r="B391" s="312">
        <v>45266</v>
      </c>
      <c r="C391" s="321">
        <v>20937.7</v>
      </c>
      <c r="D391" s="210">
        <f t="shared" si="5"/>
        <v>-1.7456549668778409E-3</v>
      </c>
    </row>
    <row r="392" spans="2:4" ht="14" thickBot="1" x14ac:dyDescent="0.2">
      <c r="B392" s="312">
        <v>45265</v>
      </c>
      <c r="C392" s="321">
        <v>20855.099999999999</v>
      </c>
      <c r="D392" s="210">
        <f t="shared" si="5"/>
        <v>3.9606619004464161E-3</v>
      </c>
    </row>
    <row r="393" spans="2:4" ht="14" thickBot="1" x14ac:dyDescent="0.2">
      <c r="B393" s="312">
        <v>45264</v>
      </c>
      <c r="C393" s="321">
        <v>20686.8</v>
      </c>
      <c r="D393" s="209">
        <f t="shared" si="5"/>
        <v>8.1356227159348204E-3</v>
      </c>
    </row>
    <row r="394" spans="2:4" ht="14" thickBot="1" x14ac:dyDescent="0.2">
      <c r="B394" s="312">
        <v>45261</v>
      </c>
      <c r="C394" s="321">
        <v>20267.900000000001</v>
      </c>
      <c r="D394" s="209">
        <f t="shared" si="5"/>
        <v>2.0668150129021567E-2</v>
      </c>
    </row>
    <row r="395" spans="2:4" ht="14" thickBot="1" x14ac:dyDescent="0.2">
      <c r="B395" s="312">
        <v>45260</v>
      </c>
      <c r="C395" s="321">
        <v>20133.150000000001</v>
      </c>
      <c r="D395" s="209">
        <f t="shared" ref="D395:D458" si="6">C394/C395-1</f>
        <v>6.6929417403636116E-3</v>
      </c>
    </row>
    <row r="396" spans="2:4" ht="14" thickBot="1" x14ac:dyDescent="0.2">
      <c r="B396" s="312">
        <v>45259</v>
      </c>
      <c r="C396" s="321">
        <v>20096.599999999999</v>
      </c>
      <c r="D396" s="209">
        <f t="shared" si="6"/>
        <v>1.8187156036346686E-3</v>
      </c>
    </row>
    <row r="397" spans="2:4" ht="14" thickBot="1" x14ac:dyDescent="0.2">
      <c r="B397" s="312">
        <v>45258</v>
      </c>
      <c r="C397" s="321">
        <v>19889.7</v>
      </c>
      <c r="D397" s="210">
        <f t="shared" si="6"/>
        <v>1.04023690653956E-2</v>
      </c>
    </row>
    <row r="398" spans="2:4" ht="14" thickBot="1" x14ac:dyDescent="0.2">
      <c r="B398" s="312">
        <v>45254</v>
      </c>
      <c r="C398" s="321">
        <v>19794.7</v>
      </c>
      <c r="D398" s="210">
        <f t="shared" si="6"/>
        <v>4.7992644495749026E-3</v>
      </c>
    </row>
    <row r="399" spans="2:4" ht="14" thickBot="1" x14ac:dyDescent="0.2">
      <c r="B399" s="312">
        <v>45253</v>
      </c>
      <c r="C399" s="321">
        <v>19802</v>
      </c>
      <c r="D399" s="209">
        <f t="shared" si="6"/>
        <v>-3.6864963135030404E-4</v>
      </c>
    </row>
    <row r="400" spans="2:4" ht="14" thickBot="1" x14ac:dyDescent="0.2">
      <c r="B400" s="312">
        <v>45252</v>
      </c>
      <c r="C400" s="321">
        <v>19811.849999999999</v>
      </c>
      <c r="D400" s="210">
        <f t="shared" si="6"/>
        <v>-4.971771944567438E-4</v>
      </c>
    </row>
    <row r="401" spans="2:4" ht="14" thickBot="1" x14ac:dyDescent="0.2">
      <c r="B401" s="312">
        <v>45251</v>
      </c>
      <c r="C401" s="321">
        <v>19783.400000000001</v>
      </c>
      <c r="D401" s="210">
        <f t="shared" si="6"/>
        <v>1.4380743451578581E-3</v>
      </c>
    </row>
    <row r="402" spans="2:4" ht="14" thickBot="1" x14ac:dyDescent="0.2">
      <c r="B402" s="312">
        <v>45250</v>
      </c>
      <c r="C402" s="321">
        <v>19694</v>
      </c>
      <c r="D402" s="209">
        <f t="shared" si="6"/>
        <v>4.5394536407028507E-3</v>
      </c>
    </row>
    <row r="403" spans="2:4" ht="14" thickBot="1" x14ac:dyDescent="0.2">
      <c r="B403" s="312">
        <v>45247</v>
      </c>
      <c r="C403" s="321">
        <v>19731.8</v>
      </c>
      <c r="D403" s="210">
        <f t="shared" si="6"/>
        <v>-1.915689394784037E-3</v>
      </c>
    </row>
    <row r="404" spans="2:4" ht="14" thickBot="1" x14ac:dyDescent="0.2">
      <c r="B404" s="312">
        <v>45246</v>
      </c>
      <c r="C404" s="321">
        <v>19765.2</v>
      </c>
      <c r="D404" s="209">
        <f t="shared" si="6"/>
        <v>-1.6898387064133713E-3</v>
      </c>
    </row>
    <row r="405" spans="2:4" ht="14" thickBot="1" x14ac:dyDescent="0.2">
      <c r="B405" s="312">
        <v>45245</v>
      </c>
      <c r="C405" s="321">
        <v>19675.45</v>
      </c>
      <c r="D405" s="210">
        <f t="shared" si="6"/>
        <v>4.5615220998758144E-3</v>
      </c>
    </row>
    <row r="406" spans="2:4" ht="14" thickBot="1" x14ac:dyDescent="0.2">
      <c r="B406" s="312">
        <v>45243</v>
      </c>
      <c r="C406" s="321">
        <v>19443.55</v>
      </c>
      <c r="D406" s="209">
        <f t="shared" si="6"/>
        <v>1.1926834348665816E-2</v>
      </c>
    </row>
    <row r="407" spans="2:4" ht="14" thickBot="1" x14ac:dyDescent="0.2">
      <c r="B407" s="312">
        <v>45242</v>
      </c>
      <c r="C407" s="321">
        <v>19525.55</v>
      </c>
      <c r="D407" s="209">
        <f t="shared" si="6"/>
        <v>-4.1996256187405434E-3</v>
      </c>
    </row>
    <row r="408" spans="2:4" ht="14" thickBot="1" x14ac:dyDescent="0.2">
      <c r="B408" s="312">
        <v>45240</v>
      </c>
      <c r="C408" s="321">
        <v>19425.349999999999</v>
      </c>
      <c r="D408" s="210">
        <f t="shared" si="6"/>
        <v>5.1582082176124811E-3</v>
      </c>
    </row>
    <row r="409" spans="2:4" ht="14" thickBot="1" x14ac:dyDescent="0.2">
      <c r="B409" s="312">
        <v>45239</v>
      </c>
      <c r="C409" s="321">
        <v>19395.3</v>
      </c>
      <c r="D409" s="210">
        <f t="shared" si="6"/>
        <v>1.549344428804833E-3</v>
      </c>
    </row>
    <row r="410" spans="2:4" ht="14" thickBot="1" x14ac:dyDescent="0.2">
      <c r="B410" s="312">
        <v>45238</v>
      </c>
      <c r="C410" s="321">
        <v>19443.5</v>
      </c>
      <c r="D410" s="209">
        <f t="shared" si="6"/>
        <v>-2.4789775503382128E-3</v>
      </c>
    </row>
    <row r="411" spans="2:4" ht="14" thickBot="1" x14ac:dyDescent="0.2">
      <c r="B411" s="312">
        <v>45237</v>
      </c>
      <c r="C411" s="321">
        <v>19406.7</v>
      </c>
      <c r="D411" s="209">
        <f t="shared" si="6"/>
        <v>1.8962523252279428E-3</v>
      </c>
    </row>
    <row r="412" spans="2:4" ht="14" thickBot="1" x14ac:dyDescent="0.2">
      <c r="B412" s="312">
        <v>45236</v>
      </c>
      <c r="C412" s="321">
        <v>19411.75</v>
      </c>
      <c r="D412" s="209">
        <f t="shared" si="6"/>
        <v>-2.6015171223614519E-4</v>
      </c>
    </row>
    <row r="413" spans="2:4" ht="14" thickBot="1" x14ac:dyDescent="0.2">
      <c r="B413" s="312">
        <v>45233</v>
      </c>
      <c r="C413" s="321">
        <v>19230.599999999999</v>
      </c>
      <c r="D413" s="209">
        <f t="shared" si="6"/>
        <v>9.4198828949696445E-3</v>
      </c>
    </row>
    <row r="414" spans="2:4" ht="14" thickBot="1" x14ac:dyDescent="0.2">
      <c r="B414" s="312">
        <v>45232</v>
      </c>
      <c r="C414" s="321">
        <v>19133.25</v>
      </c>
      <c r="D414" s="209">
        <f t="shared" si="6"/>
        <v>5.0880012543608188E-3</v>
      </c>
    </row>
    <row r="415" spans="2:4" ht="14" thickBot="1" x14ac:dyDescent="0.2">
      <c r="B415" s="312">
        <v>45231</v>
      </c>
      <c r="C415" s="321">
        <v>18989.150000000001</v>
      </c>
      <c r="D415" s="209">
        <f t="shared" si="6"/>
        <v>7.5885439843277336E-3</v>
      </c>
    </row>
    <row r="416" spans="2:4" ht="14" thickBot="1" x14ac:dyDescent="0.2">
      <c r="B416" s="312">
        <v>45230</v>
      </c>
      <c r="C416" s="321">
        <v>19079.599999999999</v>
      </c>
      <c r="D416" s="209">
        <f t="shared" si="6"/>
        <v>-4.740665422755086E-3</v>
      </c>
    </row>
    <row r="417" spans="2:4" ht="14" thickBot="1" x14ac:dyDescent="0.2">
      <c r="B417" s="312">
        <v>45229</v>
      </c>
      <c r="C417" s="321">
        <v>19140.900000000001</v>
      </c>
      <c r="D417" s="209">
        <f t="shared" si="6"/>
        <v>-3.2025662325179116E-3</v>
      </c>
    </row>
    <row r="418" spans="2:4" ht="14" thickBot="1" x14ac:dyDescent="0.2">
      <c r="B418" s="312">
        <v>45226</v>
      </c>
      <c r="C418" s="321">
        <v>19047.25</v>
      </c>
      <c r="D418" s="210">
        <f t="shared" si="6"/>
        <v>4.9167202614550654E-3</v>
      </c>
    </row>
    <row r="419" spans="2:4" ht="14" thickBot="1" x14ac:dyDescent="0.2">
      <c r="B419" s="312">
        <v>45225</v>
      </c>
      <c r="C419" s="321">
        <v>18857.25</v>
      </c>
      <c r="D419" s="209">
        <f t="shared" si="6"/>
        <v>1.0075700327460302E-2</v>
      </c>
    </row>
    <row r="420" spans="2:4" ht="14" thickBot="1" x14ac:dyDescent="0.2">
      <c r="B420" s="312">
        <v>45224</v>
      </c>
      <c r="C420" s="321">
        <v>19122.150000000001</v>
      </c>
      <c r="D420" s="209">
        <f t="shared" si="6"/>
        <v>-1.3853044767455636E-2</v>
      </c>
    </row>
    <row r="421" spans="2:4" ht="14" thickBot="1" x14ac:dyDescent="0.2">
      <c r="B421" s="312">
        <v>45222</v>
      </c>
      <c r="C421" s="321">
        <v>19281.75</v>
      </c>
      <c r="D421" s="209">
        <f t="shared" si="6"/>
        <v>-8.2772569917148875E-3</v>
      </c>
    </row>
    <row r="422" spans="2:4" ht="14" thickBot="1" x14ac:dyDescent="0.2">
      <c r="B422" s="312">
        <v>45219</v>
      </c>
      <c r="C422" s="321">
        <v>19542.650000000001</v>
      </c>
      <c r="D422" s="209">
        <f t="shared" si="6"/>
        <v>-1.3350287704072983E-2</v>
      </c>
    </row>
    <row r="423" spans="2:4" ht="14" thickBot="1" x14ac:dyDescent="0.2">
      <c r="B423" s="312">
        <v>45218</v>
      </c>
      <c r="C423" s="321">
        <v>19624.7</v>
      </c>
      <c r="D423" s="209">
        <f t="shared" si="6"/>
        <v>-4.1809556324428065E-3</v>
      </c>
    </row>
    <row r="424" spans="2:4" ht="14" thickBot="1" x14ac:dyDescent="0.2">
      <c r="B424" s="312">
        <v>45217</v>
      </c>
      <c r="C424" s="321">
        <v>19671.099999999999</v>
      </c>
      <c r="D424" s="209">
        <f t="shared" si="6"/>
        <v>-2.358790306591807E-3</v>
      </c>
    </row>
    <row r="425" spans="2:4" ht="14" thickBot="1" x14ac:dyDescent="0.2">
      <c r="B425" s="312">
        <v>45216</v>
      </c>
      <c r="C425" s="321">
        <v>19811.5</v>
      </c>
      <c r="D425" s="210">
        <f t="shared" si="6"/>
        <v>-7.0867930242536348E-3</v>
      </c>
    </row>
    <row r="426" spans="2:4" ht="14" thickBot="1" x14ac:dyDescent="0.2">
      <c r="B426" s="312">
        <v>45215</v>
      </c>
      <c r="C426" s="321">
        <v>19731.75</v>
      </c>
      <c r="D426" s="210">
        <f t="shared" si="6"/>
        <v>4.0417094276989918E-3</v>
      </c>
    </row>
    <row r="427" spans="2:4" ht="14" thickBot="1" x14ac:dyDescent="0.2">
      <c r="B427" s="312">
        <v>45212</v>
      </c>
      <c r="C427" s="321">
        <v>19751.05</v>
      </c>
      <c r="D427" s="209">
        <f t="shared" si="6"/>
        <v>-9.7716323942265149E-4</v>
      </c>
    </row>
    <row r="428" spans="2:4" ht="14" thickBot="1" x14ac:dyDescent="0.2">
      <c r="B428" s="312">
        <v>45211</v>
      </c>
      <c r="C428" s="321">
        <v>19794</v>
      </c>
      <c r="D428" s="209">
        <f t="shared" si="6"/>
        <v>-2.1698494493280762E-3</v>
      </c>
    </row>
    <row r="429" spans="2:4" ht="14" thickBot="1" x14ac:dyDescent="0.2">
      <c r="B429" s="312">
        <v>45210</v>
      </c>
      <c r="C429" s="321">
        <v>19811.349999999999</v>
      </c>
      <c r="D429" s="209">
        <f t="shared" si="6"/>
        <v>-8.7576061197236488E-4</v>
      </c>
    </row>
    <row r="430" spans="2:4" ht="14" thickBot="1" x14ac:dyDescent="0.2">
      <c r="B430" s="312">
        <v>45209</v>
      </c>
      <c r="C430" s="321">
        <v>19689.849999999999</v>
      </c>
      <c r="D430" s="209">
        <f t="shared" si="6"/>
        <v>6.1706920062876147E-3</v>
      </c>
    </row>
    <row r="431" spans="2:4" ht="14" thickBot="1" x14ac:dyDescent="0.2">
      <c r="B431" s="312">
        <v>45208</v>
      </c>
      <c r="C431" s="321">
        <v>19512.349999999999</v>
      </c>
      <c r="D431" s="209">
        <f t="shared" si="6"/>
        <v>9.096802794127834E-3</v>
      </c>
    </row>
    <row r="432" spans="2:4" ht="14" thickBot="1" x14ac:dyDescent="0.2">
      <c r="B432" s="312">
        <v>45205</v>
      </c>
      <c r="C432" s="321">
        <v>19653.5</v>
      </c>
      <c r="D432" s="209">
        <f t="shared" si="6"/>
        <v>-7.1819268832524763E-3</v>
      </c>
    </row>
    <row r="433" spans="2:4" ht="14" thickBot="1" x14ac:dyDescent="0.2">
      <c r="B433" s="312">
        <v>45204</v>
      </c>
      <c r="C433" s="321">
        <v>19545.75</v>
      </c>
      <c r="D433" s="210">
        <f t="shared" si="6"/>
        <v>5.5127073660514725E-3</v>
      </c>
    </row>
    <row r="434" spans="2:4" ht="14" thickBot="1" x14ac:dyDescent="0.2">
      <c r="B434" s="312">
        <v>45203</v>
      </c>
      <c r="C434" s="321">
        <v>19436.099999999999</v>
      </c>
      <c r="D434" s="210">
        <f t="shared" si="6"/>
        <v>5.6415638939910639E-3</v>
      </c>
    </row>
    <row r="435" spans="2:4" ht="14" thickBot="1" x14ac:dyDescent="0.2">
      <c r="B435" s="312">
        <v>45202</v>
      </c>
      <c r="C435" s="321">
        <v>19528.75</v>
      </c>
      <c r="D435" s="210">
        <f t="shared" si="6"/>
        <v>-4.7442872687705195E-3</v>
      </c>
    </row>
    <row r="436" spans="2:4" ht="14" thickBot="1" x14ac:dyDescent="0.2">
      <c r="B436" s="312">
        <v>45198</v>
      </c>
      <c r="C436" s="321">
        <v>19638.3</v>
      </c>
      <c r="D436" s="210">
        <f t="shared" si="6"/>
        <v>-5.5783850944327584E-3</v>
      </c>
    </row>
    <row r="437" spans="2:4" ht="14" thickBot="1" x14ac:dyDescent="0.2">
      <c r="B437" s="312">
        <v>45197</v>
      </c>
      <c r="C437" s="321">
        <v>19523.55</v>
      </c>
      <c r="D437" s="209">
        <f t="shared" si="6"/>
        <v>5.8775171523621772E-3</v>
      </c>
    </row>
    <row r="438" spans="2:4" ht="14" thickBot="1" x14ac:dyDescent="0.2">
      <c r="B438" s="312">
        <v>45196</v>
      </c>
      <c r="C438" s="321">
        <v>19716.45</v>
      </c>
      <c r="D438" s="209">
        <f t="shared" si="6"/>
        <v>-9.7837085276508695E-3</v>
      </c>
    </row>
    <row r="439" spans="2:4" ht="14" thickBot="1" x14ac:dyDescent="0.2">
      <c r="B439" s="312">
        <v>45195</v>
      </c>
      <c r="C439" s="321">
        <v>19664.7</v>
      </c>
      <c r="D439" s="209">
        <f t="shared" si="6"/>
        <v>2.6316190941126916E-3</v>
      </c>
    </row>
    <row r="440" spans="2:4" ht="14" thickBot="1" x14ac:dyDescent="0.2">
      <c r="B440" s="312">
        <v>45194</v>
      </c>
      <c r="C440" s="321">
        <v>19674.55</v>
      </c>
      <c r="D440" s="210">
        <f t="shared" si="6"/>
        <v>-5.0064677464023433E-4</v>
      </c>
    </row>
    <row r="441" spans="2:4" ht="14" thickBot="1" x14ac:dyDescent="0.2">
      <c r="B441" s="312">
        <v>45191</v>
      </c>
      <c r="C441" s="321">
        <v>19674.25</v>
      </c>
      <c r="D441" s="209">
        <f t="shared" si="6"/>
        <v>1.5248357624786379E-5</v>
      </c>
    </row>
    <row r="442" spans="2:4" ht="14" thickBot="1" x14ac:dyDescent="0.2">
      <c r="B442" s="312">
        <v>45190</v>
      </c>
      <c r="C442" s="321">
        <v>19742.349999999999</v>
      </c>
      <c r="D442" s="210">
        <f t="shared" si="6"/>
        <v>-3.4494373770092013E-3</v>
      </c>
    </row>
    <row r="443" spans="2:4" ht="14" thickBot="1" x14ac:dyDescent="0.2">
      <c r="B443" s="312">
        <v>45189</v>
      </c>
      <c r="C443" s="321">
        <v>19901.400000000001</v>
      </c>
      <c r="D443" s="210">
        <f t="shared" si="6"/>
        <v>-7.9919000673320806E-3</v>
      </c>
    </row>
    <row r="444" spans="2:4" ht="14" thickBot="1" x14ac:dyDescent="0.2">
      <c r="B444" s="312">
        <v>45187</v>
      </c>
      <c r="C444" s="321">
        <v>20133.3</v>
      </c>
      <c r="D444" s="210">
        <f t="shared" si="6"/>
        <v>-1.1518230990448575E-2</v>
      </c>
    </row>
    <row r="445" spans="2:4" ht="14" thickBot="1" x14ac:dyDescent="0.2">
      <c r="B445" s="312">
        <v>45184</v>
      </c>
      <c r="C445" s="321">
        <v>20192.349999999999</v>
      </c>
      <c r="D445" s="209">
        <f t="shared" si="6"/>
        <v>-2.9243748251194246E-3</v>
      </c>
    </row>
    <row r="446" spans="2:4" ht="14" thickBot="1" x14ac:dyDescent="0.2">
      <c r="B446" s="312">
        <v>45183</v>
      </c>
      <c r="C446" s="321">
        <v>20103.099999999999</v>
      </c>
      <c r="D446" s="209">
        <f t="shared" si="6"/>
        <v>4.4396137909079592E-3</v>
      </c>
    </row>
    <row r="447" spans="2:4" ht="14" thickBot="1" x14ac:dyDescent="0.2">
      <c r="B447" s="312">
        <v>45182</v>
      </c>
      <c r="C447" s="321">
        <v>20070</v>
      </c>
      <c r="D447" s="209">
        <f t="shared" si="6"/>
        <v>1.6492277030393243E-3</v>
      </c>
    </row>
    <row r="448" spans="2:4" ht="14" thickBot="1" x14ac:dyDescent="0.2">
      <c r="B448" s="312">
        <v>45181</v>
      </c>
      <c r="C448" s="321">
        <v>19993.2</v>
      </c>
      <c r="D448" s="209">
        <f t="shared" si="6"/>
        <v>3.8413060440549707E-3</v>
      </c>
    </row>
    <row r="449" spans="2:4" ht="14" thickBot="1" x14ac:dyDescent="0.2">
      <c r="B449" s="312">
        <v>45180</v>
      </c>
      <c r="C449" s="321">
        <v>19996.349999999999</v>
      </c>
      <c r="D449" s="210">
        <f t="shared" si="6"/>
        <v>-1.5752874899654934E-4</v>
      </c>
    </row>
    <row r="450" spans="2:4" ht="14" thickBot="1" x14ac:dyDescent="0.2">
      <c r="B450" s="312">
        <v>45177</v>
      </c>
      <c r="C450" s="321">
        <v>19819.95</v>
      </c>
      <c r="D450" s="209">
        <f t="shared" si="6"/>
        <v>8.9001233605532359E-3</v>
      </c>
    </row>
    <row r="451" spans="2:4" ht="14" thickBot="1" x14ac:dyDescent="0.2">
      <c r="B451" s="312">
        <v>45176</v>
      </c>
      <c r="C451" s="321">
        <v>19727.05</v>
      </c>
      <c r="D451" s="209">
        <f t="shared" si="6"/>
        <v>4.7092697590365162E-3</v>
      </c>
    </row>
    <row r="452" spans="2:4" ht="14" thickBot="1" x14ac:dyDescent="0.2">
      <c r="B452" s="312">
        <v>45175</v>
      </c>
      <c r="C452" s="321">
        <v>19611.05</v>
      </c>
      <c r="D452" s="210">
        <f t="shared" si="6"/>
        <v>5.91503259641879E-3</v>
      </c>
    </row>
    <row r="453" spans="2:4" ht="14" thickBot="1" x14ac:dyDescent="0.2">
      <c r="B453" s="312">
        <v>45174</v>
      </c>
      <c r="C453" s="321">
        <v>19574.900000000001</v>
      </c>
      <c r="D453" s="210">
        <f t="shared" si="6"/>
        <v>1.8467527292602703E-3</v>
      </c>
    </row>
    <row r="454" spans="2:4" ht="14" thickBot="1" x14ac:dyDescent="0.2">
      <c r="B454" s="312">
        <v>45173</v>
      </c>
      <c r="C454" s="321">
        <v>19528.8</v>
      </c>
      <c r="D454" s="210">
        <f t="shared" si="6"/>
        <v>2.3606161156857208E-3</v>
      </c>
    </row>
    <row r="455" spans="2:4" ht="14" thickBot="1" x14ac:dyDescent="0.2">
      <c r="B455" s="312">
        <v>45170</v>
      </c>
      <c r="C455" s="321">
        <v>19435.3</v>
      </c>
      <c r="D455" s="210">
        <f t="shared" si="6"/>
        <v>4.8108338950261231E-3</v>
      </c>
    </row>
    <row r="456" spans="2:4" ht="14" thickBot="1" x14ac:dyDescent="0.2">
      <c r="B456" s="312">
        <v>45169</v>
      </c>
      <c r="C456" s="321">
        <v>19253.8</v>
      </c>
      <c r="D456" s="210">
        <f t="shared" si="6"/>
        <v>9.4267105714196386E-3</v>
      </c>
    </row>
    <row r="457" spans="2:4" ht="14" thickBot="1" x14ac:dyDescent="0.2">
      <c r="B457" s="312">
        <v>45168</v>
      </c>
      <c r="C457" s="321">
        <v>19347.45</v>
      </c>
      <c r="D457" s="210">
        <f t="shared" si="6"/>
        <v>-4.840431167931758E-3</v>
      </c>
    </row>
    <row r="458" spans="2:4" ht="14" thickBot="1" x14ac:dyDescent="0.2">
      <c r="B458" s="312">
        <v>45167</v>
      </c>
      <c r="C458" s="321">
        <v>19342.650000000001</v>
      </c>
      <c r="D458" s="209">
        <f t="shared" si="6"/>
        <v>2.4815627641494586E-4</v>
      </c>
    </row>
    <row r="459" spans="2:4" ht="14" thickBot="1" x14ac:dyDescent="0.2">
      <c r="B459" s="312">
        <v>45166</v>
      </c>
      <c r="C459" s="321">
        <v>19306.05</v>
      </c>
      <c r="D459" s="210">
        <f t="shared" ref="D459:D522" si="7">C458/C459-1</f>
        <v>1.8957787843707496E-3</v>
      </c>
    </row>
    <row r="460" spans="2:4" ht="14" thickBot="1" x14ac:dyDescent="0.2">
      <c r="B460" s="312">
        <v>45163</v>
      </c>
      <c r="C460" s="321">
        <v>19265.8</v>
      </c>
      <c r="D460" s="210">
        <f t="shared" si="7"/>
        <v>2.0891943236200916E-3</v>
      </c>
    </row>
    <row r="461" spans="2:4" ht="14" thickBot="1" x14ac:dyDescent="0.2">
      <c r="B461" s="312">
        <v>45162</v>
      </c>
      <c r="C461" s="321">
        <v>19386.7</v>
      </c>
      <c r="D461" s="210">
        <f t="shared" si="7"/>
        <v>-6.2362341192674364E-3</v>
      </c>
    </row>
    <row r="462" spans="2:4" ht="14" thickBot="1" x14ac:dyDescent="0.2">
      <c r="B462" s="312">
        <v>45161</v>
      </c>
      <c r="C462" s="321">
        <v>19444</v>
      </c>
      <c r="D462" s="210">
        <f t="shared" si="7"/>
        <v>-2.9469245011314316E-3</v>
      </c>
    </row>
    <row r="463" spans="2:4" ht="14" thickBot="1" x14ac:dyDescent="0.2">
      <c r="B463" s="312">
        <v>45160</v>
      </c>
      <c r="C463" s="321">
        <v>19396.45</v>
      </c>
      <c r="D463" s="209">
        <f t="shared" si="7"/>
        <v>2.4514795233148146E-3</v>
      </c>
    </row>
    <row r="464" spans="2:4" ht="14" thickBot="1" x14ac:dyDescent="0.2">
      <c r="B464" s="312">
        <v>45159</v>
      </c>
      <c r="C464" s="321">
        <v>19393.599999999999</v>
      </c>
      <c r="D464" s="210">
        <f t="shared" si="7"/>
        <v>1.4695569672484865E-4</v>
      </c>
    </row>
    <row r="465" spans="2:4" ht="14" thickBot="1" x14ac:dyDescent="0.2">
      <c r="B465" s="312">
        <v>45156</v>
      </c>
      <c r="C465" s="321">
        <v>19310.150000000001</v>
      </c>
      <c r="D465" s="210">
        <f t="shared" si="7"/>
        <v>4.3215614586109563E-3</v>
      </c>
    </row>
    <row r="466" spans="2:4" ht="14" thickBot="1" x14ac:dyDescent="0.2">
      <c r="B466" s="312">
        <v>45155</v>
      </c>
      <c r="C466" s="321">
        <v>19365.25</v>
      </c>
      <c r="D466" s="209">
        <f t="shared" si="7"/>
        <v>-2.8453027975366973E-3</v>
      </c>
    </row>
    <row r="467" spans="2:4" ht="14" thickBot="1" x14ac:dyDescent="0.2">
      <c r="B467" s="312">
        <v>45154</v>
      </c>
      <c r="C467" s="321">
        <v>19465</v>
      </c>
      <c r="D467" s="209">
        <f t="shared" si="7"/>
        <v>-5.1245825841254034E-3</v>
      </c>
    </row>
    <row r="468" spans="2:4" ht="14" thickBot="1" x14ac:dyDescent="0.2">
      <c r="B468" s="312">
        <v>45152</v>
      </c>
      <c r="C468" s="321">
        <v>19434.55</v>
      </c>
      <c r="D468" s="209">
        <f t="shared" si="7"/>
        <v>1.5667972759854099E-3</v>
      </c>
    </row>
    <row r="469" spans="2:4" ht="14" thickBot="1" x14ac:dyDescent="0.2">
      <c r="B469" s="312">
        <v>45149</v>
      </c>
      <c r="C469" s="321">
        <v>19428.3</v>
      </c>
      <c r="D469" s="210">
        <f t="shared" si="7"/>
        <v>3.2169567074835648E-4</v>
      </c>
    </row>
    <row r="470" spans="2:4" ht="14" thickBot="1" x14ac:dyDescent="0.2">
      <c r="B470" s="312">
        <v>45148</v>
      </c>
      <c r="C470" s="321">
        <v>19543.099999999999</v>
      </c>
      <c r="D470" s="210">
        <f t="shared" si="7"/>
        <v>-5.8741960077981492E-3</v>
      </c>
    </row>
    <row r="471" spans="2:4" ht="14" thickBot="1" x14ac:dyDescent="0.2">
      <c r="B471" s="312">
        <v>45147</v>
      </c>
      <c r="C471" s="321">
        <v>19632.55</v>
      </c>
      <c r="D471" s="210">
        <f t="shared" si="7"/>
        <v>-4.5562089489139534E-3</v>
      </c>
    </row>
    <row r="472" spans="2:4" ht="14" thickBot="1" x14ac:dyDescent="0.2">
      <c r="B472" s="312">
        <v>45146</v>
      </c>
      <c r="C472" s="321">
        <v>19570.849999999999</v>
      </c>
      <c r="D472" s="209">
        <f t="shared" si="7"/>
        <v>3.152647943242215E-3</v>
      </c>
    </row>
    <row r="473" spans="2:4" ht="14" thickBot="1" x14ac:dyDescent="0.2">
      <c r="B473" s="312">
        <v>45145</v>
      </c>
      <c r="C473" s="321">
        <v>19597.3</v>
      </c>
      <c r="D473" s="210">
        <f t="shared" si="7"/>
        <v>-1.3496757206350463E-3</v>
      </c>
    </row>
    <row r="474" spans="2:4" ht="14" thickBot="1" x14ac:dyDescent="0.2">
      <c r="B474" s="312">
        <v>45142</v>
      </c>
      <c r="C474" s="321">
        <v>19517</v>
      </c>
      <c r="D474" s="210">
        <f t="shared" si="7"/>
        <v>4.1143618383971958E-3</v>
      </c>
    </row>
    <row r="475" spans="2:4" ht="14" thickBot="1" x14ac:dyDescent="0.2">
      <c r="B475" s="312">
        <v>45141</v>
      </c>
      <c r="C475" s="321">
        <v>19381.650000000001</v>
      </c>
      <c r="D475" s="209">
        <f t="shared" si="7"/>
        <v>6.983409565233023E-3</v>
      </c>
    </row>
    <row r="476" spans="2:4" ht="14" thickBot="1" x14ac:dyDescent="0.2">
      <c r="B476" s="312">
        <v>45140</v>
      </c>
      <c r="C476" s="321">
        <v>19526.55</v>
      </c>
      <c r="D476" s="209">
        <f t="shared" si="7"/>
        <v>-7.4206657089961325E-3</v>
      </c>
    </row>
    <row r="477" spans="2:4" ht="14" thickBot="1" x14ac:dyDescent="0.2">
      <c r="B477" s="312">
        <v>45139</v>
      </c>
      <c r="C477" s="321">
        <v>19733.55</v>
      </c>
      <c r="D477" s="210">
        <f t="shared" si="7"/>
        <v>-1.0489749690248296E-2</v>
      </c>
    </row>
    <row r="478" spans="2:4" ht="14" thickBot="1" x14ac:dyDescent="0.2">
      <c r="B478" s="312">
        <v>45138</v>
      </c>
      <c r="C478" s="321">
        <v>19753.8</v>
      </c>
      <c r="D478" s="210">
        <f t="shared" si="7"/>
        <v>-1.0251192175683155E-3</v>
      </c>
    </row>
    <row r="479" spans="2:4" ht="14" thickBot="1" x14ac:dyDescent="0.2">
      <c r="B479" s="312">
        <v>45135</v>
      </c>
      <c r="C479" s="321">
        <v>19646.05</v>
      </c>
      <c r="D479" s="210">
        <f t="shared" si="7"/>
        <v>5.4845630546598301E-3</v>
      </c>
    </row>
    <row r="480" spans="2:4" ht="14" thickBot="1" x14ac:dyDescent="0.2">
      <c r="B480" s="312">
        <v>45134</v>
      </c>
      <c r="C480" s="321">
        <v>19659.900000000001</v>
      </c>
      <c r="D480" s="210">
        <f t="shared" si="7"/>
        <v>-7.044796769059003E-4</v>
      </c>
    </row>
    <row r="481" spans="2:4" ht="14" thickBot="1" x14ac:dyDescent="0.2">
      <c r="B481" s="312">
        <v>45133</v>
      </c>
      <c r="C481" s="321">
        <v>19778.3</v>
      </c>
      <c r="D481" s="210">
        <f t="shared" si="7"/>
        <v>-5.9863587871554769E-3</v>
      </c>
    </row>
    <row r="482" spans="2:4" ht="14" thickBot="1" x14ac:dyDescent="0.2">
      <c r="B482" s="312">
        <v>45132</v>
      </c>
      <c r="C482" s="321">
        <v>19680.599999999999</v>
      </c>
      <c r="D482" s="210">
        <f t="shared" si="7"/>
        <v>4.9642795443227694E-3</v>
      </c>
    </row>
    <row r="483" spans="2:4" ht="14" thickBot="1" x14ac:dyDescent="0.2">
      <c r="B483" s="312">
        <v>45131</v>
      </c>
      <c r="C483" s="321">
        <v>19672.349999999999</v>
      </c>
      <c r="D483" s="209">
        <f t="shared" si="7"/>
        <v>4.1937033450500927E-4</v>
      </c>
    </row>
    <row r="484" spans="2:4" ht="14" thickBot="1" x14ac:dyDescent="0.2">
      <c r="B484" s="312">
        <v>45128</v>
      </c>
      <c r="C484" s="321">
        <v>19745</v>
      </c>
      <c r="D484" s="210">
        <f t="shared" si="7"/>
        <v>-3.679412509496105E-3</v>
      </c>
    </row>
    <row r="485" spans="2:4" ht="14" thickBot="1" x14ac:dyDescent="0.2">
      <c r="B485" s="312">
        <v>45127</v>
      </c>
      <c r="C485" s="321">
        <v>19979.150000000001</v>
      </c>
      <c r="D485" s="210">
        <f t="shared" si="7"/>
        <v>-1.1719717805812602E-2</v>
      </c>
    </row>
    <row r="486" spans="2:4" ht="14" thickBot="1" x14ac:dyDescent="0.2">
      <c r="B486" s="312">
        <v>45126</v>
      </c>
      <c r="C486" s="321">
        <v>19833.150000000001</v>
      </c>
      <c r="D486" s="210">
        <f t="shared" si="7"/>
        <v>7.3614125844860823E-3</v>
      </c>
    </row>
    <row r="487" spans="2:4" ht="14" thickBot="1" x14ac:dyDescent="0.2">
      <c r="B487" s="312">
        <v>45125</v>
      </c>
      <c r="C487" s="321">
        <v>19749.25</v>
      </c>
      <c r="D487" s="209">
        <f t="shared" si="7"/>
        <v>4.248262592250418E-3</v>
      </c>
    </row>
    <row r="488" spans="2:4" ht="14" thickBot="1" x14ac:dyDescent="0.2">
      <c r="B488" s="312">
        <v>45124</v>
      </c>
      <c r="C488" s="321">
        <v>19711.45</v>
      </c>
      <c r="D488" s="210">
        <f t="shared" si="7"/>
        <v>1.9176671427012515E-3</v>
      </c>
    </row>
    <row r="489" spans="2:4" ht="14" thickBot="1" x14ac:dyDescent="0.2">
      <c r="B489" s="312">
        <v>45121</v>
      </c>
      <c r="C489" s="321">
        <v>19564.5</v>
      </c>
      <c r="D489" s="209">
        <f t="shared" si="7"/>
        <v>7.5110531830611116E-3</v>
      </c>
    </row>
    <row r="490" spans="2:4" ht="14" thickBot="1" x14ac:dyDescent="0.2">
      <c r="B490" s="312">
        <v>45120</v>
      </c>
      <c r="C490" s="321">
        <v>19413.75</v>
      </c>
      <c r="D490" s="210">
        <f t="shared" si="7"/>
        <v>7.7651149314275081E-3</v>
      </c>
    </row>
    <row r="491" spans="2:4" ht="14" thickBot="1" x14ac:dyDescent="0.2">
      <c r="B491" s="312">
        <v>45119</v>
      </c>
      <c r="C491" s="321">
        <v>19384.3</v>
      </c>
      <c r="D491" s="210">
        <f t="shared" si="7"/>
        <v>1.5192707500399916E-3</v>
      </c>
    </row>
    <row r="492" spans="2:4" ht="14" thickBot="1" x14ac:dyDescent="0.2">
      <c r="B492" s="312">
        <v>45118</v>
      </c>
      <c r="C492" s="321">
        <v>19439.400000000001</v>
      </c>
      <c r="D492" s="209">
        <f t="shared" si="7"/>
        <v>-2.8344496229308902E-3</v>
      </c>
    </row>
    <row r="493" spans="2:4" ht="14" thickBot="1" x14ac:dyDescent="0.2">
      <c r="B493" s="312">
        <v>45117</v>
      </c>
      <c r="C493" s="321">
        <v>19355.900000000001</v>
      </c>
      <c r="D493" s="209">
        <f t="shared" si="7"/>
        <v>4.3139301194985435E-3</v>
      </c>
    </row>
    <row r="494" spans="2:4" ht="14" thickBot="1" x14ac:dyDescent="0.2">
      <c r="B494" s="312">
        <v>45114</v>
      </c>
      <c r="C494" s="321">
        <v>19331.8</v>
      </c>
      <c r="D494" s="210">
        <f t="shared" si="7"/>
        <v>1.2466505964268126E-3</v>
      </c>
    </row>
    <row r="495" spans="2:4" ht="14" thickBot="1" x14ac:dyDescent="0.2">
      <c r="B495" s="312">
        <v>45113</v>
      </c>
      <c r="C495" s="321">
        <v>19497.3</v>
      </c>
      <c r="D495" s="210">
        <f t="shared" si="7"/>
        <v>-8.4883547978438223E-3</v>
      </c>
    </row>
    <row r="496" spans="2:4" ht="14" thickBot="1" x14ac:dyDescent="0.2">
      <c r="B496" s="312">
        <v>45112</v>
      </c>
      <c r="C496" s="321">
        <v>19398.5</v>
      </c>
      <c r="D496" s="210">
        <f t="shared" si="7"/>
        <v>5.0931773075237885E-3</v>
      </c>
    </row>
    <row r="497" spans="2:4" ht="14" thickBot="1" x14ac:dyDescent="0.2">
      <c r="B497" s="312">
        <v>45111</v>
      </c>
      <c r="C497" s="321">
        <v>19389</v>
      </c>
      <c r="D497" s="210">
        <f t="shared" si="7"/>
        <v>4.8996853886218439E-4</v>
      </c>
    </row>
    <row r="498" spans="2:4" ht="14" thickBot="1" x14ac:dyDescent="0.2">
      <c r="B498" s="312">
        <v>45110</v>
      </c>
      <c r="C498" s="321">
        <v>19322.55</v>
      </c>
      <c r="D498" s="210">
        <f t="shared" si="7"/>
        <v>3.4389870902133968E-3</v>
      </c>
    </row>
    <row r="499" spans="2:4" ht="14" thickBot="1" x14ac:dyDescent="0.2">
      <c r="B499" s="312">
        <v>45107</v>
      </c>
      <c r="C499" s="321">
        <v>19189.05</v>
      </c>
      <c r="D499" s="209">
        <f t="shared" si="7"/>
        <v>6.9570927169402275E-3</v>
      </c>
    </row>
    <row r="500" spans="2:4" ht="14" thickBot="1" x14ac:dyDescent="0.2">
      <c r="B500" s="312">
        <v>45105</v>
      </c>
      <c r="C500" s="321">
        <v>18972.099999999999</v>
      </c>
      <c r="D500" s="210">
        <f t="shared" si="7"/>
        <v>1.1435212759789426E-2</v>
      </c>
    </row>
    <row r="501" spans="2:4" ht="14" thickBot="1" x14ac:dyDescent="0.2">
      <c r="B501" s="312">
        <v>45104</v>
      </c>
      <c r="C501" s="321">
        <v>18817.400000000001</v>
      </c>
      <c r="D501" s="210">
        <f t="shared" si="7"/>
        <v>8.2211145004089659E-3</v>
      </c>
    </row>
    <row r="502" spans="2:4" ht="14" thickBot="1" x14ac:dyDescent="0.2">
      <c r="B502" s="312">
        <v>45103</v>
      </c>
      <c r="C502" s="321">
        <v>18691.2</v>
      </c>
      <c r="D502" s="210">
        <f t="shared" si="7"/>
        <v>6.7518404382811426E-3</v>
      </c>
    </row>
    <row r="503" spans="2:4" ht="14" thickBot="1" x14ac:dyDescent="0.2">
      <c r="B503" s="312">
        <v>45100</v>
      </c>
      <c r="C503" s="321">
        <v>18665.5</v>
      </c>
      <c r="D503" s="209">
        <f t="shared" si="7"/>
        <v>1.3768717687712151E-3</v>
      </c>
    </row>
    <row r="504" spans="2:4" ht="14" thickBot="1" x14ac:dyDescent="0.2">
      <c r="B504" s="312">
        <v>45099</v>
      </c>
      <c r="C504" s="321">
        <v>18771.25</v>
      </c>
      <c r="D504" s="209">
        <f t="shared" si="7"/>
        <v>-5.6336152360657588E-3</v>
      </c>
    </row>
    <row r="505" spans="2:4" ht="14" thickBot="1" x14ac:dyDescent="0.2">
      <c r="B505" s="312">
        <v>45098</v>
      </c>
      <c r="C505" s="321">
        <v>18856.849999999999</v>
      </c>
      <c r="D505" s="210">
        <f t="shared" si="7"/>
        <v>-4.5394644386521632E-3</v>
      </c>
    </row>
    <row r="506" spans="2:4" ht="14" thickBot="1" x14ac:dyDescent="0.2">
      <c r="B506" s="312">
        <v>45097</v>
      </c>
      <c r="C506" s="321">
        <v>18816.7</v>
      </c>
      <c r="D506" s="209">
        <f t="shared" si="7"/>
        <v>2.1337428985952478E-3</v>
      </c>
    </row>
    <row r="507" spans="2:4" ht="14" thickBot="1" x14ac:dyDescent="0.2">
      <c r="B507" s="312">
        <v>45096</v>
      </c>
      <c r="C507" s="321">
        <v>18755.45</v>
      </c>
      <c r="D507" s="209">
        <f t="shared" si="7"/>
        <v>3.2657174314665305E-3</v>
      </c>
    </row>
    <row r="508" spans="2:4" ht="14" thickBot="1" x14ac:dyDescent="0.2">
      <c r="B508" s="312">
        <v>45093</v>
      </c>
      <c r="C508" s="321">
        <v>18826</v>
      </c>
      <c r="D508" s="209">
        <f t="shared" si="7"/>
        <v>-3.7474768936576197E-3</v>
      </c>
    </row>
    <row r="509" spans="2:4" ht="14" thickBot="1" x14ac:dyDescent="0.2">
      <c r="B509" s="312">
        <v>45092</v>
      </c>
      <c r="C509" s="321">
        <v>18688.099999999999</v>
      </c>
      <c r="D509" s="210">
        <f t="shared" si="7"/>
        <v>7.3790272954448177E-3</v>
      </c>
    </row>
    <row r="510" spans="2:4" ht="14" thickBot="1" x14ac:dyDescent="0.2">
      <c r="B510" s="312">
        <v>45091</v>
      </c>
      <c r="C510" s="321">
        <v>18755.900000000001</v>
      </c>
      <c r="D510" s="210">
        <f t="shared" si="7"/>
        <v>-3.6148625232594878E-3</v>
      </c>
    </row>
    <row r="511" spans="2:4" ht="14" thickBot="1" x14ac:dyDescent="0.2">
      <c r="B511" s="312">
        <v>45090</v>
      </c>
      <c r="C511" s="321">
        <v>18716.150000000001</v>
      </c>
      <c r="D511" s="210">
        <f t="shared" si="7"/>
        <v>2.123834228727528E-3</v>
      </c>
    </row>
    <row r="512" spans="2:4" ht="14" thickBot="1" x14ac:dyDescent="0.2">
      <c r="B512" s="312">
        <v>45089</v>
      </c>
      <c r="C512" s="321">
        <v>18601.5</v>
      </c>
      <c r="D512" s="209">
        <f t="shared" si="7"/>
        <v>6.1634814396689386E-3</v>
      </c>
    </row>
    <row r="513" spans="2:4" ht="14" thickBot="1" x14ac:dyDescent="0.2">
      <c r="B513" s="312">
        <v>45086</v>
      </c>
      <c r="C513" s="321">
        <v>18563.400000000001</v>
      </c>
      <c r="D513" s="210">
        <f t="shared" si="7"/>
        <v>2.0524257409741953E-3</v>
      </c>
    </row>
    <row r="514" spans="2:4" ht="14" thickBot="1" x14ac:dyDescent="0.2">
      <c r="B514" s="312">
        <v>45085</v>
      </c>
      <c r="C514" s="321">
        <v>18634.55</v>
      </c>
      <c r="D514" s="209">
        <f t="shared" si="7"/>
        <v>-3.8181764518058214E-3</v>
      </c>
    </row>
    <row r="515" spans="2:4" ht="14" thickBot="1" x14ac:dyDescent="0.2">
      <c r="B515" s="312">
        <v>45084</v>
      </c>
      <c r="C515" s="321">
        <v>18726.400000000001</v>
      </c>
      <c r="D515" s="209">
        <f t="shared" si="7"/>
        <v>-4.9048402255640333E-3</v>
      </c>
    </row>
    <row r="516" spans="2:4" ht="14" thickBot="1" x14ac:dyDescent="0.2">
      <c r="B516" s="312">
        <v>45083</v>
      </c>
      <c r="C516" s="321">
        <v>18599</v>
      </c>
      <c r="D516" s="210">
        <f t="shared" si="7"/>
        <v>6.8498306360558203E-3</v>
      </c>
    </row>
    <row r="517" spans="2:4" ht="14" thickBot="1" x14ac:dyDescent="0.2">
      <c r="B517" s="312">
        <v>45082</v>
      </c>
      <c r="C517" s="321">
        <v>18593.849999999999</v>
      </c>
      <c r="D517" s="209">
        <f t="shared" si="7"/>
        <v>2.7697330031184464E-4</v>
      </c>
    </row>
    <row r="518" spans="2:4" ht="14" thickBot="1" x14ac:dyDescent="0.2">
      <c r="B518" s="312">
        <v>45079</v>
      </c>
      <c r="C518" s="321">
        <v>18534.099999999999</v>
      </c>
      <c r="D518" s="209">
        <f t="shared" si="7"/>
        <v>3.223787505193032E-3</v>
      </c>
    </row>
    <row r="519" spans="2:4" ht="14" thickBot="1" x14ac:dyDescent="0.2">
      <c r="B519" s="312">
        <v>45078</v>
      </c>
      <c r="C519" s="321">
        <v>18487.75</v>
      </c>
      <c r="D519" s="209">
        <f t="shared" si="7"/>
        <v>2.507065489310456E-3</v>
      </c>
    </row>
    <row r="520" spans="2:4" ht="14" thickBot="1" x14ac:dyDescent="0.2">
      <c r="B520" s="312">
        <v>45077</v>
      </c>
      <c r="C520" s="321">
        <v>18534.400000000001</v>
      </c>
      <c r="D520" s="209">
        <f t="shared" si="7"/>
        <v>-2.5169414709945714E-3</v>
      </c>
    </row>
    <row r="521" spans="2:4" ht="14" thickBot="1" x14ac:dyDescent="0.2">
      <c r="B521" s="312">
        <v>45076</v>
      </c>
      <c r="C521" s="321">
        <v>18633.849999999999</v>
      </c>
      <c r="D521" s="209">
        <f t="shared" si="7"/>
        <v>-5.3370613158310043E-3</v>
      </c>
    </row>
    <row r="522" spans="2:4" ht="14" thickBot="1" x14ac:dyDescent="0.2">
      <c r="B522" s="312">
        <v>45075</v>
      </c>
      <c r="C522" s="321">
        <v>18598.650000000001</v>
      </c>
      <c r="D522" s="210">
        <f t="shared" si="7"/>
        <v>1.8926104851695325E-3</v>
      </c>
    </row>
    <row r="523" spans="2:4" ht="14" thickBot="1" x14ac:dyDescent="0.2">
      <c r="B523" s="312">
        <v>45072</v>
      </c>
      <c r="C523" s="321">
        <v>18499.349999999999</v>
      </c>
      <c r="D523" s="210">
        <f t="shared" ref="D523:D586" si="8">C522/C523-1</f>
        <v>5.3677561644058791E-3</v>
      </c>
    </row>
    <row r="524" spans="2:4" ht="14" thickBot="1" x14ac:dyDescent="0.2">
      <c r="B524" s="312">
        <v>45071</v>
      </c>
      <c r="C524" s="321">
        <v>18321.150000000001</v>
      </c>
      <c r="D524" s="210">
        <f t="shared" si="8"/>
        <v>9.7264636772254054E-3</v>
      </c>
    </row>
    <row r="525" spans="2:4" ht="14" thickBot="1" x14ac:dyDescent="0.2">
      <c r="B525" s="312">
        <v>45070</v>
      </c>
      <c r="C525" s="321">
        <v>18285.400000000001</v>
      </c>
      <c r="D525" s="210">
        <f t="shared" si="8"/>
        <v>1.955111728482839E-3</v>
      </c>
    </row>
    <row r="526" spans="2:4" ht="14" thickBot="1" x14ac:dyDescent="0.2">
      <c r="B526" s="312">
        <v>45069</v>
      </c>
      <c r="C526" s="321">
        <v>18348</v>
      </c>
      <c r="D526" s="209">
        <f t="shared" si="8"/>
        <v>-3.4118160017440058E-3</v>
      </c>
    </row>
    <row r="527" spans="2:4" ht="14" thickBot="1" x14ac:dyDescent="0.2">
      <c r="B527" s="312">
        <v>45068</v>
      </c>
      <c r="C527" s="321">
        <v>18314.400000000001</v>
      </c>
      <c r="D527" s="209">
        <f t="shared" si="8"/>
        <v>1.834621936836589E-3</v>
      </c>
    </row>
    <row r="528" spans="2:4" ht="14" thickBot="1" x14ac:dyDescent="0.2">
      <c r="B528" s="312">
        <v>45065</v>
      </c>
      <c r="C528" s="321">
        <v>18203.400000000001</v>
      </c>
      <c r="D528" s="210">
        <f t="shared" si="8"/>
        <v>6.0977619565576457E-3</v>
      </c>
    </row>
    <row r="529" spans="2:4" ht="14" thickBot="1" x14ac:dyDescent="0.2">
      <c r="B529" s="312">
        <v>45064</v>
      </c>
      <c r="C529" s="321">
        <v>18129.95</v>
      </c>
      <c r="D529" s="210">
        <f t="shared" si="8"/>
        <v>4.0513073670915833E-3</v>
      </c>
    </row>
    <row r="530" spans="2:4" ht="14" thickBot="1" x14ac:dyDescent="0.2">
      <c r="B530" s="312">
        <v>45063</v>
      </c>
      <c r="C530" s="321">
        <v>18181.75</v>
      </c>
      <c r="D530" s="210">
        <f t="shared" si="8"/>
        <v>-2.8490106837900653E-3</v>
      </c>
    </row>
    <row r="531" spans="2:4" ht="14" thickBot="1" x14ac:dyDescent="0.2">
      <c r="B531" s="312">
        <v>45062</v>
      </c>
      <c r="C531" s="321">
        <v>18286.5</v>
      </c>
      <c r="D531" s="210">
        <f t="shared" si="8"/>
        <v>-5.7282694884204233E-3</v>
      </c>
    </row>
    <row r="532" spans="2:4" ht="14" thickBot="1" x14ac:dyDescent="0.2">
      <c r="B532" s="312">
        <v>45061</v>
      </c>
      <c r="C532" s="321">
        <v>18398.849999999999</v>
      </c>
      <c r="D532" s="210">
        <f t="shared" si="8"/>
        <v>-6.1063599083637232E-3</v>
      </c>
    </row>
    <row r="533" spans="2:4" ht="14" thickBot="1" x14ac:dyDescent="0.2">
      <c r="B533" s="312">
        <v>45058</v>
      </c>
      <c r="C533" s="321">
        <v>18314.8</v>
      </c>
      <c r="D533" s="210">
        <f t="shared" si="8"/>
        <v>4.5891847030816724E-3</v>
      </c>
    </row>
    <row r="534" spans="2:4" ht="14" thickBot="1" x14ac:dyDescent="0.2">
      <c r="B534" s="312">
        <v>45057</v>
      </c>
      <c r="C534" s="321">
        <v>18297</v>
      </c>
      <c r="D534" s="210">
        <f t="shared" si="8"/>
        <v>9.7283707711648404E-4</v>
      </c>
    </row>
    <row r="535" spans="2:4" ht="14" thickBot="1" x14ac:dyDescent="0.2">
      <c r="B535" s="312">
        <v>45056</v>
      </c>
      <c r="C535" s="321">
        <v>18315.099999999999</v>
      </c>
      <c r="D535" s="209">
        <f t="shared" si="8"/>
        <v>-9.8825559238002736E-4</v>
      </c>
    </row>
    <row r="536" spans="2:4" ht="14" thickBot="1" x14ac:dyDescent="0.2">
      <c r="B536" s="312">
        <v>45055</v>
      </c>
      <c r="C536" s="321">
        <v>18265.95</v>
      </c>
      <c r="D536" s="210">
        <f t="shared" si="8"/>
        <v>2.6907990003255389E-3</v>
      </c>
    </row>
    <row r="537" spans="2:4" ht="14" thickBot="1" x14ac:dyDescent="0.2">
      <c r="B537" s="312">
        <v>45054</v>
      </c>
      <c r="C537" s="321">
        <v>18264.400000000001</v>
      </c>
      <c r="D537" s="210">
        <f t="shared" si="8"/>
        <v>8.4864545235596722E-5</v>
      </c>
    </row>
    <row r="538" spans="2:4" ht="14" thickBot="1" x14ac:dyDescent="0.2">
      <c r="B538" s="312">
        <v>45051</v>
      </c>
      <c r="C538" s="321">
        <v>18069</v>
      </c>
      <c r="D538" s="209">
        <f t="shared" si="8"/>
        <v>1.0814101499806439E-2</v>
      </c>
    </row>
    <row r="539" spans="2:4" ht="14" thickBot="1" x14ac:dyDescent="0.2">
      <c r="B539" s="312">
        <v>45050</v>
      </c>
      <c r="C539" s="321">
        <v>18255.8</v>
      </c>
      <c r="D539" s="209">
        <f t="shared" si="8"/>
        <v>-1.0232364508813596E-2</v>
      </c>
    </row>
    <row r="540" spans="2:4" ht="14" thickBot="1" x14ac:dyDescent="0.2">
      <c r="B540" s="312">
        <v>45049</v>
      </c>
      <c r="C540" s="321">
        <v>18089.849999999999</v>
      </c>
      <c r="D540" s="209">
        <f t="shared" si="8"/>
        <v>9.1736526284076358E-3</v>
      </c>
    </row>
    <row r="541" spans="2:4" ht="14" thickBot="1" x14ac:dyDescent="0.2">
      <c r="B541" s="312">
        <v>45048</v>
      </c>
      <c r="C541" s="321">
        <v>18147.650000000001</v>
      </c>
      <c r="D541" s="210">
        <f t="shared" si="8"/>
        <v>-3.1849853837826458E-3</v>
      </c>
    </row>
    <row r="542" spans="2:4" ht="14" thickBot="1" x14ac:dyDescent="0.2">
      <c r="B542" s="312">
        <v>45044</v>
      </c>
      <c r="C542" s="321">
        <v>18065</v>
      </c>
      <c r="D542" s="210">
        <f t="shared" si="8"/>
        <v>4.5751453086078087E-3</v>
      </c>
    </row>
    <row r="543" spans="2:4" ht="14" thickBot="1" x14ac:dyDescent="0.2">
      <c r="B543" s="312">
        <v>45043</v>
      </c>
      <c r="C543" s="321">
        <v>17915.05</v>
      </c>
      <c r="D543" s="210">
        <f t="shared" si="8"/>
        <v>8.3700575772884811E-3</v>
      </c>
    </row>
    <row r="544" spans="2:4" ht="14" thickBot="1" x14ac:dyDescent="0.2">
      <c r="B544" s="312">
        <v>45042</v>
      </c>
      <c r="C544" s="321">
        <v>17813.599999999999</v>
      </c>
      <c r="D544" s="209">
        <f t="shared" si="8"/>
        <v>5.6950868998968396E-3</v>
      </c>
    </row>
    <row r="545" spans="2:4" ht="14" thickBot="1" x14ac:dyDescent="0.2">
      <c r="B545" s="312">
        <v>45041</v>
      </c>
      <c r="C545" s="321">
        <v>17769.25</v>
      </c>
      <c r="D545" s="209">
        <f t="shared" si="8"/>
        <v>2.4958847447134058E-3</v>
      </c>
    </row>
    <row r="546" spans="2:4" ht="14" thickBot="1" x14ac:dyDescent="0.2">
      <c r="B546" s="312">
        <v>45040</v>
      </c>
      <c r="C546" s="321">
        <v>17743.400000000001</v>
      </c>
      <c r="D546" s="209">
        <f t="shared" si="8"/>
        <v>1.4568797411995682E-3</v>
      </c>
    </row>
    <row r="547" spans="2:4" ht="14" thickBot="1" x14ac:dyDescent="0.2">
      <c r="B547" s="312">
        <v>45037</v>
      </c>
      <c r="C547" s="321">
        <v>17624.05</v>
      </c>
      <c r="D547" s="210">
        <f t="shared" si="8"/>
        <v>6.7719962210730511E-3</v>
      </c>
    </row>
    <row r="548" spans="2:4" ht="14" thickBot="1" x14ac:dyDescent="0.2">
      <c r="B548" s="312">
        <v>45036</v>
      </c>
      <c r="C548" s="321">
        <v>17624.45</v>
      </c>
      <c r="D548" s="210">
        <f t="shared" si="8"/>
        <v>-2.2695743697065396E-5</v>
      </c>
    </row>
    <row r="549" spans="2:4" ht="14" thickBot="1" x14ac:dyDescent="0.2">
      <c r="B549" s="312">
        <v>45035</v>
      </c>
      <c r="C549" s="321">
        <v>17618.75</v>
      </c>
      <c r="D549" s="209">
        <f t="shared" si="8"/>
        <v>3.2351897836124799E-4</v>
      </c>
    </row>
    <row r="550" spans="2:4" ht="14" thickBot="1" x14ac:dyDescent="0.2">
      <c r="B550" s="312">
        <v>45034</v>
      </c>
      <c r="C550" s="321">
        <v>17660.150000000001</v>
      </c>
      <c r="D550" s="210">
        <f t="shared" si="8"/>
        <v>-2.3442609490860189E-3</v>
      </c>
    </row>
    <row r="551" spans="2:4" ht="14" thickBot="1" x14ac:dyDescent="0.2">
      <c r="B551" s="312">
        <v>45033</v>
      </c>
      <c r="C551" s="321">
        <v>17706.849999999999</v>
      </c>
      <c r="D551" s="210">
        <f t="shared" si="8"/>
        <v>-2.6373973914048943E-3</v>
      </c>
    </row>
    <row r="552" spans="2:4" ht="14" thickBot="1" x14ac:dyDescent="0.2">
      <c r="B552" s="312">
        <v>45029</v>
      </c>
      <c r="C552" s="321">
        <v>17828</v>
      </c>
      <c r="D552" s="210">
        <f t="shared" si="8"/>
        <v>-6.7954902400718664E-3</v>
      </c>
    </row>
    <row r="553" spans="2:4" ht="14" thickBot="1" x14ac:dyDescent="0.2">
      <c r="B553" s="312">
        <v>45028</v>
      </c>
      <c r="C553" s="321">
        <v>17812.400000000001</v>
      </c>
      <c r="D553" s="210">
        <f t="shared" si="8"/>
        <v>8.7579439042451135E-4</v>
      </c>
    </row>
    <row r="554" spans="2:4" ht="14" thickBot="1" x14ac:dyDescent="0.2">
      <c r="B554" s="312">
        <v>45027</v>
      </c>
      <c r="C554" s="321">
        <v>17722.3</v>
      </c>
      <c r="D554" s="210">
        <f t="shared" si="8"/>
        <v>5.083990227002344E-3</v>
      </c>
    </row>
    <row r="555" spans="2:4" ht="14" thickBot="1" x14ac:dyDescent="0.2">
      <c r="B555" s="312">
        <v>45026</v>
      </c>
      <c r="C555" s="321">
        <v>17624.05</v>
      </c>
      <c r="D555" s="209">
        <f t="shared" si="8"/>
        <v>5.5747685690858972E-3</v>
      </c>
    </row>
    <row r="556" spans="2:4" ht="14" thickBot="1" x14ac:dyDescent="0.2">
      <c r="B556" s="312">
        <v>45022</v>
      </c>
      <c r="C556" s="321">
        <v>17599.150000000001</v>
      </c>
      <c r="D556" s="210">
        <f t="shared" si="8"/>
        <v>1.4148410576646508E-3</v>
      </c>
    </row>
    <row r="557" spans="2:4" ht="14" thickBot="1" x14ac:dyDescent="0.2">
      <c r="B557" s="312">
        <v>45021</v>
      </c>
      <c r="C557" s="321">
        <v>17557.05</v>
      </c>
      <c r="D557" s="209">
        <f t="shared" si="8"/>
        <v>2.3978971410345551E-3</v>
      </c>
    </row>
    <row r="558" spans="2:4" ht="14" thickBot="1" x14ac:dyDescent="0.2">
      <c r="B558" s="312">
        <v>45019</v>
      </c>
      <c r="C558" s="321">
        <v>17398.05</v>
      </c>
      <c r="D558" s="209">
        <f t="shared" si="8"/>
        <v>9.1389552277409969E-3</v>
      </c>
    </row>
    <row r="559" spans="2:4" ht="14" thickBot="1" x14ac:dyDescent="0.2">
      <c r="B559" s="312">
        <v>45016</v>
      </c>
      <c r="C559" s="321">
        <v>17359.75</v>
      </c>
      <c r="D559" s="209">
        <f t="shared" si="8"/>
        <v>2.2062529702329137E-3</v>
      </c>
    </row>
    <row r="560" spans="2:4" ht="14" thickBot="1" x14ac:dyDescent="0.2">
      <c r="B560" s="312">
        <v>45014</v>
      </c>
      <c r="C560" s="321">
        <v>17080.7</v>
      </c>
      <c r="D560" s="209">
        <f t="shared" si="8"/>
        <v>1.6337152458622883E-2</v>
      </c>
    </row>
    <row r="561" spans="2:4" ht="14" thickBot="1" x14ac:dyDescent="0.2">
      <c r="B561" s="312">
        <v>45013</v>
      </c>
      <c r="C561" s="321">
        <v>16951.7</v>
      </c>
      <c r="D561" s="209">
        <f t="shared" si="8"/>
        <v>7.6098562386073265E-3</v>
      </c>
    </row>
    <row r="562" spans="2:4" ht="14" thickBot="1" x14ac:dyDescent="0.2">
      <c r="B562" s="312">
        <v>45012</v>
      </c>
      <c r="C562" s="321">
        <v>16985.7</v>
      </c>
      <c r="D562" s="210">
        <f t="shared" si="8"/>
        <v>-2.0016837692883316E-3</v>
      </c>
    </row>
    <row r="563" spans="2:4" ht="14" thickBot="1" x14ac:dyDescent="0.2">
      <c r="B563" s="312">
        <v>45009</v>
      </c>
      <c r="C563" s="321">
        <v>16945.05</v>
      </c>
      <c r="D563" s="209">
        <f t="shared" si="8"/>
        <v>2.3989306611666983E-3</v>
      </c>
    </row>
    <row r="564" spans="2:4" ht="14" thickBot="1" x14ac:dyDescent="0.2">
      <c r="B564" s="312">
        <v>45008</v>
      </c>
      <c r="C564" s="321">
        <v>17076.900000000001</v>
      </c>
      <c r="D564" s="209">
        <f t="shared" si="8"/>
        <v>-7.7209563796709624E-3</v>
      </c>
    </row>
    <row r="565" spans="2:4" ht="14" thickBot="1" x14ac:dyDescent="0.2">
      <c r="B565" s="312">
        <v>45007</v>
      </c>
      <c r="C565" s="321">
        <v>17151.900000000001</v>
      </c>
      <c r="D565" s="209">
        <f t="shared" si="8"/>
        <v>-4.3726934042292998E-3</v>
      </c>
    </row>
    <row r="566" spans="2:4" ht="14" thickBot="1" x14ac:dyDescent="0.2">
      <c r="B566" s="312">
        <v>45006</v>
      </c>
      <c r="C566" s="321">
        <v>17107.5</v>
      </c>
      <c r="D566" s="209">
        <f t="shared" si="8"/>
        <v>2.5953529153881494E-3</v>
      </c>
    </row>
    <row r="567" spans="2:4" ht="14" thickBot="1" x14ac:dyDescent="0.2">
      <c r="B567" s="312">
        <v>45005</v>
      </c>
      <c r="C567" s="321">
        <v>16988.400000000001</v>
      </c>
      <c r="D567" s="210">
        <f t="shared" si="8"/>
        <v>7.0106661015751914E-3</v>
      </c>
    </row>
    <row r="568" spans="2:4" ht="14" thickBot="1" x14ac:dyDescent="0.2">
      <c r="B568" s="312">
        <v>45002</v>
      </c>
      <c r="C568" s="321">
        <v>17100.05</v>
      </c>
      <c r="D568" s="210">
        <f t="shared" si="8"/>
        <v>-6.5292206747932235E-3</v>
      </c>
    </row>
    <row r="569" spans="2:4" ht="14" thickBot="1" x14ac:dyDescent="0.2">
      <c r="B569" s="312">
        <v>45001</v>
      </c>
      <c r="C569" s="321">
        <v>16985.599999999999</v>
      </c>
      <c r="D569" s="209">
        <f t="shared" si="8"/>
        <v>6.7380604747551143E-3</v>
      </c>
    </row>
    <row r="570" spans="2:4" ht="14" thickBot="1" x14ac:dyDescent="0.2">
      <c r="B570" s="312">
        <v>45000</v>
      </c>
      <c r="C570" s="321">
        <v>16972.150000000001</v>
      </c>
      <c r="D570" s="209">
        <f t="shared" si="8"/>
        <v>7.9247473066157426E-4</v>
      </c>
    </row>
    <row r="571" spans="2:4" ht="14" thickBot="1" x14ac:dyDescent="0.2">
      <c r="B571" s="312">
        <v>44999</v>
      </c>
      <c r="C571" s="321">
        <v>17043.3</v>
      </c>
      <c r="D571" s="210">
        <f t="shared" si="8"/>
        <v>-4.1746610104849147E-3</v>
      </c>
    </row>
    <row r="572" spans="2:4" ht="14" thickBot="1" x14ac:dyDescent="0.2">
      <c r="B572" s="312">
        <v>44998</v>
      </c>
      <c r="C572" s="321">
        <v>17154.3</v>
      </c>
      <c r="D572" s="209">
        <f t="shared" si="8"/>
        <v>-6.4706808205522437E-3</v>
      </c>
    </row>
    <row r="573" spans="2:4" ht="14" thickBot="1" x14ac:dyDescent="0.2">
      <c r="B573" s="312">
        <v>44995</v>
      </c>
      <c r="C573" s="321">
        <v>17412.900000000001</v>
      </c>
      <c r="D573" s="209">
        <f t="shared" si="8"/>
        <v>-1.4851058697862074E-2</v>
      </c>
    </row>
    <row r="574" spans="2:4" ht="14" thickBot="1" x14ac:dyDescent="0.2">
      <c r="B574" s="312">
        <v>44994</v>
      </c>
      <c r="C574" s="321">
        <v>17589.599999999999</v>
      </c>
      <c r="D574" s="209">
        <f t="shared" si="8"/>
        <v>-1.0045708827943645E-2</v>
      </c>
    </row>
    <row r="575" spans="2:4" ht="14" thickBot="1" x14ac:dyDescent="0.2">
      <c r="B575" s="312">
        <v>44993</v>
      </c>
      <c r="C575" s="321">
        <v>17754.400000000001</v>
      </c>
      <c r="D575" s="210">
        <f t="shared" si="8"/>
        <v>-9.2822061010230383E-3</v>
      </c>
    </row>
    <row r="576" spans="2:4" ht="14" thickBot="1" x14ac:dyDescent="0.2">
      <c r="B576" s="312">
        <v>44991</v>
      </c>
      <c r="C576" s="321">
        <v>17711.45</v>
      </c>
      <c r="D576" s="210">
        <f t="shared" si="8"/>
        <v>2.4249849673516621E-3</v>
      </c>
    </row>
    <row r="577" spans="2:4" ht="14" thickBot="1" x14ac:dyDescent="0.2">
      <c r="B577" s="312">
        <v>44988</v>
      </c>
      <c r="C577" s="321">
        <v>17594.349999999999</v>
      </c>
      <c r="D577" s="209">
        <f t="shared" si="8"/>
        <v>6.6555456723325079E-3</v>
      </c>
    </row>
    <row r="578" spans="2:4" ht="14" thickBot="1" x14ac:dyDescent="0.2">
      <c r="B578" s="312">
        <v>44987</v>
      </c>
      <c r="C578" s="321">
        <v>17321.900000000001</v>
      </c>
      <c r="D578" s="210">
        <f t="shared" si="8"/>
        <v>1.5728644086387522E-2</v>
      </c>
    </row>
    <row r="579" spans="2:4" ht="14" thickBot="1" x14ac:dyDescent="0.2">
      <c r="B579" s="312">
        <v>44986</v>
      </c>
      <c r="C579" s="321">
        <v>17450.900000000001</v>
      </c>
      <c r="D579" s="210">
        <f t="shared" si="8"/>
        <v>-7.3921688852723877E-3</v>
      </c>
    </row>
    <row r="580" spans="2:4" ht="14" thickBot="1" x14ac:dyDescent="0.2">
      <c r="B580" s="312">
        <v>44985</v>
      </c>
      <c r="C580" s="321">
        <v>17303.95</v>
      </c>
      <c r="D580" s="210">
        <f t="shared" si="8"/>
        <v>8.4922806642413473E-3</v>
      </c>
    </row>
    <row r="581" spans="2:4" ht="14" thickBot="1" x14ac:dyDescent="0.2">
      <c r="B581" s="312">
        <v>44984</v>
      </c>
      <c r="C581" s="321">
        <v>17392.7</v>
      </c>
      <c r="D581" s="210">
        <f t="shared" si="8"/>
        <v>-5.1027155070805241E-3</v>
      </c>
    </row>
    <row r="582" spans="2:4" ht="14" thickBot="1" x14ac:dyDescent="0.2">
      <c r="B582" s="312">
        <v>44981</v>
      </c>
      <c r="C582" s="321">
        <v>17465.8</v>
      </c>
      <c r="D582" s="209">
        <f t="shared" si="8"/>
        <v>-4.1853221724741374E-3</v>
      </c>
    </row>
    <row r="583" spans="2:4" ht="14" thickBot="1" x14ac:dyDescent="0.2">
      <c r="B583" s="312">
        <v>44980</v>
      </c>
      <c r="C583" s="321">
        <v>17511.25</v>
      </c>
      <c r="D583" s="209">
        <f t="shared" si="8"/>
        <v>-2.5954743379256184E-3</v>
      </c>
    </row>
    <row r="584" spans="2:4" ht="14" thickBot="1" x14ac:dyDescent="0.2">
      <c r="B584" s="312">
        <v>44979</v>
      </c>
      <c r="C584" s="321">
        <v>17554.3</v>
      </c>
      <c r="D584" s="209">
        <f t="shared" si="8"/>
        <v>-2.4523905823643499E-3</v>
      </c>
    </row>
    <row r="585" spans="2:4" ht="14" thickBot="1" x14ac:dyDescent="0.2">
      <c r="B585" s="312">
        <v>44978</v>
      </c>
      <c r="C585" s="321">
        <v>17826.7</v>
      </c>
      <c r="D585" s="210">
        <f t="shared" si="8"/>
        <v>-1.528045011134993E-2</v>
      </c>
    </row>
    <row r="586" spans="2:4" ht="14" thickBot="1" x14ac:dyDescent="0.2">
      <c r="B586" s="312">
        <v>44977</v>
      </c>
      <c r="C586" s="321">
        <v>17844.599999999999</v>
      </c>
      <c r="D586" s="210">
        <f t="shared" si="8"/>
        <v>-1.0031045806573324E-3</v>
      </c>
    </row>
    <row r="587" spans="2:4" ht="14" thickBot="1" x14ac:dyDescent="0.2">
      <c r="B587" s="312">
        <v>44974</v>
      </c>
      <c r="C587" s="321">
        <v>17944.2</v>
      </c>
      <c r="D587" s="209">
        <f t="shared" ref="D587:D650" si="9">C586/C587-1</f>
        <v>-5.5505400073562194E-3</v>
      </c>
    </row>
    <row r="588" spans="2:4" ht="14" thickBot="1" x14ac:dyDescent="0.2">
      <c r="B588" s="312">
        <v>44973</v>
      </c>
      <c r="C588" s="321">
        <v>18035.849999999999</v>
      </c>
      <c r="D588" s="209">
        <f t="shared" si="9"/>
        <v>-5.0815459210404867E-3</v>
      </c>
    </row>
    <row r="589" spans="2:4" ht="14" thickBot="1" x14ac:dyDescent="0.2">
      <c r="B589" s="312">
        <v>44972</v>
      </c>
      <c r="C589" s="321">
        <v>18015.849999999999</v>
      </c>
      <c r="D589" s="210">
        <f t="shared" si="9"/>
        <v>1.1101335768226583E-3</v>
      </c>
    </row>
    <row r="590" spans="2:4" ht="14" thickBot="1" x14ac:dyDescent="0.2">
      <c r="B590" s="312">
        <v>44971</v>
      </c>
      <c r="C590" s="321">
        <v>17929.849999999999</v>
      </c>
      <c r="D590" s="209">
        <f t="shared" si="9"/>
        <v>4.7964706899388254E-3</v>
      </c>
    </row>
    <row r="591" spans="2:4" ht="14" thickBot="1" x14ac:dyDescent="0.2">
      <c r="B591" s="312">
        <v>44970</v>
      </c>
      <c r="C591" s="321">
        <v>17770.900000000001</v>
      </c>
      <c r="D591" s="210">
        <f t="shared" si="9"/>
        <v>8.9443978639234256E-3</v>
      </c>
    </row>
    <row r="592" spans="2:4" ht="14" thickBot="1" x14ac:dyDescent="0.2">
      <c r="B592" s="312">
        <v>44967</v>
      </c>
      <c r="C592" s="321">
        <v>17856.5</v>
      </c>
      <c r="D592" s="209">
        <f t="shared" si="9"/>
        <v>-4.7937725758125938E-3</v>
      </c>
    </row>
    <row r="593" spans="2:4" ht="14" thickBot="1" x14ac:dyDescent="0.2">
      <c r="B593" s="312">
        <v>44966</v>
      </c>
      <c r="C593" s="321">
        <v>17893.45</v>
      </c>
      <c r="D593" s="210">
        <f t="shared" si="9"/>
        <v>-2.0650014390740656E-3</v>
      </c>
    </row>
    <row r="594" spans="2:4" ht="14" thickBot="1" x14ac:dyDescent="0.2">
      <c r="B594" s="312">
        <v>44965</v>
      </c>
      <c r="C594" s="321">
        <v>17871.7</v>
      </c>
      <c r="D594" s="209">
        <f t="shared" si="9"/>
        <v>1.2170078951638796E-3</v>
      </c>
    </row>
    <row r="595" spans="2:4" ht="14" thickBot="1" x14ac:dyDescent="0.2">
      <c r="B595" s="312">
        <v>44964</v>
      </c>
      <c r="C595" s="321">
        <v>17721.5</v>
      </c>
      <c r="D595" s="210">
        <f t="shared" si="9"/>
        <v>8.475580509550662E-3</v>
      </c>
    </row>
    <row r="596" spans="2:4" ht="14" thickBot="1" x14ac:dyDescent="0.2">
      <c r="B596" s="312">
        <v>44963</v>
      </c>
      <c r="C596" s="321">
        <v>17764.599999999999</v>
      </c>
      <c r="D596" s="210">
        <f t="shared" si="9"/>
        <v>-2.4261734010334601E-3</v>
      </c>
    </row>
    <row r="597" spans="2:4" ht="14" thickBot="1" x14ac:dyDescent="0.2">
      <c r="B597" s="312">
        <v>44960</v>
      </c>
      <c r="C597" s="321">
        <v>17854.05</v>
      </c>
      <c r="D597" s="210">
        <f t="shared" si="9"/>
        <v>-5.0100677437332486E-3</v>
      </c>
    </row>
    <row r="598" spans="2:4" ht="14" thickBot="1" x14ac:dyDescent="0.2">
      <c r="B598" s="312">
        <v>44959</v>
      </c>
      <c r="C598" s="321">
        <v>17610.400000000001</v>
      </c>
      <c r="D598" s="210">
        <f t="shared" si="9"/>
        <v>1.3835574433289199E-2</v>
      </c>
    </row>
    <row r="599" spans="2:4" ht="14" thickBot="1" x14ac:dyDescent="0.2">
      <c r="B599" s="312">
        <v>44958</v>
      </c>
      <c r="C599" s="321">
        <v>17616.3</v>
      </c>
      <c r="D599" s="209">
        <f t="shared" si="9"/>
        <v>-3.3491709382771351E-4</v>
      </c>
    </row>
    <row r="600" spans="2:4" ht="14" thickBot="1" x14ac:dyDescent="0.2">
      <c r="B600" s="312">
        <v>44957</v>
      </c>
      <c r="C600" s="321">
        <v>17662.150000000001</v>
      </c>
      <c r="D600" s="209">
        <f t="shared" si="9"/>
        <v>-2.5959466995808533E-3</v>
      </c>
    </row>
    <row r="601" spans="2:4" ht="14" thickBot="1" x14ac:dyDescent="0.2">
      <c r="B601" s="312">
        <v>44956</v>
      </c>
      <c r="C601" s="321">
        <v>17648.95</v>
      </c>
      <c r="D601" s="210">
        <f t="shared" si="9"/>
        <v>7.4791984792299537E-4</v>
      </c>
    </row>
    <row r="602" spans="2:4" ht="14" thickBot="1" x14ac:dyDescent="0.2">
      <c r="B602" s="312">
        <v>44953</v>
      </c>
      <c r="C602" s="321">
        <v>17604.349999999999</v>
      </c>
      <c r="D602" s="210">
        <f t="shared" si="9"/>
        <v>2.5334647402490695E-3</v>
      </c>
    </row>
    <row r="603" spans="2:4" ht="14" thickBot="1" x14ac:dyDescent="0.2">
      <c r="B603" s="312">
        <v>44951</v>
      </c>
      <c r="C603" s="321">
        <v>17891.95</v>
      </c>
      <c r="D603" s="210">
        <f t="shared" si="9"/>
        <v>-1.6074268036742945E-2</v>
      </c>
    </row>
    <row r="604" spans="2:4" ht="14" thickBot="1" x14ac:dyDescent="0.2">
      <c r="B604" s="312">
        <v>44950</v>
      </c>
      <c r="C604" s="321">
        <v>18118.3</v>
      </c>
      <c r="D604" s="209">
        <f t="shared" si="9"/>
        <v>-1.2492893924926696E-2</v>
      </c>
    </row>
    <row r="605" spans="2:4" ht="14" thickBot="1" x14ac:dyDescent="0.2">
      <c r="B605" s="312">
        <v>44949</v>
      </c>
      <c r="C605" s="321">
        <v>18118.55</v>
      </c>
      <c r="D605" s="209">
        <f t="shared" si="9"/>
        <v>-1.3798013637988937E-5</v>
      </c>
    </row>
    <row r="606" spans="2:4" ht="14" thickBot="1" x14ac:dyDescent="0.2">
      <c r="B606" s="312">
        <v>44946</v>
      </c>
      <c r="C606" s="321">
        <v>18027.650000000001</v>
      </c>
      <c r="D606" s="210">
        <f t="shared" si="9"/>
        <v>5.0422545367809768E-3</v>
      </c>
    </row>
    <row r="607" spans="2:4" ht="14" thickBot="1" x14ac:dyDescent="0.2">
      <c r="B607" s="312">
        <v>44945</v>
      </c>
      <c r="C607" s="321">
        <v>18107.849999999999</v>
      </c>
      <c r="D607" s="210">
        <f t="shared" si="9"/>
        <v>-4.4290183539181793E-3</v>
      </c>
    </row>
    <row r="608" spans="2:4" ht="14" thickBot="1" x14ac:dyDescent="0.2">
      <c r="B608" s="312">
        <v>44944</v>
      </c>
      <c r="C608" s="321">
        <v>18165.349999999999</v>
      </c>
      <c r="D608" s="209">
        <f t="shared" si="9"/>
        <v>-3.1653670311885262E-3</v>
      </c>
    </row>
    <row r="609" spans="2:4" ht="14" thickBot="1" x14ac:dyDescent="0.2">
      <c r="B609" s="312">
        <v>44943</v>
      </c>
      <c r="C609" s="321">
        <v>18053.3</v>
      </c>
      <c r="D609" s="210">
        <f t="shared" si="9"/>
        <v>6.2066215041016726E-3</v>
      </c>
    </row>
    <row r="610" spans="2:4" ht="14" thickBot="1" x14ac:dyDescent="0.2">
      <c r="B610" s="312">
        <v>44942</v>
      </c>
      <c r="C610" s="321">
        <v>17894.849999999999</v>
      </c>
      <c r="D610" s="210">
        <f t="shared" si="9"/>
        <v>8.8545028318203212E-3</v>
      </c>
    </row>
    <row r="611" spans="2:4" ht="14" thickBot="1" x14ac:dyDescent="0.2">
      <c r="B611" s="312">
        <v>44939</v>
      </c>
      <c r="C611" s="321">
        <v>17956.599999999999</v>
      </c>
      <c r="D611" s="210">
        <f t="shared" si="9"/>
        <v>-3.4388469977613134E-3</v>
      </c>
    </row>
    <row r="612" spans="2:4" ht="14" thickBot="1" x14ac:dyDescent="0.2">
      <c r="B612" s="312">
        <v>44938</v>
      </c>
      <c r="C612" s="321">
        <v>17858.2</v>
      </c>
      <c r="D612" s="209">
        <f t="shared" si="9"/>
        <v>5.5100738036306662E-3</v>
      </c>
    </row>
    <row r="613" spans="2:4" ht="14" thickBot="1" x14ac:dyDescent="0.2">
      <c r="B613" s="312">
        <v>44937</v>
      </c>
      <c r="C613" s="321">
        <v>17895.7</v>
      </c>
      <c r="D613" s="209">
        <f t="shared" si="9"/>
        <v>-2.0954754494096894E-3</v>
      </c>
    </row>
    <row r="614" spans="2:4" ht="14" thickBot="1" x14ac:dyDescent="0.2">
      <c r="B614" s="312">
        <v>44936</v>
      </c>
      <c r="C614" s="321">
        <v>17914.150000000001</v>
      </c>
      <c r="D614" s="210">
        <f t="shared" si="9"/>
        <v>-1.0299121085846075E-3</v>
      </c>
    </row>
    <row r="615" spans="2:4" ht="14" thickBot="1" x14ac:dyDescent="0.2">
      <c r="B615" s="312">
        <v>44935</v>
      </c>
      <c r="C615" s="321">
        <v>18101.2</v>
      </c>
      <c r="D615" s="210">
        <f t="shared" si="9"/>
        <v>-1.0333569045146151E-2</v>
      </c>
    </row>
    <row r="616" spans="2:4" ht="14" thickBot="1" x14ac:dyDescent="0.2">
      <c r="B616" s="312">
        <v>44932</v>
      </c>
      <c r="C616" s="321">
        <v>17859.45</v>
      </c>
      <c r="D616" s="210">
        <f t="shared" si="9"/>
        <v>1.3536251116355702E-2</v>
      </c>
    </row>
    <row r="617" spans="2:4" ht="14" thickBot="1" x14ac:dyDescent="0.2">
      <c r="B617" s="312">
        <v>44931</v>
      </c>
      <c r="C617" s="321">
        <v>17992.150000000001</v>
      </c>
      <c r="D617" s="210">
        <f t="shared" si="9"/>
        <v>-7.3754387330030591E-3</v>
      </c>
    </row>
    <row r="618" spans="2:4" ht="14" thickBot="1" x14ac:dyDescent="0.2">
      <c r="B618" s="312">
        <v>44930</v>
      </c>
      <c r="C618" s="321">
        <v>18042.95</v>
      </c>
      <c r="D618" s="209">
        <f t="shared" si="9"/>
        <v>-2.8155041165662809E-3</v>
      </c>
    </row>
    <row r="619" spans="2:4" ht="14" thickBot="1" x14ac:dyDescent="0.2">
      <c r="B619" s="312">
        <v>44929</v>
      </c>
      <c r="C619" s="321">
        <v>18232.55</v>
      </c>
      <c r="D619" s="209">
        <f t="shared" si="9"/>
        <v>-1.0398984234240349E-2</v>
      </c>
    </row>
    <row r="620" spans="2:4" ht="14" thickBot="1" x14ac:dyDescent="0.2">
      <c r="B620" s="312">
        <v>44928</v>
      </c>
      <c r="C620" s="321">
        <v>18197.45</v>
      </c>
      <c r="D620" s="209">
        <f t="shared" si="9"/>
        <v>1.9288416783669327E-3</v>
      </c>
    </row>
    <row r="621" spans="2:4" ht="14" thickBot="1" x14ac:dyDescent="0.2">
      <c r="B621" s="312">
        <v>44925</v>
      </c>
      <c r="C621" s="321">
        <v>18105.3</v>
      </c>
      <c r="D621" s="209">
        <f t="shared" si="9"/>
        <v>5.0896698756719427E-3</v>
      </c>
    </row>
    <row r="622" spans="2:4" ht="14" thickBot="1" x14ac:dyDescent="0.2">
      <c r="B622" s="312">
        <v>44924</v>
      </c>
      <c r="C622" s="321">
        <v>18191</v>
      </c>
      <c r="D622" s="209">
        <f t="shared" si="9"/>
        <v>-4.7111208839536456E-3</v>
      </c>
    </row>
    <row r="623" spans="2:4" ht="14" thickBot="1" x14ac:dyDescent="0.2">
      <c r="B623" s="312">
        <v>44923</v>
      </c>
      <c r="C623" s="321">
        <v>18122.5</v>
      </c>
      <c r="D623" s="209">
        <f t="shared" si="9"/>
        <v>3.7798317009243299E-3</v>
      </c>
    </row>
    <row r="624" spans="2:4" ht="14" thickBot="1" x14ac:dyDescent="0.2">
      <c r="B624" s="312">
        <v>44922</v>
      </c>
      <c r="C624" s="321">
        <v>18132.3</v>
      </c>
      <c r="D624" s="209">
        <f t="shared" si="9"/>
        <v>-5.4047197542506087E-4</v>
      </c>
    </row>
    <row r="625" spans="2:4" ht="14" thickBot="1" x14ac:dyDescent="0.2">
      <c r="B625" s="312">
        <v>44921</v>
      </c>
      <c r="C625" s="321">
        <v>18014.599999999999</v>
      </c>
      <c r="D625" s="210">
        <f t="shared" si="9"/>
        <v>6.5335894219133994E-3</v>
      </c>
    </row>
    <row r="626" spans="2:4" ht="14" thickBot="1" x14ac:dyDescent="0.2">
      <c r="B626" s="312">
        <v>44918</v>
      </c>
      <c r="C626" s="321">
        <v>17806.8</v>
      </c>
      <c r="D626" s="209">
        <f t="shared" si="9"/>
        <v>1.1669699216029894E-2</v>
      </c>
    </row>
    <row r="627" spans="2:4" ht="14" thickBot="1" x14ac:dyDescent="0.2">
      <c r="B627" s="312">
        <v>44917</v>
      </c>
      <c r="C627" s="321">
        <v>18127.349999999999</v>
      </c>
      <c r="D627" s="209">
        <f t="shared" si="9"/>
        <v>-1.7683224519855267E-2</v>
      </c>
    </row>
    <row r="628" spans="2:4" ht="14" thickBot="1" x14ac:dyDescent="0.2">
      <c r="B628" s="312">
        <v>44916</v>
      </c>
      <c r="C628" s="321">
        <v>18199.099999999999</v>
      </c>
      <c r="D628" s="210">
        <f t="shared" si="9"/>
        <v>-3.9425026512299732E-3</v>
      </c>
    </row>
    <row r="629" spans="2:4" ht="14" thickBot="1" x14ac:dyDescent="0.2">
      <c r="B629" s="312">
        <v>44915</v>
      </c>
      <c r="C629" s="321">
        <v>18385.3</v>
      </c>
      <c r="D629" s="210">
        <f t="shared" si="9"/>
        <v>-1.0127656334136592E-2</v>
      </c>
    </row>
    <row r="630" spans="2:4" ht="14" thickBot="1" x14ac:dyDescent="0.2">
      <c r="B630" s="312">
        <v>44914</v>
      </c>
      <c r="C630" s="321">
        <v>18420.45</v>
      </c>
      <c r="D630" s="210">
        <f t="shared" si="9"/>
        <v>-1.9082052827157359E-3</v>
      </c>
    </row>
    <row r="631" spans="2:4" ht="14" thickBot="1" x14ac:dyDescent="0.2">
      <c r="B631" s="312">
        <v>44911</v>
      </c>
      <c r="C631" s="321">
        <v>18269</v>
      </c>
      <c r="D631" s="210">
        <f t="shared" si="9"/>
        <v>8.2899994526246523E-3</v>
      </c>
    </row>
    <row r="632" spans="2:4" ht="14" thickBot="1" x14ac:dyDescent="0.2">
      <c r="B632" s="312">
        <v>44910</v>
      </c>
      <c r="C632" s="321">
        <v>18414.900000000001</v>
      </c>
      <c r="D632" s="209">
        <f t="shared" si="9"/>
        <v>-7.9229319735649728E-3</v>
      </c>
    </row>
    <row r="633" spans="2:4" ht="14" thickBot="1" x14ac:dyDescent="0.2">
      <c r="B633" s="312">
        <v>44909</v>
      </c>
      <c r="C633" s="321">
        <v>18660.3</v>
      </c>
      <c r="D633" s="209">
        <f t="shared" si="9"/>
        <v>-1.3150913972444056E-2</v>
      </c>
    </row>
    <row r="634" spans="2:4" ht="14" thickBot="1" x14ac:dyDescent="0.2">
      <c r="B634" s="312">
        <v>44908</v>
      </c>
      <c r="C634" s="321">
        <v>18608</v>
      </c>
      <c r="D634" s="209">
        <f t="shared" si="9"/>
        <v>2.8106190885639482E-3</v>
      </c>
    </row>
    <row r="635" spans="2:4" ht="14" thickBot="1" x14ac:dyDescent="0.2">
      <c r="B635" s="312">
        <v>44907</v>
      </c>
      <c r="C635" s="321">
        <v>18497.150000000001</v>
      </c>
      <c r="D635" s="210">
        <f t="shared" si="9"/>
        <v>5.9928151093546767E-3</v>
      </c>
    </row>
    <row r="636" spans="2:4" ht="14" thickBot="1" x14ac:dyDescent="0.2">
      <c r="B636" s="312">
        <v>44904</v>
      </c>
      <c r="C636" s="321">
        <v>18496.599999999999</v>
      </c>
      <c r="D636" s="209">
        <f t="shared" si="9"/>
        <v>2.9735194576385737E-5</v>
      </c>
    </row>
    <row r="637" spans="2:4" ht="14" thickBot="1" x14ac:dyDescent="0.2">
      <c r="B637" s="312">
        <v>44903</v>
      </c>
      <c r="C637" s="321">
        <v>18609.349999999999</v>
      </c>
      <c r="D637" s="210">
        <f t="shared" si="9"/>
        <v>-6.058782278800745E-3</v>
      </c>
    </row>
    <row r="638" spans="2:4" ht="14" thickBot="1" x14ac:dyDescent="0.2">
      <c r="B638" s="312">
        <v>44902</v>
      </c>
      <c r="C638" s="321">
        <v>18560.5</v>
      </c>
      <c r="D638" s="210">
        <f t="shared" si="9"/>
        <v>2.6319334069664357E-3</v>
      </c>
    </row>
    <row r="639" spans="2:4" ht="14" thickBot="1" x14ac:dyDescent="0.2">
      <c r="B639" s="312">
        <v>44901</v>
      </c>
      <c r="C639" s="321">
        <v>18642.75</v>
      </c>
      <c r="D639" s="209">
        <f t="shared" si="9"/>
        <v>-4.4119027503989328E-3</v>
      </c>
    </row>
    <row r="640" spans="2:4" ht="14" thickBot="1" x14ac:dyDescent="0.2">
      <c r="B640" s="312">
        <v>44900</v>
      </c>
      <c r="C640" s="321">
        <v>18701.05</v>
      </c>
      <c r="D640" s="209">
        <f t="shared" si="9"/>
        <v>-3.1174720136034617E-3</v>
      </c>
    </row>
    <row r="641" spans="2:4" ht="14" thickBot="1" x14ac:dyDescent="0.2">
      <c r="B641" s="312">
        <v>44897</v>
      </c>
      <c r="C641" s="321">
        <v>18696.099999999999</v>
      </c>
      <c r="D641" s="209">
        <f t="shared" si="9"/>
        <v>2.6476109990847263E-4</v>
      </c>
    </row>
    <row r="642" spans="2:4" ht="14" thickBot="1" x14ac:dyDescent="0.2">
      <c r="B642" s="312">
        <v>44896</v>
      </c>
      <c r="C642" s="321">
        <v>18812.5</v>
      </c>
      <c r="D642" s="210">
        <f t="shared" si="9"/>
        <v>-6.18737541528247E-3</v>
      </c>
    </row>
    <row r="643" spans="2:4" ht="14" thickBot="1" x14ac:dyDescent="0.2">
      <c r="B643" s="312">
        <v>44895</v>
      </c>
      <c r="C643" s="321">
        <v>18758.349999999999</v>
      </c>
      <c r="D643" s="209">
        <f t="shared" si="9"/>
        <v>2.8867144498316843E-3</v>
      </c>
    </row>
    <row r="644" spans="2:4" ht="14" thickBot="1" x14ac:dyDescent="0.2">
      <c r="B644" s="312">
        <v>44894</v>
      </c>
      <c r="C644" s="321">
        <v>18618.05</v>
      </c>
      <c r="D644" s="210">
        <f t="shared" si="9"/>
        <v>7.5356978845797506E-3</v>
      </c>
    </row>
    <row r="645" spans="2:4" ht="14" thickBot="1" x14ac:dyDescent="0.2">
      <c r="B645" s="312">
        <v>44893</v>
      </c>
      <c r="C645" s="321">
        <v>18562.75</v>
      </c>
      <c r="D645" s="210">
        <f t="shared" si="9"/>
        <v>2.9790844567749719E-3</v>
      </c>
    </row>
    <row r="646" spans="2:4" ht="14" thickBot="1" x14ac:dyDescent="0.2">
      <c r="B646" s="312">
        <v>44890</v>
      </c>
      <c r="C646" s="321">
        <v>18512.75</v>
      </c>
      <c r="D646" s="209">
        <f t="shared" si="9"/>
        <v>2.7008413120686026E-3</v>
      </c>
    </row>
    <row r="647" spans="2:4" ht="14" thickBot="1" x14ac:dyDescent="0.2">
      <c r="B647" s="312">
        <v>44889</v>
      </c>
      <c r="C647" s="321">
        <v>18484.099999999999</v>
      </c>
      <c r="D647" s="209">
        <f t="shared" si="9"/>
        <v>1.5499807943044619E-3</v>
      </c>
    </row>
    <row r="648" spans="2:4" ht="14" thickBot="1" x14ac:dyDescent="0.2">
      <c r="B648" s="312">
        <v>44888</v>
      </c>
      <c r="C648" s="321">
        <v>18267.25</v>
      </c>
      <c r="D648" s="209">
        <f t="shared" si="9"/>
        <v>1.1870971273727493E-2</v>
      </c>
    </row>
    <row r="649" spans="2:4" ht="14" thickBot="1" x14ac:dyDescent="0.2">
      <c r="B649" s="312">
        <v>44887</v>
      </c>
      <c r="C649" s="321">
        <v>18244.2</v>
      </c>
      <c r="D649" s="210">
        <f t="shared" si="9"/>
        <v>1.2634152223720552E-3</v>
      </c>
    </row>
    <row r="650" spans="2:4" ht="14" thickBot="1" x14ac:dyDescent="0.2">
      <c r="B650" s="312">
        <v>44886</v>
      </c>
      <c r="C650" s="321">
        <v>18159.95</v>
      </c>
      <c r="D650" s="209">
        <f t="shared" si="9"/>
        <v>4.6393299541023225E-3</v>
      </c>
    </row>
    <row r="651" spans="2:4" ht="14" thickBot="1" x14ac:dyDescent="0.2">
      <c r="B651" s="312">
        <v>44883</v>
      </c>
      <c r="C651" s="321">
        <v>18307.650000000001</v>
      </c>
      <c r="D651" s="209">
        <f t="shared" ref="D651:D714" si="10">C650/C651-1</f>
        <v>-8.0676657025888776E-3</v>
      </c>
    </row>
    <row r="652" spans="2:4" ht="14" thickBot="1" x14ac:dyDescent="0.2">
      <c r="B652" s="312">
        <v>44882</v>
      </c>
      <c r="C652" s="321">
        <v>18343.900000000001</v>
      </c>
      <c r="D652" s="209">
        <f t="shared" si="10"/>
        <v>-1.9761337556354341E-3</v>
      </c>
    </row>
    <row r="653" spans="2:4" ht="14" thickBot="1" x14ac:dyDescent="0.2">
      <c r="B653" s="312">
        <v>44881</v>
      </c>
      <c r="C653" s="321">
        <v>18409.650000000001</v>
      </c>
      <c r="D653" s="209">
        <f t="shared" si="10"/>
        <v>-3.5714964706010655E-3</v>
      </c>
    </row>
    <row r="654" spans="2:4" ht="14" thickBot="1" x14ac:dyDescent="0.2">
      <c r="B654" s="312">
        <v>44880</v>
      </c>
      <c r="C654" s="321">
        <v>18403.400000000001</v>
      </c>
      <c r="D654" s="209">
        <f t="shared" si="10"/>
        <v>3.3961115880765114E-4</v>
      </c>
    </row>
    <row r="655" spans="2:4" ht="14" thickBot="1" x14ac:dyDescent="0.2">
      <c r="B655" s="312">
        <v>44879</v>
      </c>
      <c r="C655" s="321">
        <v>18329.150000000001</v>
      </c>
      <c r="D655" s="209">
        <f t="shared" si="10"/>
        <v>4.0509243472828249E-3</v>
      </c>
    </row>
    <row r="656" spans="2:4" ht="14" thickBot="1" x14ac:dyDescent="0.2">
      <c r="B656" s="312">
        <v>44876</v>
      </c>
      <c r="C656" s="321">
        <v>18349.7</v>
      </c>
      <c r="D656" s="209">
        <f t="shared" si="10"/>
        <v>-1.1199093173185348E-3</v>
      </c>
    </row>
    <row r="657" spans="2:4" ht="14" thickBot="1" x14ac:dyDescent="0.2">
      <c r="B657" s="312">
        <v>44875</v>
      </c>
      <c r="C657" s="321">
        <v>18028.2</v>
      </c>
      <c r="D657" s="210">
        <f t="shared" si="10"/>
        <v>1.7833172474234882E-2</v>
      </c>
    </row>
    <row r="658" spans="2:4" ht="14" thickBot="1" x14ac:dyDescent="0.2">
      <c r="B658" s="312">
        <v>44874</v>
      </c>
      <c r="C658" s="321">
        <v>18157</v>
      </c>
      <c r="D658" s="210">
        <f t="shared" si="10"/>
        <v>-7.0936828771271943E-3</v>
      </c>
    </row>
    <row r="659" spans="2:4" ht="14" thickBot="1" x14ac:dyDescent="0.2">
      <c r="B659" s="312">
        <v>44872</v>
      </c>
      <c r="C659" s="321">
        <v>18202.8</v>
      </c>
      <c r="D659" s="209">
        <f t="shared" si="10"/>
        <v>-2.5160964247258333E-3</v>
      </c>
    </row>
    <row r="660" spans="2:4" ht="14" thickBot="1" x14ac:dyDescent="0.2">
      <c r="B660" s="312">
        <v>44869</v>
      </c>
      <c r="C660" s="321">
        <v>18117.150000000001</v>
      </c>
      <c r="D660" s="209">
        <f t="shared" si="10"/>
        <v>4.7275647659812403E-3</v>
      </c>
    </row>
    <row r="661" spans="2:4" ht="14" thickBot="1" x14ac:dyDescent="0.2">
      <c r="B661" s="312">
        <v>44868</v>
      </c>
      <c r="C661" s="321">
        <v>18052.7</v>
      </c>
      <c r="D661" s="209">
        <f t="shared" si="10"/>
        <v>3.5701030870729511E-3</v>
      </c>
    </row>
    <row r="662" spans="2:4" ht="14" thickBot="1" x14ac:dyDescent="0.2">
      <c r="B662" s="312">
        <v>44867</v>
      </c>
      <c r="C662" s="321">
        <v>18082.849999999999</v>
      </c>
      <c r="D662" s="209">
        <f t="shared" si="10"/>
        <v>-1.6673256704555772E-3</v>
      </c>
    </row>
    <row r="663" spans="2:4" ht="14" thickBot="1" x14ac:dyDescent="0.2">
      <c r="B663" s="312">
        <v>44866</v>
      </c>
      <c r="C663" s="321">
        <v>18145.400000000001</v>
      </c>
      <c r="D663" s="209">
        <f t="shared" si="10"/>
        <v>-3.4471546507656159E-3</v>
      </c>
    </row>
    <row r="664" spans="2:4" ht="14" thickBot="1" x14ac:dyDescent="0.2">
      <c r="B664" s="312">
        <v>44865</v>
      </c>
      <c r="C664" s="321">
        <v>18012.2</v>
      </c>
      <c r="D664" s="209">
        <f t="shared" si="10"/>
        <v>7.3949878415739967E-3</v>
      </c>
    </row>
    <row r="665" spans="2:4" ht="14" thickBot="1" x14ac:dyDescent="0.2">
      <c r="B665" s="312">
        <v>44862</v>
      </c>
      <c r="C665" s="321">
        <v>17786.8</v>
      </c>
      <c r="D665" s="209">
        <f t="shared" si="10"/>
        <v>1.2672318798210069E-2</v>
      </c>
    </row>
    <row r="666" spans="2:4" ht="14" thickBot="1" x14ac:dyDescent="0.2">
      <c r="B666" s="312">
        <v>44861</v>
      </c>
      <c r="C666" s="321">
        <v>17736.95</v>
      </c>
      <c r="D666" s="210">
        <f t="shared" si="10"/>
        <v>2.8105170280121605E-3</v>
      </c>
    </row>
    <row r="667" spans="2:4" ht="14" thickBot="1" x14ac:dyDescent="0.2">
      <c r="B667" s="312">
        <v>44859</v>
      </c>
      <c r="C667" s="321">
        <v>17656.349999999999</v>
      </c>
      <c r="D667" s="209">
        <f t="shared" si="10"/>
        <v>4.5649298977423758E-3</v>
      </c>
    </row>
    <row r="668" spans="2:4" ht="14" thickBot="1" x14ac:dyDescent="0.2">
      <c r="B668" s="312">
        <v>44858</v>
      </c>
      <c r="C668" s="321">
        <v>17730.75</v>
      </c>
      <c r="D668" s="209">
        <f t="shared" si="10"/>
        <v>-4.1960999957701972E-3</v>
      </c>
    </row>
    <row r="669" spans="2:4" ht="14" thickBot="1" x14ac:dyDescent="0.2">
      <c r="B669" s="312">
        <v>44855</v>
      </c>
      <c r="C669" s="321">
        <v>17576.3</v>
      </c>
      <c r="D669" s="209">
        <f t="shared" si="10"/>
        <v>8.7874012164108617E-3</v>
      </c>
    </row>
    <row r="670" spans="2:4" ht="14" thickBot="1" x14ac:dyDescent="0.2">
      <c r="B670" s="312">
        <v>44854</v>
      </c>
      <c r="C670" s="321">
        <v>17563.95</v>
      </c>
      <c r="D670" s="209">
        <f t="shared" si="10"/>
        <v>7.0314479373934091E-4</v>
      </c>
    </row>
    <row r="671" spans="2:4" ht="14" thickBot="1" x14ac:dyDescent="0.2">
      <c r="B671" s="312">
        <v>44853</v>
      </c>
      <c r="C671" s="321">
        <v>17512.25</v>
      </c>
      <c r="D671" s="210">
        <f t="shared" si="10"/>
        <v>2.9522191608730708E-3</v>
      </c>
    </row>
    <row r="672" spans="2:4" ht="14" thickBot="1" x14ac:dyDescent="0.2">
      <c r="B672" s="312">
        <v>44852</v>
      </c>
      <c r="C672" s="321">
        <v>17486.95</v>
      </c>
      <c r="D672" s="209">
        <f t="shared" si="10"/>
        <v>1.4467931800570266E-3</v>
      </c>
    </row>
    <row r="673" spans="2:4" ht="14" thickBot="1" x14ac:dyDescent="0.2">
      <c r="B673" s="312">
        <v>44851</v>
      </c>
      <c r="C673" s="321">
        <v>17311.8</v>
      </c>
      <c r="D673" s="210">
        <f t="shared" si="10"/>
        <v>1.0117376587067906E-2</v>
      </c>
    </row>
    <row r="674" spans="2:4" ht="14" thickBot="1" x14ac:dyDescent="0.2">
      <c r="B674" s="312">
        <v>44848</v>
      </c>
      <c r="C674" s="321">
        <v>17185.7</v>
      </c>
      <c r="D674" s="210">
        <f t="shared" si="10"/>
        <v>7.337495708641395E-3</v>
      </c>
    </row>
    <row r="675" spans="2:4" ht="14" thickBot="1" x14ac:dyDescent="0.2">
      <c r="B675" s="312">
        <v>44847</v>
      </c>
      <c r="C675" s="321">
        <v>17014.349999999999</v>
      </c>
      <c r="D675" s="210">
        <f t="shared" si="10"/>
        <v>1.0070910731235783E-2</v>
      </c>
    </row>
    <row r="676" spans="2:4" ht="14" thickBot="1" x14ac:dyDescent="0.2">
      <c r="B676" s="312">
        <v>44846</v>
      </c>
      <c r="C676" s="321">
        <v>17123.599999999999</v>
      </c>
      <c r="D676" s="209">
        <f t="shared" si="10"/>
        <v>-6.380083627274602E-3</v>
      </c>
    </row>
    <row r="677" spans="2:4" ht="14" thickBot="1" x14ac:dyDescent="0.2">
      <c r="B677" s="312">
        <v>44845</v>
      </c>
      <c r="C677" s="321">
        <v>16983.55</v>
      </c>
      <c r="D677" s="209">
        <f t="shared" si="10"/>
        <v>8.2462147195374591E-3</v>
      </c>
    </row>
    <row r="678" spans="2:4" ht="14" thickBot="1" x14ac:dyDescent="0.2">
      <c r="B678" s="312">
        <v>44844</v>
      </c>
      <c r="C678" s="321">
        <v>17241</v>
      </c>
      <c r="D678" s="210">
        <f t="shared" si="10"/>
        <v>-1.4932428513427354E-2</v>
      </c>
    </row>
    <row r="679" spans="2:4" ht="14" thickBot="1" x14ac:dyDescent="0.2">
      <c r="B679" s="312">
        <v>44841</v>
      </c>
      <c r="C679" s="321">
        <v>17314.650000000001</v>
      </c>
      <c r="D679" s="210">
        <f t="shared" si="10"/>
        <v>-4.2536233767359599E-3</v>
      </c>
    </row>
    <row r="680" spans="2:4" ht="14" thickBot="1" x14ac:dyDescent="0.2">
      <c r="B680" s="312">
        <v>44840</v>
      </c>
      <c r="C680" s="321">
        <v>17331.8</v>
      </c>
      <c r="D680" s="210">
        <f t="shared" si="10"/>
        <v>-9.8951061055385647E-4</v>
      </c>
    </row>
    <row r="681" spans="2:4" ht="14" thickBot="1" x14ac:dyDescent="0.2">
      <c r="B681" s="312">
        <v>44838</v>
      </c>
      <c r="C681" s="321">
        <v>17274.3</v>
      </c>
      <c r="D681" s="209">
        <f t="shared" si="10"/>
        <v>3.3286442865991805E-3</v>
      </c>
    </row>
    <row r="682" spans="2:4" ht="14" thickBot="1" x14ac:dyDescent="0.2">
      <c r="B682" s="312">
        <v>44837</v>
      </c>
      <c r="C682" s="321">
        <v>16887.349999999999</v>
      </c>
      <c r="D682" s="209">
        <f t="shared" si="10"/>
        <v>2.2913601009039386E-2</v>
      </c>
    </row>
    <row r="683" spans="2:4" ht="14" thickBot="1" x14ac:dyDescent="0.2">
      <c r="B683" s="312">
        <v>44834</v>
      </c>
      <c r="C683" s="321">
        <v>17094.349999999999</v>
      </c>
      <c r="D683" s="209">
        <f t="shared" si="10"/>
        <v>-1.2109264172080247E-2</v>
      </c>
    </row>
    <row r="684" spans="2:4" ht="14" thickBot="1" x14ac:dyDescent="0.2">
      <c r="B684" s="312">
        <v>44833</v>
      </c>
      <c r="C684" s="321">
        <v>16818.099999999999</v>
      </c>
      <c r="D684" s="209">
        <f t="shared" si="10"/>
        <v>1.6425755584756896E-2</v>
      </c>
    </row>
    <row r="685" spans="2:4" ht="14" thickBot="1" x14ac:dyDescent="0.2">
      <c r="B685" s="312">
        <v>44832</v>
      </c>
      <c r="C685" s="321">
        <v>16858.599999999999</v>
      </c>
      <c r="D685" s="210">
        <f t="shared" si="10"/>
        <v>-2.4023347134399797E-3</v>
      </c>
    </row>
    <row r="686" spans="2:4" ht="14" thickBot="1" x14ac:dyDescent="0.2">
      <c r="B686" s="312">
        <v>44831</v>
      </c>
      <c r="C686" s="321">
        <v>17007.400000000001</v>
      </c>
      <c r="D686" s="210">
        <f t="shared" si="10"/>
        <v>-8.7491327304586308E-3</v>
      </c>
    </row>
    <row r="687" spans="2:4" ht="14" thickBot="1" x14ac:dyDescent="0.2">
      <c r="B687" s="312">
        <v>44830</v>
      </c>
      <c r="C687" s="321">
        <v>17016.3</v>
      </c>
      <c r="D687" s="209">
        <f t="shared" si="10"/>
        <v>-5.230279202880217E-4</v>
      </c>
    </row>
    <row r="688" spans="2:4" ht="14" thickBot="1" x14ac:dyDescent="0.2">
      <c r="B688" s="312">
        <v>44827</v>
      </c>
      <c r="C688" s="321">
        <v>17327.349999999999</v>
      </c>
      <c r="D688" s="210">
        <f t="shared" si="10"/>
        <v>-1.7951388989083661E-2</v>
      </c>
    </row>
    <row r="689" spans="2:4" ht="14" thickBot="1" x14ac:dyDescent="0.2">
      <c r="B689" s="312">
        <v>44826</v>
      </c>
      <c r="C689" s="321">
        <v>17629.8</v>
      </c>
      <c r="D689" s="209">
        <f t="shared" si="10"/>
        <v>-1.7155611521401326E-2</v>
      </c>
    </row>
    <row r="690" spans="2:4" ht="14" thickBot="1" x14ac:dyDescent="0.2">
      <c r="B690" s="312">
        <v>44825</v>
      </c>
      <c r="C690" s="321">
        <v>17718.349999999999</v>
      </c>
      <c r="D690" s="209">
        <f t="shared" si="10"/>
        <v>-4.9976436857833706E-3</v>
      </c>
    </row>
    <row r="691" spans="2:4" ht="14" thickBot="1" x14ac:dyDescent="0.2">
      <c r="B691" s="312">
        <v>44824</v>
      </c>
      <c r="C691" s="321">
        <v>17816.25</v>
      </c>
      <c r="D691" s="210">
        <f t="shared" si="10"/>
        <v>-5.4949835122430901E-3</v>
      </c>
    </row>
    <row r="692" spans="2:4" ht="14" thickBot="1" x14ac:dyDescent="0.2">
      <c r="B692" s="312">
        <v>44823</v>
      </c>
      <c r="C692" s="321">
        <v>17622.25</v>
      </c>
      <c r="D692" s="210">
        <f t="shared" si="10"/>
        <v>1.1008809885230342E-2</v>
      </c>
    </row>
    <row r="693" spans="2:4" ht="14" thickBot="1" x14ac:dyDescent="0.2">
      <c r="B693" s="312">
        <v>44820</v>
      </c>
      <c r="C693" s="321">
        <v>17530.849999999999</v>
      </c>
      <c r="D693" s="210">
        <f t="shared" si="10"/>
        <v>5.2136661941664109E-3</v>
      </c>
    </row>
    <row r="694" spans="2:4" ht="14" thickBot="1" x14ac:dyDescent="0.2">
      <c r="B694" s="312">
        <v>44819</v>
      </c>
      <c r="C694" s="321">
        <v>17877.400000000001</v>
      </c>
      <c r="D694" s="210">
        <f t="shared" si="10"/>
        <v>-1.9384809871681674E-2</v>
      </c>
    </row>
    <row r="695" spans="2:4" ht="14" thickBot="1" x14ac:dyDescent="0.2">
      <c r="B695" s="312">
        <v>44818</v>
      </c>
      <c r="C695" s="321">
        <v>18003.75</v>
      </c>
      <c r="D695" s="209">
        <f t="shared" si="10"/>
        <v>-7.0179823647850137E-3</v>
      </c>
    </row>
    <row r="696" spans="2:4" ht="14" thickBot="1" x14ac:dyDescent="0.2">
      <c r="B696" s="312">
        <v>44817</v>
      </c>
      <c r="C696" s="321">
        <v>18070.05</v>
      </c>
      <c r="D696" s="209">
        <f t="shared" si="10"/>
        <v>-3.6690545958644183E-3</v>
      </c>
    </row>
    <row r="697" spans="2:4" ht="14" thickBot="1" x14ac:dyDescent="0.2">
      <c r="B697" s="312">
        <v>44816</v>
      </c>
      <c r="C697" s="321">
        <v>17936.349999999999</v>
      </c>
      <c r="D697" s="210">
        <f t="shared" si="10"/>
        <v>7.4541364324403059E-3</v>
      </c>
    </row>
    <row r="698" spans="2:4" ht="14" thickBot="1" x14ac:dyDescent="0.2">
      <c r="B698" s="312">
        <v>44813</v>
      </c>
      <c r="C698" s="321">
        <v>17833.349999999999</v>
      </c>
      <c r="D698" s="209">
        <f t="shared" si="10"/>
        <v>5.775695536733183E-3</v>
      </c>
    </row>
    <row r="699" spans="2:4" ht="14" thickBot="1" x14ac:dyDescent="0.2">
      <c r="B699" s="312">
        <v>44812</v>
      </c>
      <c r="C699" s="321">
        <v>17798.75</v>
      </c>
      <c r="D699" s="209">
        <f t="shared" si="10"/>
        <v>1.9439567385348688E-3</v>
      </c>
    </row>
    <row r="700" spans="2:4" ht="14" thickBot="1" x14ac:dyDescent="0.2">
      <c r="B700" s="312">
        <v>44811</v>
      </c>
      <c r="C700" s="321">
        <v>17624.400000000001</v>
      </c>
      <c r="D700" s="210">
        <f t="shared" si="10"/>
        <v>9.8925353487209211E-3</v>
      </c>
    </row>
    <row r="701" spans="2:4" ht="14" thickBot="1" x14ac:dyDescent="0.2">
      <c r="B701" s="312">
        <v>44810</v>
      </c>
      <c r="C701" s="321">
        <v>17655.599999999999</v>
      </c>
      <c r="D701" s="210">
        <f t="shared" si="10"/>
        <v>-1.7671447019640407E-3</v>
      </c>
    </row>
    <row r="702" spans="2:4" ht="14" thickBot="1" x14ac:dyDescent="0.2">
      <c r="B702" s="312">
        <v>44809</v>
      </c>
      <c r="C702" s="321">
        <v>17665.8</v>
      </c>
      <c r="D702" s="210">
        <f t="shared" si="10"/>
        <v>-5.773868152022521E-4</v>
      </c>
    </row>
    <row r="703" spans="2:4" ht="14" thickBot="1" x14ac:dyDescent="0.2">
      <c r="B703" s="312">
        <v>44806</v>
      </c>
      <c r="C703" s="321">
        <v>17539.45</v>
      </c>
      <c r="D703" s="209">
        <f t="shared" si="10"/>
        <v>7.2037606652430863E-3</v>
      </c>
    </row>
    <row r="704" spans="2:4" ht="14" thickBot="1" x14ac:dyDescent="0.2">
      <c r="B704" s="312">
        <v>44805</v>
      </c>
      <c r="C704" s="321">
        <v>17542.8</v>
      </c>
      <c r="D704" s="209">
        <f t="shared" si="10"/>
        <v>-1.9096153407660577E-4</v>
      </c>
    </row>
    <row r="705" spans="2:4" ht="14" thickBot="1" x14ac:dyDescent="0.2">
      <c r="B705" s="312">
        <v>44803</v>
      </c>
      <c r="C705" s="321">
        <v>17759.3</v>
      </c>
      <c r="D705" s="209">
        <f t="shared" si="10"/>
        <v>-1.2190795808393329E-2</v>
      </c>
    </row>
    <row r="706" spans="2:4" ht="14" thickBot="1" x14ac:dyDescent="0.2">
      <c r="B706" s="312">
        <v>44802</v>
      </c>
      <c r="C706" s="321">
        <v>17312.900000000001</v>
      </c>
      <c r="D706" s="209">
        <f t="shared" si="10"/>
        <v>2.5784241808131325E-2</v>
      </c>
    </row>
    <row r="707" spans="2:4" ht="14" thickBot="1" x14ac:dyDescent="0.2">
      <c r="B707" s="312">
        <v>44799</v>
      </c>
      <c r="C707" s="321">
        <v>17558.900000000001</v>
      </c>
      <c r="D707" s="210">
        <f t="shared" si="10"/>
        <v>-1.400998923622776E-2</v>
      </c>
    </row>
    <row r="708" spans="2:4" ht="14" thickBot="1" x14ac:dyDescent="0.2">
      <c r="B708" s="312">
        <v>44798</v>
      </c>
      <c r="C708" s="321">
        <v>17522.45</v>
      </c>
      <c r="D708" s="210">
        <f t="shared" si="10"/>
        <v>2.0801885581069879E-3</v>
      </c>
    </row>
    <row r="709" spans="2:4" ht="14" thickBot="1" x14ac:dyDescent="0.2">
      <c r="B709" s="312">
        <v>44797</v>
      </c>
      <c r="C709" s="321">
        <v>17604.95</v>
      </c>
      <c r="D709" s="209">
        <f t="shared" si="10"/>
        <v>-4.6861820113093255E-3</v>
      </c>
    </row>
    <row r="710" spans="2:4" ht="14" thickBot="1" x14ac:dyDescent="0.2">
      <c r="B710" s="312">
        <v>44796</v>
      </c>
      <c r="C710" s="321">
        <v>17577.5</v>
      </c>
      <c r="D710" s="210">
        <f t="shared" si="10"/>
        <v>1.5616555255297815E-3</v>
      </c>
    </row>
    <row r="711" spans="2:4" ht="14" thickBot="1" x14ac:dyDescent="0.2">
      <c r="B711" s="312">
        <v>44795</v>
      </c>
      <c r="C711" s="321">
        <v>17490.7</v>
      </c>
      <c r="D711" s="209">
        <f t="shared" si="10"/>
        <v>4.9626372872439983E-3</v>
      </c>
    </row>
    <row r="712" spans="2:4" ht="14" thickBot="1" x14ac:dyDescent="0.2">
      <c r="B712" s="312">
        <v>44792</v>
      </c>
      <c r="C712" s="321">
        <v>17758.45</v>
      </c>
      <c r="D712" s="209">
        <f t="shared" si="10"/>
        <v>-1.5077329384039717E-2</v>
      </c>
    </row>
    <row r="713" spans="2:4" ht="14" thickBot="1" x14ac:dyDescent="0.2">
      <c r="B713" s="312">
        <v>44791</v>
      </c>
      <c r="C713" s="321">
        <v>17956.5</v>
      </c>
      <c r="D713" s="210">
        <f t="shared" si="10"/>
        <v>-1.1029432239022086E-2</v>
      </c>
    </row>
    <row r="714" spans="2:4" ht="14" thickBot="1" x14ac:dyDescent="0.2">
      <c r="B714" s="312">
        <v>44790</v>
      </c>
      <c r="C714" s="321">
        <v>17944.25</v>
      </c>
      <c r="D714" s="209">
        <f t="shared" si="10"/>
        <v>6.826699360520383E-4</v>
      </c>
    </row>
    <row r="715" spans="2:4" ht="14" thickBot="1" x14ac:dyDescent="0.2">
      <c r="B715" s="312">
        <v>44789</v>
      </c>
      <c r="C715" s="321">
        <v>17825.25</v>
      </c>
      <c r="D715" s="209">
        <f t="shared" ref="D715:D778" si="11">C714/C715-1</f>
        <v>6.6759231988331447E-3</v>
      </c>
    </row>
    <row r="716" spans="2:4" ht="14" thickBot="1" x14ac:dyDescent="0.2">
      <c r="B716" s="312">
        <v>44785</v>
      </c>
      <c r="C716" s="321">
        <v>17698.150000000001</v>
      </c>
      <c r="D716" s="209">
        <f t="shared" si="11"/>
        <v>7.1815415735541066E-3</v>
      </c>
    </row>
    <row r="717" spans="2:4" ht="14" thickBot="1" x14ac:dyDescent="0.2">
      <c r="B717" s="312">
        <v>44784</v>
      </c>
      <c r="C717" s="321">
        <v>17659</v>
      </c>
      <c r="D717" s="209">
        <f t="shared" si="11"/>
        <v>2.2169998301151406E-3</v>
      </c>
    </row>
    <row r="718" spans="2:4" ht="14" thickBot="1" x14ac:dyDescent="0.2">
      <c r="B718" s="312">
        <v>44783</v>
      </c>
      <c r="C718" s="321">
        <v>17534.75</v>
      </c>
      <c r="D718" s="209">
        <f t="shared" si="11"/>
        <v>7.0859293688247948E-3</v>
      </c>
    </row>
    <row r="719" spans="2:4" ht="14" thickBot="1" x14ac:dyDescent="0.2">
      <c r="B719" s="312">
        <v>44781</v>
      </c>
      <c r="C719" s="321">
        <v>17525.099999999999</v>
      </c>
      <c r="D719" s="209">
        <f t="shared" si="11"/>
        <v>5.5063879806693805E-4</v>
      </c>
    </row>
    <row r="720" spans="2:4" ht="14" thickBot="1" x14ac:dyDescent="0.2">
      <c r="B720" s="312">
        <v>44778</v>
      </c>
      <c r="C720" s="321">
        <v>17397.5</v>
      </c>
      <c r="D720" s="209">
        <f t="shared" si="11"/>
        <v>7.3343871245867831E-3</v>
      </c>
    </row>
    <row r="721" spans="2:4" ht="14" thickBot="1" x14ac:dyDescent="0.2">
      <c r="B721" s="312">
        <v>44777</v>
      </c>
      <c r="C721" s="321">
        <v>17382</v>
      </c>
      <c r="D721" s="210">
        <f t="shared" si="11"/>
        <v>8.9172707398454953E-4</v>
      </c>
    </row>
    <row r="722" spans="2:4" ht="14" thickBot="1" x14ac:dyDescent="0.2">
      <c r="B722" s="312">
        <v>44776</v>
      </c>
      <c r="C722" s="321">
        <v>17388.150000000001</v>
      </c>
      <c r="D722" s="210">
        <f t="shared" si="11"/>
        <v>-3.5368915036970705E-4</v>
      </c>
    </row>
    <row r="723" spans="2:4" ht="14" thickBot="1" x14ac:dyDescent="0.2">
      <c r="B723" s="312">
        <v>44775</v>
      </c>
      <c r="C723" s="321">
        <v>17345.45</v>
      </c>
      <c r="D723" s="209">
        <f t="shared" si="11"/>
        <v>2.4617406870390823E-3</v>
      </c>
    </row>
    <row r="724" spans="2:4" ht="14" thickBot="1" x14ac:dyDescent="0.2">
      <c r="B724" s="312">
        <v>44774</v>
      </c>
      <c r="C724" s="321">
        <v>17340.05</v>
      </c>
      <c r="D724" s="209">
        <f t="shared" si="11"/>
        <v>3.1141778714594004E-4</v>
      </c>
    </row>
    <row r="725" spans="2:4" ht="14" thickBot="1" x14ac:dyDescent="0.2">
      <c r="B725" s="312">
        <v>44771</v>
      </c>
      <c r="C725" s="321">
        <v>17158.25</v>
      </c>
      <c r="D725" s="210">
        <f t="shared" si="11"/>
        <v>1.0595486136406596E-2</v>
      </c>
    </row>
    <row r="726" spans="2:4" ht="14" thickBot="1" x14ac:dyDescent="0.2">
      <c r="B726" s="312">
        <v>44770</v>
      </c>
      <c r="C726" s="321">
        <v>16929.599999999999</v>
      </c>
      <c r="D726" s="210">
        <f t="shared" si="11"/>
        <v>1.3505930441357172E-2</v>
      </c>
    </row>
    <row r="727" spans="2:4" ht="14" thickBot="1" x14ac:dyDescent="0.2">
      <c r="B727" s="312">
        <v>44769</v>
      </c>
      <c r="C727" s="321">
        <v>16641.8</v>
      </c>
      <c r="D727" s="210">
        <f t="shared" si="11"/>
        <v>1.7293802353110843E-2</v>
      </c>
    </row>
    <row r="728" spans="2:4" ht="14" thickBot="1" x14ac:dyDescent="0.2">
      <c r="B728" s="312">
        <v>44768</v>
      </c>
      <c r="C728" s="321">
        <v>16483.849999999999</v>
      </c>
      <c r="D728" s="209">
        <f t="shared" si="11"/>
        <v>9.5821061220529025E-3</v>
      </c>
    </row>
    <row r="729" spans="2:4" ht="14" thickBot="1" x14ac:dyDescent="0.2">
      <c r="B729" s="312">
        <v>44767</v>
      </c>
      <c r="C729" s="321">
        <v>16631</v>
      </c>
      <c r="D729" s="209">
        <f t="shared" si="11"/>
        <v>-8.8479345800013265E-3</v>
      </c>
    </row>
    <row r="730" spans="2:4" ht="14" thickBot="1" x14ac:dyDescent="0.2">
      <c r="B730" s="312">
        <v>44764</v>
      </c>
      <c r="C730" s="321">
        <v>16719.45</v>
      </c>
      <c r="D730" s="209">
        <f t="shared" si="11"/>
        <v>-5.2902457915781076E-3</v>
      </c>
    </row>
    <row r="731" spans="2:4" ht="14" thickBot="1" x14ac:dyDescent="0.2">
      <c r="B731" s="312">
        <v>44763</v>
      </c>
      <c r="C731" s="321">
        <v>16605.25</v>
      </c>
      <c r="D731" s="209">
        <f t="shared" si="11"/>
        <v>6.8773430089881238E-3</v>
      </c>
    </row>
    <row r="732" spans="2:4" ht="14" thickBot="1" x14ac:dyDescent="0.2">
      <c r="B732" s="312">
        <v>44762</v>
      </c>
      <c r="C732" s="321">
        <v>16520.849999999999</v>
      </c>
      <c r="D732" s="210">
        <f t="shared" si="11"/>
        <v>5.1086959811390553E-3</v>
      </c>
    </row>
    <row r="733" spans="2:4" ht="14" thickBot="1" x14ac:dyDescent="0.2">
      <c r="B733" s="312">
        <v>44761</v>
      </c>
      <c r="C733" s="321">
        <v>16340.55</v>
      </c>
      <c r="D733" s="209">
        <f t="shared" si="11"/>
        <v>1.1033900327712232E-2</v>
      </c>
    </row>
    <row r="734" spans="2:4" ht="14" thickBot="1" x14ac:dyDescent="0.2">
      <c r="B734" s="312">
        <v>44760</v>
      </c>
      <c r="C734" s="321">
        <v>16278.5</v>
      </c>
      <c r="D734" s="210">
        <f t="shared" si="11"/>
        <v>3.8117762693121726E-3</v>
      </c>
    </row>
    <row r="735" spans="2:4" ht="14" thickBot="1" x14ac:dyDescent="0.2">
      <c r="B735" s="312">
        <v>44757</v>
      </c>
      <c r="C735" s="321">
        <v>16049.2</v>
      </c>
      <c r="D735" s="209">
        <f t="shared" si="11"/>
        <v>1.4287316501756964E-2</v>
      </c>
    </row>
    <row r="736" spans="2:4" ht="14" thickBot="1" x14ac:dyDescent="0.2">
      <c r="B736" s="312">
        <v>44756</v>
      </c>
      <c r="C736" s="321">
        <v>15938.65</v>
      </c>
      <c r="D736" s="209">
        <f t="shared" si="11"/>
        <v>6.9359701103921534E-3</v>
      </c>
    </row>
    <row r="737" spans="2:4" ht="14" thickBot="1" x14ac:dyDescent="0.2">
      <c r="B737" s="312">
        <v>44755</v>
      </c>
      <c r="C737" s="321">
        <v>15966.65</v>
      </c>
      <c r="D737" s="209">
        <f t="shared" si="11"/>
        <v>-1.7536552752143164E-3</v>
      </c>
    </row>
    <row r="738" spans="2:4" ht="14" thickBot="1" x14ac:dyDescent="0.2">
      <c r="B738" s="312">
        <v>44754</v>
      </c>
      <c r="C738" s="321">
        <v>16058.3</v>
      </c>
      <c r="D738" s="209">
        <f t="shared" si="11"/>
        <v>-5.7073289202468347E-3</v>
      </c>
    </row>
    <row r="739" spans="2:4" ht="14" thickBot="1" x14ac:dyDescent="0.2">
      <c r="B739" s="312">
        <v>44753</v>
      </c>
      <c r="C739" s="321">
        <v>16216</v>
      </c>
      <c r="D739" s="210">
        <f t="shared" si="11"/>
        <v>-9.7249629995067588E-3</v>
      </c>
    </row>
    <row r="740" spans="2:4" ht="14" thickBot="1" x14ac:dyDescent="0.2">
      <c r="B740" s="312">
        <v>44750</v>
      </c>
      <c r="C740" s="321">
        <v>16220.6</v>
      </c>
      <c r="D740" s="209">
        <f t="shared" si="11"/>
        <v>-2.8359000283595392E-4</v>
      </c>
    </row>
    <row r="741" spans="2:4" ht="14" thickBot="1" x14ac:dyDescent="0.2">
      <c r="B741" s="312">
        <v>44749</v>
      </c>
      <c r="C741" s="321">
        <v>16132.9</v>
      </c>
      <c r="D741" s="210">
        <f t="shared" si="11"/>
        <v>5.4360964240776077E-3</v>
      </c>
    </row>
    <row r="742" spans="2:4" ht="14" thickBot="1" x14ac:dyDescent="0.2">
      <c r="B742" s="312">
        <v>44748</v>
      </c>
      <c r="C742" s="321">
        <v>15989.8</v>
      </c>
      <c r="D742" s="210">
        <f t="shared" si="11"/>
        <v>8.9494552777396041E-3</v>
      </c>
    </row>
    <row r="743" spans="2:4" ht="14" thickBot="1" x14ac:dyDescent="0.2">
      <c r="B743" s="312">
        <v>44747</v>
      </c>
      <c r="C743" s="321">
        <v>15810.85</v>
      </c>
      <c r="D743" s="209">
        <f t="shared" si="11"/>
        <v>1.1318177074603808E-2</v>
      </c>
    </row>
    <row r="744" spans="2:4" ht="14" thickBot="1" x14ac:dyDescent="0.2">
      <c r="B744" s="312">
        <v>44746</v>
      </c>
      <c r="C744" s="321">
        <v>15835.35</v>
      </c>
      <c r="D744" s="209">
        <f t="shared" si="11"/>
        <v>-1.5471713602793757E-3</v>
      </c>
    </row>
    <row r="745" spans="2:4" ht="14" thickBot="1" x14ac:dyDescent="0.2">
      <c r="B745" s="312">
        <v>44743</v>
      </c>
      <c r="C745" s="321">
        <v>15752.05</v>
      </c>
      <c r="D745" s="209">
        <f t="shared" si="11"/>
        <v>5.2882005834162804E-3</v>
      </c>
    </row>
    <row r="746" spans="2:4" ht="14" thickBot="1" x14ac:dyDescent="0.2">
      <c r="B746" s="312">
        <v>44742</v>
      </c>
      <c r="C746" s="321">
        <v>15780.25</v>
      </c>
      <c r="D746" s="210">
        <f t="shared" si="11"/>
        <v>-1.7870439314966458E-3</v>
      </c>
    </row>
    <row r="747" spans="2:4" ht="14" thickBot="1" x14ac:dyDescent="0.2">
      <c r="B747" s="312">
        <v>44741</v>
      </c>
      <c r="C747" s="321">
        <v>15799.1</v>
      </c>
      <c r="D747" s="210">
        <f t="shared" si="11"/>
        <v>-1.193105936414085E-3</v>
      </c>
    </row>
    <row r="748" spans="2:4" ht="14" thickBot="1" x14ac:dyDescent="0.2">
      <c r="B748" s="312">
        <v>44740</v>
      </c>
      <c r="C748" s="321">
        <v>15850.2</v>
      </c>
      <c r="D748" s="209">
        <f t="shared" si="11"/>
        <v>-3.2239340828507101E-3</v>
      </c>
    </row>
    <row r="749" spans="2:4" ht="14" thickBot="1" x14ac:dyDescent="0.2">
      <c r="B749" s="312">
        <v>44739</v>
      </c>
      <c r="C749" s="321">
        <v>15832.05</v>
      </c>
      <c r="D749" s="209">
        <f t="shared" si="11"/>
        <v>1.1464087089165798E-3</v>
      </c>
    </row>
    <row r="750" spans="2:4" ht="14" thickBot="1" x14ac:dyDescent="0.2">
      <c r="B750" s="312">
        <v>44736</v>
      </c>
      <c r="C750" s="321">
        <v>15699.25</v>
      </c>
      <c r="D750" s="209">
        <f t="shared" si="11"/>
        <v>8.4590028186060096E-3</v>
      </c>
    </row>
    <row r="751" spans="2:4" ht="14" thickBot="1" x14ac:dyDescent="0.2">
      <c r="B751" s="312">
        <v>44735</v>
      </c>
      <c r="C751" s="321">
        <v>15556.65</v>
      </c>
      <c r="D751" s="210">
        <f t="shared" si="11"/>
        <v>9.1664979285386305E-3</v>
      </c>
    </row>
    <row r="752" spans="2:4" ht="14" thickBot="1" x14ac:dyDescent="0.2">
      <c r="B752" s="312">
        <v>44734</v>
      </c>
      <c r="C752" s="321">
        <v>15413.3</v>
      </c>
      <c r="D752" s="209">
        <f t="shared" si="11"/>
        <v>9.300409386698627E-3</v>
      </c>
    </row>
    <row r="753" spans="2:4" ht="14" thickBot="1" x14ac:dyDescent="0.2">
      <c r="B753" s="312">
        <v>44733</v>
      </c>
      <c r="C753" s="321">
        <v>15638.8</v>
      </c>
      <c r="D753" s="210">
        <f t="shared" si="11"/>
        <v>-1.4419264905235707E-2</v>
      </c>
    </row>
    <row r="754" spans="2:4" ht="14" thickBot="1" x14ac:dyDescent="0.2">
      <c r="B754" s="312">
        <v>44732</v>
      </c>
      <c r="C754" s="321">
        <v>15350.15</v>
      </c>
      <c r="D754" s="209">
        <f t="shared" si="11"/>
        <v>1.8804376504464093E-2</v>
      </c>
    </row>
    <row r="755" spans="2:4" ht="14" thickBot="1" x14ac:dyDescent="0.2">
      <c r="B755" s="312">
        <v>44729</v>
      </c>
      <c r="C755" s="321">
        <v>15293.5</v>
      </c>
      <c r="D755" s="209">
        <f t="shared" si="11"/>
        <v>3.7041880537482808E-3</v>
      </c>
    </row>
    <row r="756" spans="2:4" ht="14" thickBot="1" x14ac:dyDescent="0.2">
      <c r="B756" s="312">
        <v>44728</v>
      </c>
      <c r="C756" s="321">
        <v>15360.6</v>
      </c>
      <c r="D756" s="210">
        <f t="shared" si="11"/>
        <v>-4.3683189458745275E-3</v>
      </c>
    </row>
    <row r="757" spans="2:4" ht="14" thickBot="1" x14ac:dyDescent="0.2">
      <c r="B757" s="312">
        <v>44727</v>
      </c>
      <c r="C757" s="321">
        <v>15692.15</v>
      </c>
      <c r="D757" s="210">
        <f t="shared" si="11"/>
        <v>-2.1128398594201458E-2</v>
      </c>
    </row>
    <row r="758" spans="2:4" ht="14" thickBot="1" x14ac:dyDescent="0.2">
      <c r="B758" s="312">
        <v>44726</v>
      </c>
      <c r="C758" s="321">
        <v>15732.1</v>
      </c>
      <c r="D758" s="209">
        <f t="shared" si="11"/>
        <v>-2.5393939779178032E-3</v>
      </c>
    </row>
    <row r="759" spans="2:4" ht="14" thickBot="1" x14ac:dyDescent="0.2">
      <c r="B759" s="312">
        <v>44725</v>
      </c>
      <c r="C759" s="321">
        <v>15774.4</v>
      </c>
      <c r="D759" s="210">
        <f t="shared" si="11"/>
        <v>-2.6815599959427727E-3</v>
      </c>
    </row>
    <row r="760" spans="2:4" ht="14" thickBot="1" x14ac:dyDescent="0.2">
      <c r="B760" s="312">
        <v>44722</v>
      </c>
      <c r="C760" s="321">
        <v>16201.8</v>
      </c>
      <c r="D760" s="209">
        <f t="shared" si="11"/>
        <v>-2.6379784962164643E-2</v>
      </c>
    </row>
    <row r="761" spans="2:4" ht="14" thickBot="1" x14ac:dyDescent="0.2">
      <c r="B761" s="312">
        <v>44721</v>
      </c>
      <c r="C761" s="321">
        <v>16478.099999999999</v>
      </c>
      <c r="D761" s="210">
        <f t="shared" si="11"/>
        <v>-1.6767709869463077E-2</v>
      </c>
    </row>
    <row r="762" spans="2:4" ht="14" thickBot="1" x14ac:dyDescent="0.2">
      <c r="B762" s="312">
        <v>44720</v>
      </c>
      <c r="C762" s="321">
        <v>16356.25</v>
      </c>
      <c r="D762" s="210">
        <f t="shared" si="11"/>
        <v>7.4497516239968586E-3</v>
      </c>
    </row>
    <row r="763" spans="2:4" ht="14" thickBot="1" x14ac:dyDescent="0.2">
      <c r="B763" s="312">
        <v>44719</v>
      </c>
      <c r="C763" s="321">
        <v>16416.349999999999</v>
      </c>
      <c r="D763" s="210">
        <f t="shared" si="11"/>
        <v>-3.6609843235554385E-3</v>
      </c>
    </row>
    <row r="764" spans="2:4" ht="14" thickBot="1" x14ac:dyDescent="0.2">
      <c r="B764" s="312">
        <v>44718</v>
      </c>
      <c r="C764" s="321">
        <v>16569.55</v>
      </c>
      <c r="D764" s="210">
        <f t="shared" si="11"/>
        <v>-9.2458757178076612E-3</v>
      </c>
    </row>
    <row r="765" spans="2:4" ht="14" thickBot="1" x14ac:dyDescent="0.2">
      <c r="B765" s="312">
        <v>44715</v>
      </c>
      <c r="C765" s="321">
        <v>16584.3</v>
      </c>
      <c r="D765" s="210">
        <f t="shared" si="11"/>
        <v>-8.8939539202737006E-4</v>
      </c>
    </row>
    <row r="766" spans="2:4" ht="14" thickBot="1" x14ac:dyDescent="0.2">
      <c r="B766" s="312">
        <v>44714</v>
      </c>
      <c r="C766" s="321">
        <v>16628</v>
      </c>
      <c r="D766" s="209">
        <f t="shared" si="11"/>
        <v>-2.6280971854703017E-3</v>
      </c>
    </row>
    <row r="767" spans="2:4" ht="14" thickBot="1" x14ac:dyDescent="0.2">
      <c r="B767" s="312">
        <v>44713</v>
      </c>
      <c r="C767" s="321">
        <v>16522.75</v>
      </c>
      <c r="D767" s="209">
        <f t="shared" si="11"/>
        <v>6.3700049931154634E-3</v>
      </c>
    </row>
    <row r="768" spans="2:4" ht="14" thickBot="1" x14ac:dyDescent="0.2">
      <c r="B768" s="312">
        <v>44712</v>
      </c>
      <c r="C768" s="321">
        <v>16584.55</v>
      </c>
      <c r="D768" s="209">
        <f t="shared" si="11"/>
        <v>-3.7263597746094446E-3</v>
      </c>
    </row>
    <row r="769" spans="2:4" ht="14" thickBot="1" x14ac:dyDescent="0.2">
      <c r="B769" s="312">
        <v>44711</v>
      </c>
      <c r="C769" s="321">
        <v>16661.400000000001</v>
      </c>
      <c r="D769" s="210">
        <f t="shared" si="11"/>
        <v>-4.6124575365816822E-3</v>
      </c>
    </row>
    <row r="770" spans="2:4" ht="14" thickBot="1" x14ac:dyDescent="0.2">
      <c r="B770" s="312">
        <v>44708</v>
      </c>
      <c r="C770" s="321">
        <v>16352.45</v>
      </c>
      <c r="D770" s="210">
        <f t="shared" si="11"/>
        <v>1.8893193374693196E-2</v>
      </c>
    </row>
    <row r="771" spans="2:4" ht="14" thickBot="1" x14ac:dyDescent="0.2">
      <c r="B771" s="312">
        <v>44707</v>
      </c>
      <c r="C771" s="321">
        <v>16170.15</v>
      </c>
      <c r="D771" s="209">
        <f t="shared" si="11"/>
        <v>1.1273859549849607E-2</v>
      </c>
    </row>
    <row r="772" spans="2:4" ht="14" thickBot="1" x14ac:dyDescent="0.2">
      <c r="B772" s="312">
        <v>44706</v>
      </c>
      <c r="C772" s="321">
        <v>16025.8</v>
      </c>
      <c r="D772" s="209">
        <f t="shared" si="11"/>
        <v>9.0073506470815801E-3</v>
      </c>
    </row>
    <row r="773" spans="2:4" ht="14" thickBot="1" x14ac:dyDescent="0.2">
      <c r="B773" s="312">
        <v>44705</v>
      </c>
      <c r="C773" s="321">
        <v>16125.15</v>
      </c>
      <c r="D773" s="209">
        <f t="shared" si="11"/>
        <v>-6.1611829967473941E-3</v>
      </c>
    </row>
    <row r="774" spans="2:4" ht="14" thickBot="1" x14ac:dyDescent="0.2">
      <c r="B774" s="312">
        <v>44704</v>
      </c>
      <c r="C774" s="321">
        <v>16214.7</v>
      </c>
      <c r="D774" s="210">
        <f t="shared" si="11"/>
        <v>-5.5227663786564518E-3</v>
      </c>
    </row>
    <row r="775" spans="2:4" ht="14" thickBot="1" x14ac:dyDescent="0.2">
      <c r="B775" s="312">
        <v>44701</v>
      </c>
      <c r="C775" s="321">
        <v>16266.15</v>
      </c>
      <c r="D775" s="209">
        <f t="shared" si="11"/>
        <v>-3.1630103005320098E-3</v>
      </c>
    </row>
    <row r="776" spans="2:4" ht="14" thickBot="1" x14ac:dyDescent="0.2">
      <c r="B776" s="312">
        <v>44700</v>
      </c>
      <c r="C776" s="321">
        <v>15809.4</v>
      </c>
      <c r="D776" s="209">
        <f t="shared" si="11"/>
        <v>2.8891039508140759E-2</v>
      </c>
    </row>
    <row r="777" spans="2:4" ht="14" thickBot="1" x14ac:dyDescent="0.2">
      <c r="B777" s="312">
        <v>44699</v>
      </c>
      <c r="C777" s="321">
        <v>16240.3</v>
      </c>
      <c r="D777" s="209">
        <f t="shared" si="11"/>
        <v>-2.6532761094314794E-2</v>
      </c>
    </row>
    <row r="778" spans="2:4" ht="14" thickBot="1" x14ac:dyDescent="0.2">
      <c r="B778" s="312">
        <v>44698</v>
      </c>
      <c r="C778" s="321">
        <v>16259.3</v>
      </c>
      <c r="D778" s="210">
        <f t="shared" si="11"/>
        <v>-1.1685619922137125E-3</v>
      </c>
    </row>
    <row r="779" spans="2:4" ht="14" thickBot="1" x14ac:dyDescent="0.2">
      <c r="B779" s="312">
        <v>44697</v>
      </c>
      <c r="C779" s="321">
        <v>15842.3</v>
      </c>
      <c r="D779" s="210">
        <f t="shared" ref="D779:D842" si="12">C778/C779-1</f>
        <v>2.6321935577536149E-2</v>
      </c>
    </row>
    <row r="780" spans="2:4" ht="14" thickBot="1" x14ac:dyDescent="0.2">
      <c r="B780" s="312">
        <v>44694</v>
      </c>
      <c r="C780" s="321">
        <v>15782.15</v>
      </c>
      <c r="D780" s="210">
        <f t="shared" si="12"/>
        <v>3.811267793044637E-3</v>
      </c>
    </row>
    <row r="781" spans="2:4" ht="14" thickBot="1" x14ac:dyDescent="0.2">
      <c r="B781" s="312">
        <v>44693</v>
      </c>
      <c r="C781" s="321">
        <v>15808</v>
      </c>
      <c r="D781" s="210">
        <f t="shared" si="12"/>
        <v>-1.6352479757085758E-3</v>
      </c>
    </row>
    <row r="782" spans="2:4" ht="14" thickBot="1" x14ac:dyDescent="0.2">
      <c r="B782" s="312">
        <v>44692</v>
      </c>
      <c r="C782" s="321">
        <v>16167.1</v>
      </c>
      <c r="D782" s="210">
        <f t="shared" si="12"/>
        <v>-2.2211775766835085E-2</v>
      </c>
    </row>
    <row r="783" spans="2:4" ht="14" thickBot="1" x14ac:dyDescent="0.2">
      <c r="B783" s="312">
        <v>44691</v>
      </c>
      <c r="C783" s="321">
        <v>16240.05</v>
      </c>
      <c r="D783" s="209">
        <f t="shared" si="12"/>
        <v>-4.4919812439000451E-3</v>
      </c>
    </row>
    <row r="784" spans="2:4" ht="14" thickBot="1" x14ac:dyDescent="0.2">
      <c r="B784" s="312">
        <v>44690</v>
      </c>
      <c r="C784" s="321">
        <v>16301.85</v>
      </c>
      <c r="D784" s="210">
        <f t="shared" si="12"/>
        <v>-3.7909807782553484E-3</v>
      </c>
    </row>
    <row r="785" spans="2:4" ht="14" thickBot="1" x14ac:dyDescent="0.2">
      <c r="B785" s="312">
        <v>44687</v>
      </c>
      <c r="C785" s="321">
        <v>16411.25</v>
      </c>
      <c r="D785" s="209">
        <f t="shared" si="12"/>
        <v>-6.6661588849112885E-3</v>
      </c>
    </row>
    <row r="786" spans="2:4" ht="14" thickBot="1" x14ac:dyDescent="0.2">
      <c r="B786" s="312">
        <v>44686</v>
      </c>
      <c r="C786" s="321">
        <v>16682.650000000001</v>
      </c>
      <c r="D786" s="210">
        <f t="shared" si="12"/>
        <v>-1.6268398605737144E-2</v>
      </c>
    </row>
    <row r="787" spans="2:4" ht="14" thickBot="1" x14ac:dyDescent="0.2">
      <c r="B787" s="312">
        <v>44685</v>
      </c>
      <c r="C787" s="321">
        <v>16677.599999999999</v>
      </c>
      <c r="D787" s="210">
        <f t="shared" si="12"/>
        <v>3.0280136230653731E-4</v>
      </c>
    </row>
    <row r="788" spans="2:4" ht="14" thickBot="1" x14ac:dyDescent="0.2">
      <c r="B788" s="312">
        <v>44683</v>
      </c>
      <c r="C788" s="321">
        <v>17069.099999999999</v>
      </c>
      <c r="D788" s="209">
        <f t="shared" si="12"/>
        <v>-2.293618292704358E-2</v>
      </c>
    </row>
    <row r="789" spans="2:4" ht="14" thickBot="1" x14ac:dyDescent="0.2">
      <c r="B789" s="312">
        <v>44680</v>
      </c>
      <c r="C789" s="321">
        <v>17102.55</v>
      </c>
      <c r="D789" s="209">
        <f t="shared" si="12"/>
        <v>-1.9558486892305993E-3</v>
      </c>
    </row>
    <row r="790" spans="2:4" ht="14" thickBot="1" x14ac:dyDescent="0.2">
      <c r="B790" s="312">
        <v>44679</v>
      </c>
      <c r="C790" s="321">
        <v>17245.05</v>
      </c>
      <c r="D790" s="209">
        <f t="shared" si="12"/>
        <v>-8.263240756043011E-3</v>
      </c>
    </row>
    <row r="791" spans="2:4" ht="14" thickBot="1" x14ac:dyDescent="0.2">
      <c r="B791" s="312">
        <v>44678</v>
      </c>
      <c r="C791" s="321">
        <v>17038.400000000001</v>
      </c>
      <c r="D791" s="209">
        <f t="shared" si="12"/>
        <v>1.2128486242839465E-2</v>
      </c>
    </row>
    <row r="792" spans="2:4" ht="14" thickBot="1" x14ac:dyDescent="0.2">
      <c r="B792" s="312">
        <v>44677</v>
      </c>
      <c r="C792" s="321">
        <v>17200.8</v>
      </c>
      <c r="D792" s="209">
        <f t="shared" si="12"/>
        <v>-9.4414213292404181E-3</v>
      </c>
    </row>
    <row r="793" spans="2:4" ht="14" thickBot="1" x14ac:dyDescent="0.2">
      <c r="B793" s="312">
        <v>44676</v>
      </c>
      <c r="C793" s="321">
        <v>16953.95</v>
      </c>
      <c r="D793" s="209">
        <f t="shared" si="12"/>
        <v>1.4560028783852541E-2</v>
      </c>
    </row>
    <row r="794" spans="2:4" ht="14" thickBot="1" x14ac:dyDescent="0.2">
      <c r="B794" s="312">
        <v>44673</v>
      </c>
      <c r="C794" s="321">
        <v>17171.95</v>
      </c>
      <c r="D794" s="210">
        <f t="shared" si="12"/>
        <v>-1.2695121986728397E-2</v>
      </c>
    </row>
    <row r="795" spans="2:4" ht="14" thickBot="1" x14ac:dyDescent="0.2">
      <c r="B795" s="312">
        <v>44672</v>
      </c>
      <c r="C795" s="321">
        <v>17392.599999999999</v>
      </c>
      <c r="D795" s="210">
        <f t="shared" si="12"/>
        <v>-1.2686429860975235E-2</v>
      </c>
    </row>
    <row r="796" spans="2:4" ht="14" thickBot="1" x14ac:dyDescent="0.2">
      <c r="B796" s="312">
        <v>44671</v>
      </c>
      <c r="C796" s="321">
        <v>17136.55</v>
      </c>
      <c r="D796" s="210">
        <f t="shared" si="12"/>
        <v>1.4941747317867238E-2</v>
      </c>
    </row>
    <row r="797" spans="2:4" ht="14" thickBot="1" x14ac:dyDescent="0.2">
      <c r="B797" s="312">
        <v>44670</v>
      </c>
      <c r="C797" s="321">
        <v>16958.650000000001</v>
      </c>
      <c r="D797" s="210">
        <f t="shared" si="12"/>
        <v>1.0490221804211775E-2</v>
      </c>
    </row>
    <row r="798" spans="2:4" ht="14" thickBot="1" x14ac:dyDescent="0.2">
      <c r="B798" s="312">
        <v>44669</v>
      </c>
      <c r="C798" s="321">
        <v>17173.650000000001</v>
      </c>
      <c r="D798" s="210">
        <f t="shared" si="12"/>
        <v>-1.251917909122402E-2</v>
      </c>
    </row>
    <row r="799" spans="2:4" ht="14" thickBot="1" x14ac:dyDescent="0.2">
      <c r="B799" s="312">
        <v>44664</v>
      </c>
      <c r="C799" s="321">
        <v>17475.650000000001</v>
      </c>
      <c r="D799" s="210">
        <f t="shared" si="12"/>
        <v>-1.7281188396425895E-2</v>
      </c>
    </row>
    <row r="800" spans="2:4" ht="14" thickBot="1" x14ac:dyDescent="0.2">
      <c r="B800" s="312">
        <v>44663</v>
      </c>
      <c r="C800" s="321">
        <v>17530.3</v>
      </c>
      <c r="D800" s="209">
        <f t="shared" si="12"/>
        <v>-3.1174594844354253E-3</v>
      </c>
    </row>
    <row r="801" spans="2:4" ht="14" thickBot="1" x14ac:dyDescent="0.2">
      <c r="B801" s="312">
        <v>44662</v>
      </c>
      <c r="C801" s="321">
        <v>17674.95</v>
      </c>
      <c r="D801" s="209">
        <f t="shared" si="12"/>
        <v>-8.1838986814674053E-3</v>
      </c>
    </row>
    <row r="802" spans="2:4" ht="14" thickBot="1" x14ac:dyDescent="0.2">
      <c r="B802" s="312">
        <v>44659</v>
      </c>
      <c r="C802" s="321">
        <v>17784.349999999999</v>
      </c>
      <c r="D802" s="210">
        <f t="shared" si="12"/>
        <v>-6.1514758762618582E-3</v>
      </c>
    </row>
    <row r="803" spans="2:4" ht="14" thickBot="1" x14ac:dyDescent="0.2">
      <c r="B803" s="312">
        <v>44658</v>
      </c>
      <c r="C803" s="321">
        <v>17639.55</v>
      </c>
      <c r="D803" s="210">
        <f t="shared" si="12"/>
        <v>8.208826188876639E-3</v>
      </c>
    </row>
    <row r="804" spans="2:4" ht="14" thickBot="1" x14ac:dyDescent="0.2">
      <c r="B804" s="312">
        <v>44657</v>
      </c>
      <c r="C804" s="321">
        <v>17807.650000000001</v>
      </c>
      <c r="D804" s="209">
        <f t="shared" si="12"/>
        <v>-9.4397632478178117E-3</v>
      </c>
    </row>
    <row r="805" spans="2:4" ht="14" thickBot="1" x14ac:dyDescent="0.2">
      <c r="B805" s="312">
        <v>44656</v>
      </c>
      <c r="C805" s="321">
        <v>17957.400000000001</v>
      </c>
      <c r="D805" s="209">
        <f t="shared" si="12"/>
        <v>-8.3391805049728429E-3</v>
      </c>
    </row>
    <row r="806" spans="2:4" ht="14" thickBot="1" x14ac:dyDescent="0.2">
      <c r="B806" s="312">
        <v>44655</v>
      </c>
      <c r="C806" s="321">
        <v>18053.400000000001</v>
      </c>
      <c r="D806" s="209">
        <f t="shared" si="12"/>
        <v>-5.3175579115291027E-3</v>
      </c>
    </row>
    <row r="807" spans="2:4" ht="14" thickBot="1" x14ac:dyDescent="0.2">
      <c r="B807" s="312">
        <v>44652</v>
      </c>
      <c r="C807" s="321">
        <v>17670.45</v>
      </c>
      <c r="D807" s="209">
        <f t="shared" si="12"/>
        <v>2.1671774063478866E-2</v>
      </c>
    </row>
    <row r="808" spans="2:4" ht="14" thickBot="1" x14ac:dyDescent="0.2">
      <c r="B808" s="312">
        <v>44651</v>
      </c>
      <c r="C808" s="321">
        <v>17464.75</v>
      </c>
      <c r="D808" s="209">
        <f t="shared" si="12"/>
        <v>1.1778009991554539E-2</v>
      </c>
    </row>
    <row r="809" spans="2:4" ht="14" thickBot="1" x14ac:dyDescent="0.2">
      <c r="B809" s="312">
        <v>44650</v>
      </c>
      <c r="C809" s="321">
        <v>17498.25</v>
      </c>
      <c r="D809" s="210">
        <f t="shared" si="12"/>
        <v>-1.9144771620018819E-3</v>
      </c>
    </row>
    <row r="810" spans="2:4" ht="14" thickBot="1" x14ac:dyDescent="0.2">
      <c r="B810" s="312">
        <v>44649</v>
      </c>
      <c r="C810" s="321">
        <v>17325.3</v>
      </c>
      <c r="D810" s="210">
        <f t="shared" si="12"/>
        <v>9.9825111253484256E-3</v>
      </c>
    </row>
    <row r="811" spans="2:4" ht="14" thickBot="1" x14ac:dyDescent="0.2">
      <c r="B811" s="312">
        <v>44648</v>
      </c>
      <c r="C811" s="321">
        <v>17222</v>
      </c>
      <c r="D811" s="209">
        <f t="shared" si="12"/>
        <v>5.9981419115084922E-3</v>
      </c>
    </row>
    <row r="812" spans="2:4" ht="14" thickBot="1" x14ac:dyDescent="0.2">
      <c r="B812" s="312">
        <v>44645</v>
      </c>
      <c r="C812" s="321">
        <v>17153</v>
      </c>
      <c r="D812" s="209">
        <f t="shared" si="12"/>
        <v>4.0226199498629711E-3</v>
      </c>
    </row>
    <row r="813" spans="2:4" ht="14" thickBot="1" x14ac:dyDescent="0.2">
      <c r="B813" s="312">
        <v>44644</v>
      </c>
      <c r="C813" s="321">
        <v>17222.75</v>
      </c>
      <c r="D813" s="209">
        <f t="shared" si="12"/>
        <v>-4.049875890900112E-3</v>
      </c>
    </row>
    <row r="814" spans="2:4" ht="14" thickBot="1" x14ac:dyDescent="0.2">
      <c r="B814" s="312">
        <v>44643</v>
      </c>
      <c r="C814" s="321">
        <v>17245.650000000001</v>
      </c>
      <c r="D814" s="210">
        <f t="shared" si="12"/>
        <v>-1.3278710863320331E-3</v>
      </c>
    </row>
    <row r="815" spans="2:4" ht="14" thickBot="1" x14ac:dyDescent="0.2">
      <c r="B815" s="312">
        <v>44642</v>
      </c>
      <c r="C815" s="321">
        <v>17315.5</v>
      </c>
      <c r="D815" s="209">
        <f t="shared" si="12"/>
        <v>-4.0339580144955756E-3</v>
      </c>
    </row>
    <row r="816" spans="2:4" ht="14" thickBot="1" x14ac:dyDescent="0.2">
      <c r="B816" s="312">
        <v>44641</v>
      </c>
      <c r="C816" s="321">
        <v>17117.599999999999</v>
      </c>
      <c r="D816" s="209">
        <f t="shared" si="12"/>
        <v>1.1561200168247909E-2</v>
      </c>
    </row>
    <row r="817" spans="2:4" ht="14" thickBot="1" x14ac:dyDescent="0.2">
      <c r="B817" s="312">
        <v>44637</v>
      </c>
      <c r="C817" s="321">
        <v>17287.05</v>
      </c>
      <c r="D817" s="209">
        <f t="shared" si="12"/>
        <v>-9.8021351242694177E-3</v>
      </c>
    </row>
    <row r="818" spans="2:4" ht="14" thickBot="1" x14ac:dyDescent="0.2">
      <c r="B818" s="312">
        <v>44636</v>
      </c>
      <c r="C818" s="321">
        <v>16975.349999999999</v>
      </c>
      <c r="D818" s="209">
        <f t="shared" si="12"/>
        <v>1.8361918900052121E-2</v>
      </c>
    </row>
    <row r="819" spans="2:4" ht="14" thickBot="1" x14ac:dyDescent="0.2">
      <c r="B819" s="312">
        <v>44635</v>
      </c>
      <c r="C819" s="321">
        <v>16663</v>
      </c>
      <c r="D819" s="209">
        <f t="shared" si="12"/>
        <v>1.8745123927264018E-2</v>
      </c>
    </row>
    <row r="820" spans="2:4" ht="14" thickBot="1" x14ac:dyDescent="0.2">
      <c r="B820" s="312">
        <v>44634</v>
      </c>
      <c r="C820" s="321">
        <v>16871.3</v>
      </c>
      <c r="D820" s="209">
        <f t="shared" si="12"/>
        <v>-1.2346410768583338E-2</v>
      </c>
    </row>
    <row r="821" spans="2:4" ht="14" thickBot="1" x14ac:dyDescent="0.2">
      <c r="B821" s="312">
        <v>44631</v>
      </c>
      <c r="C821" s="321">
        <v>16630.45</v>
      </c>
      <c r="D821" s="210">
        <f t="shared" si="12"/>
        <v>1.4482470408196946E-2</v>
      </c>
    </row>
    <row r="822" spans="2:4" ht="14" thickBot="1" x14ac:dyDescent="0.2">
      <c r="B822" s="312">
        <v>44630</v>
      </c>
      <c r="C822" s="321">
        <v>16594.900000000001</v>
      </c>
      <c r="D822" s="209">
        <f t="shared" si="12"/>
        <v>2.1422244183453287E-3</v>
      </c>
    </row>
    <row r="823" spans="2:4" ht="14" thickBot="1" x14ac:dyDescent="0.2">
      <c r="B823" s="312">
        <v>44629</v>
      </c>
      <c r="C823" s="321">
        <v>16345.35</v>
      </c>
      <c r="D823" s="209">
        <f t="shared" si="12"/>
        <v>1.5267339029142901E-2</v>
      </c>
    </row>
    <row r="824" spans="2:4" ht="14" thickBot="1" x14ac:dyDescent="0.2">
      <c r="B824" s="312">
        <v>44628</v>
      </c>
      <c r="C824" s="321">
        <v>16013.45</v>
      </c>
      <c r="D824" s="209">
        <f t="shared" si="12"/>
        <v>2.0726326931423289E-2</v>
      </c>
    </row>
    <row r="825" spans="2:4" ht="14" thickBot="1" x14ac:dyDescent="0.2">
      <c r="B825" s="312">
        <v>44627</v>
      </c>
      <c r="C825" s="321">
        <v>15863.15</v>
      </c>
      <c r="D825" s="209">
        <f t="shared" si="12"/>
        <v>9.4747890551372116E-3</v>
      </c>
    </row>
    <row r="826" spans="2:4" ht="14" thickBot="1" x14ac:dyDescent="0.2">
      <c r="B826" s="312">
        <v>44624</v>
      </c>
      <c r="C826" s="321">
        <v>16245.35</v>
      </c>
      <c r="D826" s="209">
        <f t="shared" si="12"/>
        <v>-2.3526732264925077E-2</v>
      </c>
    </row>
    <row r="827" spans="2:4" ht="14" thickBot="1" x14ac:dyDescent="0.2">
      <c r="B827" s="312">
        <v>44623</v>
      </c>
      <c r="C827" s="321">
        <v>16498.05</v>
      </c>
      <c r="D827" s="209">
        <f t="shared" si="12"/>
        <v>-1.5316961701534404E-2</v>
      </c>
    </row>
    <row r="828" spans="2:4" ht="14" thickBot="1" x14ac:dyDescent="0.2">
      <c r="B828" s="312">
        <v>44622</v>
      </c>
      <c r="C828" s="321">
        <v>16605.95</v>
      </c>
      <c r="D828" s="210">
        <f t="shared" si="12"/>
        <v>-6.4976710155095763E-3</v>
      </c>
    </row>
    <row r="829" spans="2:4" ht="14" thickBot="1" x14ac:dyDescent="0.2">
      <c r="B829" s="312">
        <v>44620</v>
      </c>
      <c r="C829" s="321">
        <v>16793.900000000001</v>
      </c>
      <c r="D829" s="209">
        <f t="shared" si="12"/>
        <v>-1.1191563603451304E-2</v>
      </c>
    </row>
    <row r="830" spans="2:4" ht="14" thickBot="1" x14ac:dyDescent="0.2">
      <c r="B830" s="312">
        <v>44617</v>
      </c>
      <c r="C830" s="321">
        <v>16658.400000000001</v>
      </c>
      <c r="D830" s="209">
        <f t="shared" si="12"/>
        <v>8.1340344811027254E-3</v>
      </c>
    </row>
    <row r="831" spans="2:4" ht="14" thickBot="1" x14ac:dyDescent="0.2">
      <c r="B831" s="312">
        <v>44616</v>
      </c>
      <c r="C831" s="321">
        <v>16247.95</v>
      </c>
      <c r="D831" s="209">
        <f t="shared" si="12"/>
        <v>2.5261648392566505E-2</v>
      </c>
    </row>
    <row r="832" spans="2:4" ht="14" thickBot="1" x14ac:dyDescent="0.2">
      <c r="B832" s="312">
        <v>44615</v>
      </c>
      <c r="C832" s="321">
        <v>17063.25</v>
      </c>
      <c r="D832" s="209">
        <f t="shared" si="12"/>
        <v>-4.7781049917219764E-2</v>
      </c>
    </row>
    <row r="833" spans="2:4" ht="14" thickBot="1" x14ac:dyDescent="0.2">
      <c r="B833" s="312">
        <v>44614</v>
      </c>
      <c r="C833" s="321">
        <v>17092.2</v>
      </c>
      <c r="D833" s="209">
        <f t="shared" si="12"/>
        <v>-1.693755046161427E-3</v>
      </c>
    </row>
    <row r="834" spans="2:4" ht="14" thickBot="1" x14ac:dyDescent="0.2">
      <c r="B834" s="312">
        <v>44613</v>
      </c>
      <c r="C834" s="321">
        <v>17206.650000000001</v>
      </c>
      <c r="D834" s="209">
        <f t="shared" si="12"/>
        <v>-6.651498112648313E-3</v>
      </c>
    </row>
    <row r="835" spans="2:4" ht="14" thickBot="1" x14ac:dyDescent="0.2">
      <c r="B835" s="312">
        <v>44610</v>
      </c>
      <c r="C835" s="321">
        <v>17276.3</v>
      </c>
      <c r="D835" s="209">
        <f t="shared" si="12"/>
        <v>-4.0315345299628547E-3</v>
      </c>
    </row>
    <row r="836" spans="2:4" ht="14" thickBot="1" x14ac:dyDescent="0.2">
      <c r="B836" s="312">
        <v>44609</v>
      </c>
      <c r="C836" s="321">
        <v>17304.599999999999</v>
      </c>
      <c r="D836" s="210">
        <f t="shared" si="12"/>
        <v>-1.6354033031679149E-3</v>
      </c>
    </row>
    <row r="837" spans="2:4" ht="14" thickBot="1" x14ac:dyDescent="0.2">
      <c r="B837" s="312">
        <v>44608</v>
      </c>
      <c r="C837" s="321">
        <v>17322.2</v>
      </c>
      <c r="D837" s="209">
        <f t="shared" si="12"/>
        <v>-1.0160372239093052E-3</v>
      </c>
    </row>
    <row r="838" spans="2:4" ht="14" thickBot="1" x14ac:dyDescent="0.2">
      <c r="B838" s="312">
        <v>44607</v>
      </c>
      <c r="C838" s="321">
        <v>17352.45</v>
      </c>
      <c r="D838" s="210">
        <f t="shared" si="12"/>
        <v>-1.7432696823791449E-3</v>
      </c>
    </row>
    <row r="839" spans="2:4" ht="14" thickBot="1" x14ac:dyDescent="0.2">
      <c r="B839" s="312">
        <v>44606</v>
      </c>
      <c r="C839" s="321">
        <v>16842.8</v>
      </c>
      <c r="D839" s="209">
        <f t="shared" si="12"/>
        <v>3.0259220557152133E-2</v>
      </c>
    </row>
    <row r="840" spans="2:4" ht="14" thickBot="1" x14ac:dyDescent="0.2">
      <c r="B840" s="312">
        <v>44603</v>
      </c>
      <c r="C840" s="321">
        <v>17374.75</v>
      </c>
      <c r="D840" s="209">
        <f t="shared" si="12"/>
        <v>-3.0616267859969293E-2</v>
      </c>
    </row>
    <row r="841" spans="2:4" ht="14" thickBot="1" x14ac:dyDescent="0.2">
      <c r="B841" s="312">
        <v>44602</v>
      </c>
      <c r="C841" s="321">
        <v>17605.849999999999</v>
      </c>
      <c r="D841" s="209">
        <f t="shared" si="12"/>
        <v>-1.3126318808804993E-2</v>
      </c>
    </row>
    <row r="842" spans="2:4" ht="14" thickBot="1" x14ac:dyDescent="0.2">
      <c r="B842" s="312">
        <v>44601</v>
      </c>
      <c r="C842" s="321">
        <v>17463.8</v>
      </c>
      <c r="D842" s="210">
        <f t="shared" si="12"/>
        <v>8.1339685520904759E-3</v>
      </c>
    </row>
    <row r="843" spans="2:4" ht="14" thickBot="1" x14ac:dyDescent="0.2">
      <c r="B843" s="312">
        <v>44600</v>
      </c>
      <c r="C843" s="321">
        <v>17266.75</v>
      </c>
      <c r="D843" s="209">
        <f t="shared" ref="D843:D906" si="13">C842/C843-1</f>
        <v>1.1412107084425305E-2</v>
      </c>
    </row>
    <row r="844" spans="2:4" ht="14" thickBot="1" x14ac:dyDescent="0.2">
      <c r="B844" s="312">
        <v>44599</v>
      </c>
      <c r="C844" s="321">
        <v>17213.599999999999</v>
      </c>
      <c r="D844" s="209">
        <f t="shared" si="13"/>
        <v>3.0876748617372218E-3</v>
      </c>
    </row>
    <row r="845" spans="2:4" ht="14" thickBot="1" x14ac:dyDescent="0.2">
      <c r="B845" s="312">
        <v>44596</v>
      </c>
      <c r="C845" s="321">
        <v>17516.3</v>
      </c>
      <c r="D845" s="209">
        <f t="shared" si="13"/>
        <v>-1.7281046796412514E-2</v>
      </c>
    </row>
    <row r="846" spans="2:4" ht="14" thickBot="1" x14ac:dyDescent="0.2">
      <c r="B846" s="312">
        <v>44595</v>
      </c>
      <c r="C846" s="321">
        <v>17560.2</v>
      </c>
      <c r="D846" s="209">
        <f t="shared" si="13"/>
        <v>-2.4999715265202616E-3</v>
      </c>
    </row>
    <row r="847" spans="2:4" ht="14" thickBot="1" x14ac:dyDescent="0.2">
      <c r="B847" s="312">
        <v>44594</v>
      </c>
      <c r="C847" s="321">
        <v>17780</v>
      </c>
      <c r="D847" s="210">
        <f t="shared" si="13"/>
        <v>-1.2362204724409409E-2</v>
      </c>
    </row>
    <row r="848" spans="2:4" ht="14" thickBot="1" x14ac:dyDescent="0.2">
      <c r="B848" s="312">
        <v>44593</v>
      </c>
      <c r="C848" s="321">
        <v>17576.849999999999</v>
      </c>
      <c r="D848" s="209">
        <f t="shared" si="13"/>
        <v>1.1557816104706076E-2</v>
      </c>
    </row>
    <row r="849" spans="2:4" ht="14" thickBot="1" x14ac:dyDescent="0.2">
      <c r="B849" s="312">
        <v>44592</v>
      </c>
      <c r="C849" s="321">
        <v>17339.849999999999</v>
      </c>
      <c r="D849" s="209">
        <f t="shared" si="13"/>
        <v>1.3667938303964622E-2</v>
      </c>
    </row>
    <row r="850" spans="2:4" ht="14" thickBot="1" x14ac:dyDescent="0.2">
      <c r="B850" s="312">
        <v>44589</v>
      </c>
      <c r="C850" s="321">
        <v>17101.95</v>
      </c>
      <c r="D850" s="209">
        <f t="shared" si="13"/>
        <v>1.3910694394498657E-2</v>
      </c>
    </row>
    <row r="851" spans="2:4" ht="14" thickBot="1" x14ac:dyDescent="0.2">
      <c r="B851" s="312">
        <v>44588</v>
      </c>
      <c r="C851" s="321">
        <v>17110.150000000001</v>
      </c>
      <c r="D851" s="209">
        <f t="shared" si="13"/>
        <v>-4.7924769800389289E-4</v>
      </c>
    </row>
    <row r="852" spans="2:4" ht="14" thickBot="1" x14ac:dyDescent="0.2">
      <c r="B852" s="312">
        <v>44586</v>
      </c>
      <c r="C852" s="321">
        <v>17277.95</v>
      </c>
      <c r="D852" s="209">
        <f t="shared" si="13"/>
        <v>-9.7118003003827669E-3</v>
      </c>
    </row>
    <row r="853" spans="2:4" ht="14" thickBot="1" x14ac:dyDescent="0.2">
      <c r="B853" s="312">
        <v>44585</v>
      </c>
      <c r="C853" s="321">
        <v>17149.099999999999</v>
      </c>
      <c r="D853" s="209">
        <f t="shared" si="13"/>
        <v>7.5135138287141245E-3</v>
      </c>
    </row>
    <row r="854" spans="2:4" ht="14" thickBot="1" x14ac:dyDescent="0.2">
      <c r="B854" s="312">
        <v>44582</v>
      </c>
      <c r="C854" s="321">
        <v>17617.150000000001</v>
      </c>
      <c r="D854" s="209">
        <f t="shared" si="13"/>
        <v>-2.6567861430481288E-2</v>
      </c>
    </row>
    <row r="855" spans="2:4" ht="14" thickBot="1" x14ac:dyDescent="0.2">
      <c r="B855" s="312">
        <v>44581</v>
      </c>
      <c r="C855" s="321">
        <v>17757</v>
      </c>
      <c r="D855" s="209">
        <f t="shared" si="13"/>
        <v>-7.875767303035297E-3</v>
      </c>
    </row>
    <row r="856" spans="2:4" ht="14" thickBot="1" x14ac:dyDescent="0.2">
      <c r="B856" s="312">
        <v>44580</v>
      </c>
      <c r="C856" s="321">
        <v>17938.400000000001</v>
      </c>
      <c r="D856" s="210">
        <f t="shared" si="13"/>
        <v>-1.0112384605093117E-2</v>
      </c>
    </row>
    <row r="857" spans="2:4" ht="14" thickBot="1" x14ac:dyDescent="0.2">
      <c r="B857" s="312">
        <v>44579</v>
      </c>
      <c r="C857" s="321">
        <v>18113.05</v>
      </c>
      <c r="D857" s="210">
        <f t="shared" si="13"/>
        <v>-9.6422192838863108E-3</v>
      </c>
    </row>
    <row r="858" spans="2:4" ht="14" thickBot="1" x14ac:dyDescent="0.2">
      <c r="B858" s="312">
        <v>44578</v>
      </c>
      <c r="C858" s="321">
        <v>18308.099999999999</v>
      </c>
      <c r="D858" s="210">
        <f t="shared" si="13"/>
        <v>-1.0653754349167821E-2</v>
      </c>
    </row>
    <row r="859" spans="2:4" ht="14" thickBot="1" x14ac:dyDescent="0.2">
      <c r="B859" s="312">
        <v>44575</v>
      </c>
      <c r="C859" s="321">
        <v>18255.75</v>
      </c>
      <c r="D859" s="209">
        <f t="shared" si="13"/>
        <v>2.8675896635306231E-3</v>
      </c>
    </row>
    <row r="860" spans="2:4" ht="14" thickBot="1" x14ac:dyDescent="0.2">
      <c r="B860" s="312">
        <v>44574</v>
      </c>
      <c r="C860" s="321">
        <v>18257.8</v>
      </c>
      <c r="D860" s="210">
        <f t="shared" si="13"/>
        <v>-1.1228077862612817E-4</v>
      </c>
    </row>
    <row r="861" spans="2:4" ht="14" thickBot="1" x14ac:dyDescent="0.2">
      <c r="B861" s="312">
        <v>44573</v>
      </c>
      <c r="C861" s="321">
        <v>18212.349999999999</v>
      </c>
      <c r="D861" s="209">
        <f t="shared" si="13"/>
        <v>2.495559331991748E-3</v>
      </c>
    </row>
    <row r="862" spans="2:4" ht="14" thickBot="1" x14ac:dyDescent="0.2">
      <c r="B862" s="312">
        <v>44572</v>
      </c>
      <c r="C862" s="321">
        <v>18055.75</v>
      </c>
      <c r="D862" s="210">
        <f t="shared" si="13"/>
        <v>8.6731373662130018E-3</v>
      </c>
    </row>
    <row r="863" spans="2:4" ht="14" thickBot="1" x14ac:dyDescent="0.2">
      <c r="B863" s="312">
        <v>44571</v>
      </c>
      <c r="C863" s="321">
        <v>18003.3</v>
      </c>
      <c r="D863" s="209">
        <f t="shared" si="13"/>
        <v>2.9133547738471322E-3</v>
      </c>
    </row>
    <row r="864" spans="2:4" ht="14" thickBot="1" x14ac:dyDescent="0.2">
      <c r="B864" s="312">
        <v>44568</v>
      </c>
      <c r="C864" s="321">
        <v>17812.7</v>
      </c>
      <c r="D864" s="209">
        <f t="shared" si="13"/>
        <v>1.0700230734251415E-2</v>
      </c>
    </row>
    <row r="865" spans="2:4" ht="14" thickBot="1" x14ac:dyDescent="0.2">
      <c r="B865" s="312">
        <v>44567</v>
      </c>
      <c r="C865" s="321">
        <v>17745.900000000001</v>
      </c>
      <c r="D865" s="209">
        <f t="shared" si="13"/>
        <v>3.7642497703693767E-3</v>
      </c>
    </row>
    <row r="866" spans="2:4" ht="14" thickBot="1" x14ac:dyDescent="0.2">
      <c r="B866" s="312">
        <v>44566</v>
      </c>
      <c r="C866" s="321">
        <v>17925.25</v>
      </c>
      <c r="D866" s="209">
        <f t="shared" si="13"/>
        <v>-1.0005439254682558E-2</v>
      </c>
    </row>
    <row r="867" spans="2:4" ht="14" thickBot="1" x14ac:dyDescent="0.2">
      <c r="B867" s="312">
        <v>44565</v>
      </c>
      <c r="C867" s="321">
        <v>17805.25</v>
      </c>
      <c r="D867" s="210">
        <f t="shared" si="13"/>
        <v>6.7395852346920915E-3</v>
      </c>
    </row>
    <row r="868" spans="2:4" ht="14" thickBot="1" x14ac:dyDescent="0.2">
      <c r="B868" s="312">
        <v>44564</v>
      </c>
      <c r="C868" s="321">
        <v>17625.7</v>
      </c>
      <c r="D868" s="209">
        <f t="shared" si="13"/>
        <v>1.0186829459255531E-2</v>
      </c>
    </row>
    <row r="869" spans="2:4" ht="14" thickBot="1" x14ac:dyDescent="0.2">
      <c r="B869" s="312">
        <v>44561</v>
      </c>
      <c r="C869" s="321">
        <v>17354.05</v>
      </c>
      <c r="D869" s="209">
        <f t="shared" si="13"/>
        <v>1.5653406553513438E-2</v>
      </c>
    </row>
    <row r="870" spans="2:4" ht="14" thickBot="1" x14ac:dyDescent="0.2">
      <c r="B870" s="312">
        <v>44560</v>
      </c>
      <c r="C870" s="321">
        <v>17203.95</v>
      </c>
      <c r="D870" s="209">
        <f t="shared" si="13"/>
        <v>8.7247405392365529E-3</v>
      </c>
    </row>
    <row r="871" spans="2:4" ht="14" thickBot="1" x14ac:dyDescent="0.2">
      <c r="B871" s="312">
        <v>44559</v>
      </c>
      <c r="C871" s="321">
        <v>17213.599999999999</v>
      </c>
      <c r="D871" s="209">
        <f t="shared" si="13"/>
        <v>-5.6060324394646699E-4</v>
      </c>
    </row>
    <row r="872" spans="2:4" ht="14" thickBot="1" x14ac:dyDescent="0.2">
      <c r="B872" s="312">
        <v>44558</v>
      </c>
      <c r="C872" s="321">
        <v>17233.25</v>
      </c>
      <c r="D872" s="209">
        <f t="shared" si="13"/>
        <v>-1.1402376220388533E-3</v>
      </c>
    </row>
    <row r="873" spans="2:4" ht="14" thickBot="1" x14ac:dyDescent="0.2">
      <c r="B873" s="312">
        <v>44557</v>
      </c>
      <c r="C873" s="321">
        <v>17086.25</v>
      </c>
      <c r="D873" s="209">
        <f t="shared" si="13"/>
        <v>8.6034091740434526E-3</v>
      </c>
    </row>
    <row r="874" spans="2:4" ht="14" thickBot="1" x14ac:dyDescent="0.2">
      <c r="B874" s="312">
        <v>44554</v>
      </c>
      <c r="C874" s="321">
        <v>17003.75</v>
      </c>
      <c r="D874" s="209">
        <f t="shared" si="13"/>
        <v>4.8518709108285041E-3</v>
      </c>
    </row>
    <row r="875" spans="2:4" ht="14" thickBot="1" x14ac:dyDescent="0.2">
      <c r="B875" s="312">
        <v>44553</v>
      </c>
      <c r="C875" s="321">
        <v>17072.599999999999</v>
      </c>
      <c r="D875" s="209">
        <f t="shared" si="13"/>
        <v>-4.0327776671390536E-3</v>
      </c>
    </row>
    <row r="876" spans="2:4" ht="14" thickBot="1" x14ac:dyDescent="0.2">
      <c r="B876" s="312">
        <v>44552</v>
      </c>
      <c r="C876" s="321">
        <v>16955.45</v>
      </c>
      <c r="D876" s="209">
        <f t="shared" si="13"/>
        <v>6.9092828559547126E-3</v>
      </c>
    </row>
    <row r="877" spans="2:4" ht="14" thickBot="1" x14ac:dyDescent="0.2">
      <c r="B877" s="312">
        <v>44551</v>
      </c>
      <c r="C877" s="321">
        <v>16770.849999999999</v>
      </c>
      <c r="D877" s="209">
        <f t="shared" si="13"/>
        <v>1.1007194030117962E-2</v>
      </c>
    </row>
    <row r="878" spans="2:4" ht="14" thickBot="1" x14ac:dyDescent="0.2">
      <c r="B878" s="312">
        <v>44550</v>
      </c>
      <c r="C878" s="321">
        <v>16614.2</v>
      </c>
      <c r="D878" s="210">
        <f t="shared" si="13"/>
        <v>9.4286814893282944E-3</v>
      </c>
    </row>
    <row r="879" spans="2:4" ht="14" thickBot="1" x14ac:dyDescent="0.2">
      <c r="B879" s="312">
        <v>44547</v>
      </c>
      <c r="C879" s="321">
        <v>16985.2</v>
      </c>
      <c r="D879" s="209">
        <f t="shared" si="13"/>
        <v>-2.1842545274709746E-2</v>
      </c>
    </row>
    <row r="880" spans="2:4" ht="14" thickBot="1" x14ac:dyDescent="0.2">
      <c r="B880" s="312">
        <v>44546</v>
      </c>
      <c r="C880" s="321">
        <v>17248.400000000001</v>
      </c>
      <c r="D880" s="209">
        <f t="shared" si="13"/>
        <v>-1.5259386377866946E-2</v>
      </c>
    </row>
    <row r="881" spans="2:4" ht="14" thickBot="1" x14ac:dyDescent="0.2">
      <c r="B881" s="312">
        <v>44545</v>
      </c>
      <c r="C881" s="321">
        <v>17221.400000000001</v>
      </c>
      <c r="D881" s="210">
        <f t="shared" si="13"/>
        <v>1.5678167860917469E-3</v>
      </c>
    </row>
    <row r="882" spans="2:4" ht="14" thickBot="1" x14ac:dyDescent="0.2">
      <c r="B882" s="312">
        <v>44544</v>
      </c>
      <c r="C882" s="321">
        <v>17324.900000000001</v>
      </c>
      <c r="D882" s="210">
        <f t="shared" si="13"/>
        <v>-5.9740604563374156E-3</v>
      </c>
    </row>
    <row r="883" spans="2:4" ht="14" thickBot="1" x14ac:dyDescent="0.2">
      <c r="B883" s="312">
        <v>44543</v>
      </c>
      <c r="C883" s="321">
        <v>17368.25</v>
      </c>
      <c r="D883" s="210">
        <f t="shared" si="13"/>
        <v>-2.4959336720740133E-3</v>
      </c>
    </row>
    <row r="884" spans="2:4" ht="14" thickBot="1" x14ac:dyDescent="0.2">
      <c r="B884" s="312">
        <v>44540</v>
      </c>
      <c r="C884" s="321">
        <v>17511.3</v>
      </c>
      <c r="D884" s="210">
        <f t="shared" si="13"/>
        <v>-8.1690108672685113E-3</v>
      </c>
    </row>
    <row r="885" spans="2:4" ht="14" thickBot="1" x14ac:dyDescent="0.2">
      <c r="B885" s="312">
        <v>44539</v>
      </c>
      <c r="C885" s="321">
        <v>17516.849999999999</v>
      </c>
      <c r="D885" s="210">
        <f t="shared" si="13"/>
        <v>-3.1683778761593118E-4</v>
      </c>
    </row>
    <row r="886" spans="2:4" ht="14" thickBot="1" x14ac:dyDescent="0.2">
      <c r="B886" s="312">
        <v>44538</v>
      </c>
      <c r="C886" s="321">
        <v>17469.75</v>
      </c>
      <c r="D886" s="210">
        <f t="shared" si="13"/>
        <v>2.6960889537628319E-3</v>
      </c>
    </row>
    <row r="887" spans="2:4" ht="14" thickBot="1" x14ac:dyDescent="0.2">
      <c r="B887" s="312">
        <v>44537</v>
      </c>
      <c r="C887" s="321">
        <v>17176.7</v>
      </c>
      <c r="D887" s="209">
        <f t="shared" si="13"/>
        <v>1.7060902268771105E-2</v>
      </c>
    </row>
    <row r="888" spans="2:4" ht="14" thickBot="1" x14ac:dyDescent="0.2">
      <c r="B888" s="312">
        <v>44536</v>
      </c>
      <c r="C888" s="321">
        <v>16912.25</v>
      </c>
      <c r="D888" s="209">
        <f t="shared" si="13"/>
        <v>1.5636594775976009E-2</v>
      </c>
    </row>
    <row r="889" spans="2:4" ht="14" thickBot="1" x14ac:dyDescent="0.2">
      <c r="B889" s="312">
        <v>44533</v>
      </c>
      <c r="C889" s="321">
        <v>17196.7</v>
      </c>
      <c r="D889" s="210">
        <f t="shared" si="13"/>
        <v>-1.6540964254769808E-2</v>
      </c>
    </row>
    <row r="890" spans="2:4" ht="14" thickBot="1" x14ac:dyDescent="0.2">
      <c r="B890" s="312">
        <v>44532</v>
      </c>
      <c r="C890" s="321">
        <v>17401.650000000001</v>
      </c>
      <c r="D890" s="209">
        <f t="shared" si="13"/>
        <v>-1.1777618789022948E-2</v>
      </c>
    </row>
    <row r="891" spans="2:4" ht="14" thickBot="1" x14ac:dyDescent="0.2">
      <c r="B891" s="312">
        <v>44531</v>
      </c>
      <c r="C891" s="321">
        <v>17166.900000000001</v>
      </c>
      <c r="D891" s="209">
        <f t="shared" si="13"/>
        <v>1.3674571413592407E-2</v>
      </c>
    </row>
    <row r="892" spans="2:4" ht="14" thickBot="1" x14ac:dyDescent="0.2">
      <c r="B892" s="312">
        <v>44530</v>
      </c>
      <c r="C892" s="321">
        <v>16983.2</v>
      </c>
      <c r="D892" s="210">
        <f t="shared" si="13"/>
        <v>1.0816571670827724E-2</v>
      </c>
    </row>
    <row r="893" spans="2:4" ht="14" thickBot="1" x14ac:dyDescent="0.2">
      <c r="B893" s="312">
        <v>44529</v>
      </c>
      <c r="C893" s="321">
        <v>17053.95</v>
      </c>
      <c r="D893" s="210">
        <f t="shared" si="13"/>
        <v>-4.1485990049225929E-3</v>
      </c>
    </row>
    <row r="894" spans="2:4" ht="14" thickBot="1" x14ac:dyDescent="0.2">
      <c r="B894" s="312">
        <v>44526</v>
      </c>
      <c r="C894" s="321">
        <v>17026.45</v>
      </c>
      <c r="D894" s="209">
        <f t="shared" si="13"/>
        <v>1.6151341001793273E-3</v>
      </c>
    </row>
    <row r="895" spans="2:4" ht="14" thickBot="1" x14ac:dyDescent="0.2">
      <c r="B895" s="312">
        <v>44525</v>
      </c>
      <c r="C895" s="321">
        <v>17536.25</v>
      </c>
      <c r="D895" s="210">
        <f t="shared" si="13"/>
        <v>-2.9071209637180129E-2</v>
      </c>
    </row>
    <row r="896" spans="2:4" ht="14" thickBot="1" x14ac:dyDescent="0.2">
      <c r="B896" s="312">
        <v>44524</v>
      </c>
      <c r="C896" s="321">
        <v>17415.05</v>
      </c>
      <c r="D896" s="210">
        <f t="shared" si="13"/>
        <v>6.959497675860904E-3</v>
      </c>
    </row>
    <row r="897" spans="2:4" ht="14" thickBot="1" x14ac:dyDescent="0.2">
      <c r="B897" s="312">
        <v>44523</v>
      </c>
      <c r="C897" s="321">
        <v>17503.349999999999</v>
      </c>
      <c r="D897" s="209">
        <f t="shared" si="13"/>
        <v>-5.0447485767010081E-3</v>
      </c>
    </row>
    <row r="898" spans="2:4" ht="14" thickBot="1" x14ac:dyDescent="0.2">
      <c r="B898" s="312">
        <v>44522</v>
      </c>
      <c r="C898" s="321">
        <v>17416.55</v>
      </c>
      <c r="D898" s="209">
        <f t="shared" si="13"/>
        <v>4.9837654414910393E-3</v>
      </c>
    </row>
    <row r="899" spans="2:4" ht="14" thickBot="1" x14ac:dyDescent="0.2">
      <c r="B899" s="312">
        <v>44518</v>
      </c>
      <c r="C899" s="321">
        <v>17764.8</v>
      </c>
      <c r="D899" s="210">
        <f t="shared" si="13"/>
        <v>-1.9603372962262444E-2</v>
      </c>
    </row>
    <row r="900" spans="2:4" ht="14" thickBot="1" x14ac:dyDescent="0.2">
      <c r="B900" s="312">
        <v>44517</v>
      </c>
      <c r="C900" s="321">
        <v>17898.650000000001</v>
      </c>
      <c r="D900" s="209">
        <f t="shared" si="13"/>
        <v>-7.4782176309388104E-3</v>
      </c>
    </row>
    <row r="901" spans="2:4" ht="14" thickBot="1" x14ac:dyDescent="0.2">
      <c r="B901" s="312">
        <v>44516</v>
      </c>
      <c r="C901" s="321">
        <v>17999.2</v>
      </c>
      <c r="D901" s="209">
        <f t="shared" si="13"/>
        <v>-5.5863593937507394E-3</v>
      </c>
    </row>
    <row r="902" spans="2:4" ht="14" thickBot="1" x14ac:dyDescent="0.2">
      <c r="B902" s="312">
        <v>44515</v>
      </c>
      <c r="C902" s="321">
        <v>18109.45</v>
      </c>
      <c r="D902" s="209">
        <f t="shared" si="13"/>
        <v>-6.0879816891180605E-3</v>
      </c>
    </row>
    <row r="903" spans="2:4" ht="14" thickBot="1" x14ac:dyDescent="0.2">
      <c r="B903" s="312">
        <v>44512</v>
      </c>
      <c r="C903" s="321">
        <v>18102.75</v>
      </c>
      <c r="D903" s="209">
        <f t="shared" si="13"/>
        <v>3.7010951374805146E-4</v>
      </c>
    </row>
    <row r="904" spans="2:4" ht="14" thickBot="1" x14ac:dyDescent="0.2">
      <c r="B904" s="312">
        <v>44511</v>
      </c>
      <c r="C904" s="321">
        <v>17873.599999999999</v>
      </c>
      <c r="D904" s="209">
        <f t="shared" si="13"/>
        <v>1.2820584549279479E-2</v>
      </c>
    </row>
    <row r="905" spans="2:4" ht="14" thickBot="1" x14ac:dyDescent="0.2">
      <c r="B905" s="312">
        <v>44510</v>
      </c>
      <c r="C905" s="321">
        <v>18017.2</v>
      </c>
      <c r="D905" s="209">
        <f t="shared" si="13"/>
        <v>-7.9701618453479339E-3</v>
      </c>
    </row>
    <row r="906" spans="2:4" ht="14" thickBot="1" x14ac:dyDescent="0.2">
      <c r="B906" s="312">
        <v>44509</v>
      </c>
      <c r="C906" s="321">
        <v>18044.25</v>
      </c>
      <c r="D906" s="210">
        <f t="shared" si="13"/>
        <v>-1.4990925086938445E-3</v>
      </c>
    </row>
    <row r="907" spans="2:4" ht="14" thickBot="1" x14ac:dyDescent="0.2">
      <c r="B907" s="312">
        <v>44508</v>
      </c>
      <c r="C907" s="321">
        <v>18068.55</v>
      </c>
      <c r="D907" s="209">
        <f t="shared" ref="D907:D970" si="14">C906/C907-1</f>
        <v>-1.3448782553109329E-3</v>
      </c>
    </row>
    <row r="908" spans="2:4" ht="14" thickBot="1" x14ac:dyDescent="0.2">
      <c r="B908" s="312">
        <v>44504</v>
      </c>
      <c r="C908" s="321">
        <v>17916.8</v>
      </c>
      <c r="D908" s="209">
        <f t="shared" si="14"/>
        <v>8.469704411502077E-3</v>
      </c>
    </row>
    <row r="909" spans="2:4" ht="14" thickBot="1" x14ac:dyDescent="0.2">
      <c r="B909" s="312">
        <v>44503</v>
      </c>
      <c r="C909" s="321">
        <v>17829.2</v>
      </c>
      <c r="D909" s="209">
        <f t="shared" si="14"/>
        <v>4.913288313552977E-3</v>
      </c>
    </row>
    <row r="910" spans="2:4" ht="14" thickBot="1" x14ac:dyDescent="0.2">
      <c r="B910" s="312">
        <v>44502</v>
      </c>
      <c r="C910" s="321">
        <v>17888.95</v>
      </c>
      <c r="D910" s="210">
        <f t="shared" si="14"/>
        <v>-3.3400507016901892E-3</v>
      </c>
    </row>
    <row r="911" spans="2:4" ht="14" thickBot="1" x14ac:dyDescent="0.2">
      <c r="B911" s="312">
        <v>44501</v>
      </c>
      <c r="C911" s="321">
        <v>17929.650000000001</v>
      </c>
      <c r="D911" s="210">
        <f t="shared" si="14"/>
        <v>-2.2699829611844136E-3</v>
      </c>
    </row>
    <row r="912" spans="2:4" ht="14" thickBot="1" x14ac:dyDescent="0.2">
      <c r="B912" s="312">
        <v>44498</v>
      </c>
      <c r="C912" s="321">
        <v>17671.650000000001</v>
      </c>
      <c r="D912" s="210">
        <f t="shared" si="14"/>
        <v>1.4599655380227672E-2</v>
      </c>
    </row>
    <row r="913" spans="2:4" ht="14" thickBot="1" x14ac:dyDescent="0.2">
      <c r="B913" s="312">
        <v>44497</v>
      </c>
      <c r="C913" s="321">
        <v>17857.25</v>
      </c>
      <c r="D913" s="209">
        <f t="shared" si="14"/>
        <v>-1.0393537638774042E-2</v>
      </c>
    </row>
    <row r="914" spans="2:4" ht="14" thickBot="1" x14ac:dyDescent="0.2">
      <c r="B914" s="312">
        <v>44496</v>
      </c>
      <c r="C914" s="321">
        <v>18210.95</v>
      </c>
      <c r="D914" s="209">
        <f t="shared" si="14"/>
        <v>-1.9422380490858537E-2</v>
      </c>
    </row>
    <row r="915" spans="2:4" ht="14" thickBot="1" x14ac:dyDescent="0.2">
      <c r="B915" s="312">
        <v>44495</v>
      </c>
      <c r="C915" s="321">
        <v>18268.400000000001</v>
      </c>
      <c r="D915" s="209">
        <f t="shared" si="14"/>
        <v>-3.1447745834337626E-3</v>
      </c>
    </row>
    <row r="916" spans="2:4" ht="14" thickBot="1" x14ac:dyDescent="0.2">
      <c r="B916" s="312">
        <v>44494</v>
      </c>
      <c r="C916" s="321">
        <v>18125.400000000001</v>
      </c>
      <c r="D916" s="209">
        <f t="shared" si="14"/>
        <v>7.8894810597283094E-3</v>
      </c>
    </row>
    <row r="917" spans="2:4" ht="14" thickBot="1" x14ac:dyDescent="0.2">
      <c r="B917" s="312">
        <v>44491</v>
      </c>
      <c r="C917" s="321">
        <v>18114.900000000001</v>
      </c>
      <c r="D917" s="209">
        <f t="shared" si="14"/>
        <v>5.7963334050969983E-4</v>
      </c>
    </row>
    <row r="918" spans="2:4" ht="14" thickBot="1" x14ac:dyDescent="0.2">
      <c r="B918" s="312">
        <v>44490</v>
      </c>
      <c r="C918" s="321">
        <v>18178.099999999999</v>
      </c>
      <c r="D918" s="209">
        <f t="shared" si="14"/>
        <v>-3.4767109873967694E-3</v>
      </c>
    </row>
    <row r="919" spans="2:4" ht="14" thickBot="1" x14ac:dyDescent="0.2">
      <c r="B919" s="312">
        <v>44489</v>
      </c>
      <c r="C919" s="321">
        <v>18266.599999999999</v>
      </c>
      <c r="D919" s="210">
        <f t="shared" si="14"/>
        <v>-4.8449081930955762E-3</v>
      </c>
    </row>
    <row r="920" spans="2:4" ht="14" thickBot="1" x14ac:dyDescent="0.2">
      <c r="B920" s="312">
        <v>44488</v>
      </c>
      <c r="C920" s="321">
        <v>18418.75</v>
      </c>
      <c r="D920" s="210">
        <f t="shared" si="14"/>
        <v>-8.2606040040720252E-3</v>
      </c>
    </row>
    <row r="921" spans="2:4" ht="14" thickBot="1" x14ac:dyDescent="0.2">
      <c r="B921" s="312">
        <v>44487</v>
      </c>
      <c r="C921" s="321">
        <v>18477.05</v>
      </c>
      <c r="D921" s="210">
        <f t="shared" si="14"/>
        <v>-3.1552655862272516E-3</v>
      </c>
    </row>
    <row r="922" spans="2:4" ht="14" thickBot="1" x14ac:dyDescent="0.2">
      <c r="B922" s="312">
        <v>44483</v>
      </c>
      <c r="C922" s="321">
        <v>18338.55</v>
      </c>
      <c r="D922" s="210">
        <f t="shared" si="14"/>
        <v>7.5523964544634836E-3</v>
      </c>
    </row>
    <row r="923" spans="2:4" ht="14" thickBot="1" x14ac:dyDescent="0.2">
      <c r="B923" s="312">
        <v>44482</v>
      </c>
      <c r="C923" s="321">
        <v>18161.75</v>
      </c>
      <c r="D923" s="209">
        <f t="shared" si="14"/>
        <v>9.7347447244895413E-3</v>
      </c>
    </row>
    <row r="924" spans="2:4" ht="14" thickBot="1" x14ac:dyDescent="0.2">
      <c r="B924" s="312">
        <v>44481</v>
      </c>
      <c r="C924" s="321">
        <v>17991.95</v>
      </c>
      <c r="D924" s="210">
        <f t="shared" si="14"/>
        <v>9.4375540172131345E-3</v>
      </c>
    </row>
    <row r="925" spans="2:4" ht="14" thickBot="1" x14ac:dyDescent="0.2">
      <c r="B925" s="312">
        <v>44480</v>
      </c>
      <c r="C925" s="321">
        <v>17945.95</v>
      </c>
      <c r="D925" s="210">
        <f t="shared" si="14"/>
        <v>2.5632524330001516E-3</v>
      </c>
    </row>
    <row r="926" spans="2:4" ht="14" thickBot="1" x14ac:dyDescent="0.2">
      <c r="B926" s="312">
        <v>44477</v>
      </c>
      <c r="C926" s="321">
        <v>17895.2</v>
      </c>
      <c r="D926" s="209">
        <f t="shared" si="14"/>
        <v>2.8359560105504222E-3</v>
      </c>
    </row>
    <row r="927" spans="2:4" ht="14" thickBot="1" x14ac:dyDescent="0.2">
      <c r="B927" s="312">
        <v>44476</v>
      </c>
      <c r="C927" s="321">
        <v>17790.349999999999</v>
      </c>
      <c r="D927" s="210">
        <f t="shared" si="14"/>
        <v>5.893644588217839E-3</v>
      </c>
    </row>
    <row r="928" spans="2:4" ht="14" thickBot="1" x14ac:dyDescent="0.2">
      <c r="B928" s="312">
        <v>44475</v>
      </c>
      <c r="C928" s="321">
        <v>17646</v>
      </c>
      <c r="D928" s="209">
        <f t="shared" si="14"/>
        <v>8.1803241527824699E-3</v>
      </c>
    </row>
    <row r="929" spans="2:4" ht="14" thickBot="1" x14ac:dyDescent="0.2">
      <c r="B929" s="312">
        <v>44474</v>
      </c>
      <c r="C929" s="321">
        <v>17822.3</v>
      </c>
      <c r="D929" s="209">
        <f t="shared" si="14"/>
        <v>-9.8921014683850395E-3</v>
      </c>
    </row>
    <row r="930" spans="2:4" ht="14" thickBot="1" x14ac:dyDescent="0.2">
      <c r="B930" s="312">
        <v>44473</v>
      </c>
      <c r="C930" s="321">
        <v>17691.25</v>
      </c>
      <c r="D930" s="209">
        <f t="shared" si="14"/>
        <v>7.4076167596974773E-3</v>
      </c>
    </row>
    <row r="931" spans="2:4" ht="14" thickBot="1" x14ac:dyDescent="0.2">
      <c r="B931" s="312">
        <v>44470</v>
      </c>
      <c r="C931" s="321">
        <v>17532.05</v>
      </c>
      <c r="D931" s="209">
        <f t="shared" si="14"/>
        <v>9.0805125470210246E-3</v>
      </c>
    </row>
    <row r="932" spans="2:4" ht="14" thickBot="1" x14ac:dyDescent="0.2">
      <c r="B932" s="312">
        <v>44469</v>
      </c>
      <c r="C932" s="321">
        <v>17618.150000000001</v>
      </c>
      <c r="D932" s="209">
        <f t="shared" si="14"/>
        <v>-4.8870057298866509E-3</v>
      </c>
    </row>
    <row r="933" spans="2:4" ht="14" thickBot="1" x14ac:dyDescent="0.2">
      <c r="B933" s="312">
        <v>44468</v>
      </c>
      <c r="C933" s="321">
        <v>17711.3</v>
      </c>
      <c r="D933" s="210">
        <f t="shared" si="14"/>
        <v>-5.2593541976024838E-3</v>
      </c>
    </row>
    <row r="934" spans="2:4" ht="14" thickBot="1" x14ac:dyDescent="0.2">
      <c r="B934" s="312">
        <v>44467</v>
      </c>
      <c r="C934" s="321">
        <v>17748.599999999999</v>
      </c>
      <c r="D934" s="209">
        <f t="shared" si="14"/>
        <v>-2.1015742086699651E-3</v>
      </c>
    </row>
    <row r="935" spans="2:4" ht="14" thickBot="1" x14ac:dyDescent="0.2">
      <c r="B935" s="312">
        <v>44466</v>
      </c>
      <c r="C935" s="321">
        <v>17855.099999999999</v>
      </c>
      <c r="D935" s="210">
        <f t="shared" si="14"/>
        <v>-5.9646823596619658E-3</v>
      </c>
    </row>
    <row r="936" spans="2:4" ht="14" thickBot="1" x14ac:dyDescent="0.2">
      <c r="B936" s="312">
        <v>44463</v>
      </c>
      <c r="C936" s="321">
        <v>17853.2</v>
      </c>
      <c r="D936" s="209">
        <f t="shared" si="14"/>
        <v>1.0642349830836118E-4</v>
      </c>
    </row>
    <row r="937" spans="2:4" ht="14" thickBot="1" x14ac:dyDescent="0.2">
      <c r="B937" s="312">
        <v>44462</v>
      </c>
      <c r="C937" s="321">
        <v>17822.95</v>
      </c>
      <c r="D937" s="210">
        <f t="shared" si="14"/>
        <v>1.6972498940972525E-3</v>
      </c>
    </row>
    <row r="938" spans="2:4" ht="14" thickBot="1" x14ac:dyDescent="0.2">
      <c r="B938" s="312">
        <v>44461</v>
      </c>
      <c r="C938" s="321">
        <v>17546.650000000001</v>
      </c>
      <c r="D938" s="209">
        <f t="shared" si="14"/>
        <v>1.574659550398505E-2</v>
      </c>
    </row>
    <row r="939" spans="2:4" ht="14" thickBot="1" x14ac:dyDescent="0.2">
      <c r="B939" s="312">
        <v>44460</v>
      </c>
      <c r="C939" s="321">
        <v>17562</v>
      </c>
      <c r="D939" s="209">
        <f t="shared" si="14"/>
        <v>-8.7404623619169453E-4</v>
      </c>
    </row>
    <row r="940" spans="2:4" ht="14" thickBot="1" x14ac:dyDescent="0.2">
      <c r="B940" s="312">
        <v>44459</v>
      </c>
      <c r="C940" s="321">
        <v>17396.900000000001</v>
      </c>
      <c r="D940" s="209">
        <f t="shared" si="14"/>
        <v>9.4901965292666368E-3</v>
      </c>
    </row>
    <row r="941" spans="2:4" ht="14" thickBot="1" x14ac:dyDescent="0.2">
      <c r="B941" s="312">
        <v>44456</v>
      </c>
      <c r="C941" s="321">
        <v>17585.150000000001</v>
      </c>
      <c r="D941" s="209">
        <f t="shared" si="14"/>
        <v>-1.0705055117528173E-2</v>
      </c>
    </row>
    <row r="942" spans="2:4" ht="14" thickBot="1" x14ac:dyDescent="0.2">
      <c r="B942" s="312">
        <v>44455</v>
      </c>
      <c r="C942" s="321">
        <v>17629.5</v>
      </c>
      <c r="D942" s="209">
        <f t="shared" si="14"/>
        <v>-2.5156697580758225E-3</v>
      </c>
    </row>
    <row r="943" spans="2:4" ht="14" thickBot="1" x14ac:dyDescent="0.2">
      <c r="B943" s="312">
        <v>44454</v>
      </c>
      <c r="C943" s="321">
        <v>17519.45</v>
      </c>
      <c r="D943" s="210">
        <f t="shared" si="14"/>
        <v>6.2815898900936418E-3</v>
      </c>
    </row>
    <row r="944" spans="2:4" ht="14" thickBot="1" x14ac:dyDescent="0.2">
      <c r="B944" s="312">
        <v>44453</v>
      </c>
      <c r="C944" s="321">
        <v>17380</v>
      </c>
      <c r="D944" s="210">
        <f t="shared" si="14"/>
        <v>8.0235903337169123E-3</v>
      </c>
    </row>
    <row r="945" spans="2:4" ht="14" thickBot="1" x14ac:dyDescent="0.2">
      <c r="B945" s="312">
        <v>44452</v>
      </c>
      <c r="C945" s="321">
        <v>17355.3</v>
      </c>
      <c r="D945" s="209">
        <f t="shared" si="14"/>
        <v>1.4231963722897145E-3</v>
      </c>
    </row>
    <row r="946" spans="2:4" ht="14" thickBot="1" x14ac:dyDescent="0.2">
      <c r="B946" s="312">
        <v>44448</v>
      </c>
      <c r="C946" s="321">
        <v>17369.25</v>
      </c>
      <c r="D946" s="210">
        <f t="shared" si="14"/>
        <v>-8.0314348633370169E-4</v>
      </c>
    </row>
    <row r="947" spans="2:4" ht="14" thickBot="1" x14ac:dyDescent="0.2">
      <c r="B947" s="312">
        <v>44447</v>
      </c>
      <c r="C947" s="321">
        <v>17353.5</v>
      </c>
      <c r="D947" s="210">
        <f t="shared" si="14"/>
        <v>9.0759789091543475E-4</v>
      </c>
    </row>
    <row r="948" spans="2:4" ht="14" thickBot="1" x14ac:dyDescent="0.2">
      <c r="B948" s="312">
        <v>44446</v>
      </c>
      <c r="C948" s="321">
        <v>17362.099999999999</v>
      </c>
      <c r="D948" s="209">
        <f t="shared" si="14"/>
        <v>-4.9533178590144278E-4</v>
      </c>
    </row>
    <row r="949" spans="2:4" ht="14" thickBot="1" x14ac:dyDescent="0.2">
      <c r="B949" s="312">
        <v>44445</v>
      </c>
      <c r="C949" s="321">
        <v>17377.8</v>
      </c>
      <c r="D949" s="209">
        <f t="shared" si="14"/>
        <v>-9.0345153011317514E-4</v>
      </c>
    </row>
    <row r="950" spans="2:4" ht="14" thickBot="1" x14ac:dyDescent="0.2">
      <c r="B950" s="312">
        <v>44442</v>
      </c>
      <c r="C950" s="321">
        <v>17323.599999999999</v>
      </c>
      <c r="D950" s="209">
        <f t="shared" si="14"/>
        <v>3.1286799510494845E-3</v>
      </c>
    </row>
    <row r="951" spans="2:4" ht="14" thickBot="1" x14ac:dyDescent="0.2">
      <c r="B951" s="312">
        <v>44441</v>
      </c>
      <c r="C951" s="321">
        <v>17234.150000000001</v>
      </c>
      <c r="D951" s="209">
        <f t="shared" si="14"/>
        <v>5.1902762828452964E-3</v>
      </c>
    </row>
    <row r="952" spans="2:4" ht="14" thickBot="1" x14ac:dyDescent="0.2">
      <c r="B952" s="312">
        <v>44440</v>
      </c>
      <c r="C952" s="321">
        <v>17076.25</v>
      </c>
      <c r="D952" s="210">
        <f t="shared" si="14"/>
        <v>9.2467608520607758E-3</v>
      </c>
    </row>
    <row r="953" spans="2:4" ht="14" thickBot="1" x14ac:dyDescent="0.2">
      <c r="B953" s="312">
        <v>44439</v>
      </c>
      <c r="C953" s="321">
        <v>17132.2</v>
      </c>
      <c r="D953" s="209">
        <f t="shared" si="14"/>
        <v>-3.2657802267076486E-3</v>
      </c>
    </row>
    <row r="954" spans="2:4" ht="14" thickBot="1" x14ac:dyDescent="0.2">
      <c r="B954" s="312">
        <v>44438</v>
      </c>
      <c r="C954" s="321">
        <v>16931.05</v>
      </c>
      <c r="D954" s="210">
        <f t="shared" si="14"/>
        <v>1.1880539009689439E-2</v>
      </c>
    </row>
    <row r="955" spans="2:4" ht="14" thickBot="1" x14ac:dyDescent="0.2">
      <c r="B955" s="312">
        <v>44435</v>
      </c>
      <c r="C955" s="321">
        <v>16705.2</v>
      </c>
      <c r="D955" s="209">
        <f t="shared" si="14"/>
        <v>1.3519742355673658E-2</v>
      </c>
    </row>
    <row r="956" spans="2:4" ht="14" thickBot="1" x14ac:dyDescent="0.2">
      <c r="B956" s="312">
        <v>44434</v>
      </c>
      <c r="C956" s="321">
        <v>16636.900000000001</v>
      </c>
      <c r="D956" s="210">
        <f t="shared" si="14"/>
        <v>4.1053321231718787E-3</v>
      </c>
    </row>
    <row r="957" spans="2:4" ht="14" thickBot="1" x14ac:dyDescent="0.2">
      <c r="B957" s="312">
        <v>44433</v>
      </c>
      <c r="C957" s="321">
        <v>16634.650000000001</v>
      </c>
      <c r="D957" s="209">
        <f t="shared" si="14"/>
        <v>1.3525983414131026E-4</v>
      </c>
    </row>
    <row r="958" spans="2:4" ht="14" thickBot="1" x14ac:dyDescent="0.2">
      <c r="B958" s="312">
        <v>44432</v>
      </c>
      <c r="C958" s="321">
        <v>16624.599999999999</v>
      </c>
      <c r="D958" s="210">
        <f t="shared" si="14"/>
        <v>6.0452582317793713E-4</v>
      </c>
    </row>
    <row r="959" spans="2:4" ht="14" thickBot="1" x14ac:dyDescent="0.2">
      <c r="B959" s="312">
        <v>44431</v>
      </c>
      <c r="C959" s="321">
        <v>16496.45</v>
      </c>
      <c r="D959" s="209">
        <f t="shared" si="14"/>
        <v>7.7683380363653409E-3</v>
      </c>
    </row>
    <row r="960" spans="2:4" ht="14" thickBot="1" x14ac:dyDescent="0.2">
      <c r="B960" s="312">
        <v>44428</v>
      </c>
      <c r="C960" s="321">
        <v>16450.5</v>
      </c>
      <c r="D960" s="209">
        <f t="shared" si="14"/>
        <v>2.7932281693565653E-3</v>
      </c>
    </row>
    <row r="961" spans="2:4" ht="14" thickBot="1" x14ac:dyDescent="0.2">
      <c r="B961" s="312">
        <v>44426</v>
      </c>
      <c r="C961" s="321">
        <v>16568.849999999999</v>
      </c>
      <c r="D961" s="210">
        <f t="shared" si="14"/>
        <v>-7.1429218080916179E-3</v>
      </c>
    </row>
    <row r="962" spans="2:4" ht="14" thickBot="1" x14ac:dyDescent="0.2">
      <c r="B962" s="312">
        <v>44425</v>
      </c>
      <c r="C962" s="321">
        <v>16614.599999999999</v>
      </c>
      <c r="D962" s="209">
        <f t="shared" si="14"/>
        <v>-2.7536022534397908E-3</v>
      </c>
    </row>
    <row r="963" spans="2:4" ht="14" thickBot="1" x14ac:dyDescent="0.2">
      <c r="B963" s="312">
        <v>44424</v>
      </c>
      <c r="C963" s="321">
        <v>16563.05</v>
      </c>
      <c r="D963" s="209">
        <f t="shared" si="14"/>
        <v>3.1123494766964743E-3</v>
      </c>
    </row>
    <row r="964" spans="2:4" ht="14" thickBot="1" x14ac:dyDescent="0.2">
      <c r="B964" s="312">
        <v>44421</v>
      </c>
      <c r="C964" s="321">
        <v>16529.099999999999</v>
      </c>
      <c r="D964" s="209">
        <f t="shared" si="14"/>
        <v>2.0539533307923907E-3</v>
      </c>
    </row>
    <row r="965" spans="2:4" ht="14" thickBot="1" x14ac:dyDescent="0.2">
      <c r="B965" s="312">
        <v>44420</v>
      </c>
      <c r="C965" s="321">
        <v>16364.4</v>
      </c>
      <c r="D965" s="209">
        <f t="shared" si="14"/>
        <v>1.006453032191823E-2</v>
      </c>
    </row>
    <row r="966" spans="2:4" ht="14" thickBot="1" x14ac:dyDescent="0.2">
      <c r="B966" s="312">
        <v>44419</v>
      </c>
      <c r="C966" s="321">
        <v>16282.25</v>
      </c>
      <c r="D966" s="209">
        <f t="shared" si="14"/>
        <v>5.0453714934974858E-3</v>
      </c>
    </row>
    <row r="967" spans="2:4" ht="14" thickBot="1" x14ac:dyDescent="0.2">
      <c r="B967" s="312">
        <v>44418</v>
      </c>
      <c r="C967" s="321">
        <v>16280.1</v>
      </c>
      <c r="D967" s="209">
        <f t="shared" si="14"/>
        <v>1.3206307086566227E-4</v>
      </c>
    </row>
    <row r="968" spans="2:4" ht="14" thickBot="1" x14ac:dyDescent="0.2">
      <c r="B968" s="312">
        <v>44417</v>
      </c>
      <c r="C968" s="321">
        <v>16258.25</v>
      </c>
      <c r="D968" s="210">
        <f t="shared" si="14"/>
        <v>1.3439330801285898E-3</v>
      </c>
    </row>
    <row r="969" spans="2:4" ht="14" thickBot="1" x14ac:dyDescent="0.2">
      <c r="B969" s="312">
        <v>44414</v>
      </c>
      <c r="C969" s="321">
        <v>16238.2</v>
      </c>
      <c r="D969" s="210">
        <f t="shared" si="14"/>
        <v>1.2347427670553746E-3</v>
      </c>
    </row>
    <row r="970" spans="2:4" ht="14" thickBot="1" x14ac:dyDescent="0.2">
      <c r="B970" s="312">
        <v>44413</v>
      </c>
      <c r="C970" s="321">
        <v>16294.6</v>
      </c>
      <c r="D970" s="209">
        <f t="shared" si="14"/>
        <v>-3.4612693775851744E-3</v>
      </c>
    </row>
    <row r="971" spans="2:4" ht="14" thickBot="1" x14ac:dyDescent="0.2">
      <c r="B971" s="312">
        <v>44412</v>
      </c>
      <c r="C971" s="321">
        <v>16258.8</v>
      </c>
      <c r="D971" s="209">
        <f t="shared" ref="D971:D1034" si="15">C970/C971-1</f>
        <v>2.201884517922581E-3</v>
      </c>
    </row>
    <row r="972" spans="2:4" ht="14" thickBot="1" x14ac:dyDescent="0.2">
      <c r="B972" s="312">
        <v>44411</v>
      </c>
      <c r="C972" s="321">
        <v>16130.75</v>
      </c>
      <c r="D972" s="209">
        <f t="shared" si="15"/>
        <v>7.9382545758877043E-3</v>
      </c>
    </row>
    <row r="973" spans="2:4" ht="14" thickBot="1" x14ac:dyDescent="0.2">
      <c r="B973" s="312">
        <v>44410</v>
      </c>
      <c r="C973" s="321">
        <v>15885.15</v>
      </c>
      <c r="D973" s="210">
        <f t="shared" si="15"/>
        <v>1.5460980853186701E-2</v>
      </c>
    </row>
    <row r="974" spans="2:4" ht="14" thickBot="1" x14ac:dyDescent="0.2">
      <c r="B974" s="312">
        <v>44407</v>
      </c>
      <c r="C974" s="321">
        <v>15763.05</v>
      </c>
      <c r="D974" s="210">
        <f t="shared" si="15"/>
        <v>7.7459628688609783E-3</v>
      </c>
    </row>
    <row r="975" spans="2:4" ht="14" thickBot="1" x14ac:dyDescent="0.2">
      <c r="B975" s="312">
        <v>44406</v>
      </c>
      <c r="C975" s="321">
        <v>15778.45</v>
      </c>
      <c r="D975" s="210">
        <f t="shared" si="15"/>
        <v>-9.7601475430109108E-4</v>
      </c>
    </row>
    <row r="976" spans="2:4" ht="14" thickBot="1" x14ac:dyDescent="0.2">
      <c r="B976" s="312">
        <v>44405</v>
      </c>
      <c r="C976" s="321">
        <v>15709.4</v>
      </c>
      <c r="D976" s="209">
        <f t="shared" si="15"/>
        <v>4.3954574967854931E-3</v>
      </c>
    </row>
    <row r="977" spans="2:4" ht="14" thickBot="1" x14ac:dyDescent="0.2">
      <c r="B977" s="312">
        <v>44404</v>
      </c>
      <c r="C977" s="321">
        <v>15746.45</v>
      </c>
      <c r="D977" s="210">
        <f t="shared" si="15"/>
        <v>-2.3529112911164773E-3</v>
      </c>
    </row>
    <row r="978" spans="2:4" ht="14" thickBot="1" x14ac:dyDescent="0.2">
      <c r="B978" s="312">
        <v>44403</v>
      </c>
      <c r="C978" s="321">
        <v>15824.45</v>
      </c>
      <c r="D978" s="210">
        <f t="shared" si="15"/>
        <v>-4.929081263487789E-3</v>
      </c>
    </row>
    <row r="979" spans="2:4" ht="14" thickBot="1" x14ac:dyDescent="0.2">
      <c r="B979" s="312">
        <v>44400</v>
      </c>
      <c r="C979" s="321">
        <v>15856.05</v>
      </c>
      <c r="D979" s="209">
        <f t="shared" si="15"/>
        <v>-1.9929301433836422E-3</v>
      </c>
    </row>
    <row r="980" spans="2:4" ht="14" thickBot="1" x14ac:dyDescent="0.2">
      <c r="B980" s="312">
        <v>44399</v>
      </c>
      <c r="C980" s="321">
        <v>15824.05</v>
      </c>
      <c r="D980" s="210">
        <f t="shared" si="15"/>
        <v>2.022238301825352E-3</v>
      </c>
    </row>
    <row r="981" spans="2:4" ht="14" thickBot="1" x14ac:dyDescent="0.2">
      <c r="B981" s="312">
        <v>44397</v>
      </c>
      <c r="C981" s="321">
        <v>15632.1</v>
      </c>
      <c r="D981" s="209">
        <f t="shared" si="15"/>
        <v>1.2279220322285456E-2</v>
      </c>
    </row>
    <row r="982" spans="2:4" ht="14" thickBot="1" x14ac:dyDescent="0.2">
      <c r="B982" s="312">
        <v>44396</v>
      </c>
      <c r="C982" s="321">
        <v>15752.4</v>
      </c>
      <c r="D982" s="210">
        <f t="shared" si="15"/>
        <v>-7.6369315151976203E-3</v>
      </c>
    </row>
    <row r="983" spans="2:4" ht="14" thickBot="1" x14ac:dyDescent="0.2">
      <c r="B983" s="312">
        <v>44393</v>
      </c>
      <c r="C983" s="321">
        <v>15923.4</v>
      </c>
      <c r="D983" s="210">
        <f t="shared" si="15"/>
        <v>-1.0738912543803436E-2</v>
      </c>
    </row>
    <row r="984" spans="2:4" ht="14" thickBot="1" x14ac:dyDescent="0.2">
      <c r="B984" s="312">
        <v>44392</v>
      </c>
      <c r="C984" s="321">
        <v>15924.2</v>
      </c>
      <c r="D984" s="209">
        <f t="shared" si="15"/>
        <v>-5.023800253711741E-5</v>
      </c>
    </row>
    <row r="985" spans="2:4" ht="14" thickBot="1" x14ac:dyDescent="0.2">
      <c r="B985" s="312">
        <v>44391</v>
      </c>
      <c r="C985" s="321">
        <v>15853.95</v>
      </c>
      <c r="D985" s="209">
        <f t="shared" si="15"/>
        <v>4.4310723825924381E-3</v>
      </c>
    </row>
    <row r="986" spans="2:4" ht="14" thickBot="1" x14ac:dyDescent="0.2">
      <c r="B986" s="312">
        <v>44390</v>
      </c>
      <c r="C986" s="321">
        <v>15812.35</v>
      </c>
      <c r="D986" s="209">
        <f t="shared" si="15"/>
        <v>2.6308549962530403E-3</v>
      </c>
    </row>
    <row r="987" spans="2:4" ht="14" thickBot="1" x14ac:dyDescent="0.2">
      <c r="B987" s="312">
        <v>44389</v>
      </c>
      <c r="C987" s="321">
        <v>15692.6</v>
      </c>
      <c r="D987" s="209">
        <f t="shared" si="15"/>
        <v>7.6309853051756971E-3</v>
      </c>
    </row>
    <row r="988" spans="2:4" ht="14" thickBot="1" x14ac:dyDescent="0.2">
      <c r="B988" s="312">
        <v>44386</v>
      </c>
      <c r="C988" s="321">
        <v>15689.8</v>
      </c>
      <c r="D988" s="210">
        <f t="shared" si="15"/>
        <v>1.7845989113962624E-4</v>
      </c>
    </row>
    <row r="989" spans="2:4" ht="14" thickBot="1" x14ac:dyDescent="0.2">
      <c r="B989" s="312">
        <v>44385</v>
      </c>
      <c r="C989" s="321">
        <v>15727.9</v>
      </c>
      <c r="D989" s="209">
        <f t="shared" si="15"/>
        <v>-2.4224467347834233E-3</v>
      </c>
    </row>
    <row r="990" spans="2:4" ht="14" thickBot="1" x14ac:dyDescent="0.2">
      <c r="B990" s="312">
        <v>44384</v>
      </c>
      <c r="C990" s="321">
        <v>15879.65</v>
      </c>
      <c r="D990" s="209">
        <f t="shared" si="15"/>
        <v>-9.5562559628203925E-3</v>
      </c>
    </row>
    <row r="991" spans="2:4" ht="14" thickBot="1" x14ac:dyDescent="0.2">
      <c r="B991" s="312">
        <v>44383</v>
      </c>
      <c r="C991" s="321">
        <v>15818.25</v>
      </c>
      <c r="D991" s="210">
        <f t="shared" si="15"/>
        <v>3.8815924644002298E-3</v>
      </c>
    </row>
    <row r="992" spans="2:4" ht="14" thickBot="1" x14ac:dyDescent="0.2">
      <c r="B992" s="312">
        <v>44382</v>
      </c>
      <c r="C992" s="321">
        <v>15834.35</v>
      </c>
      <c r="D992" s="210">
        <f t="shared" si="15"/>
        <v>-1.0167768174885738E-3</v>
      </c>
    </row>
    <row r="993" spans="2:4" ht="14" thickBot="1" x14ac:dyDescent="0.2">
      <c r="B993" s="312">
        <v>44379</v>
      </c>
      <c r="C993" s="321">
        <v>15722.2</v>
      </c>
      <c r="D993" s="209">
        <f t="shared" si="15"/>
        <v>7.1332256300009611E-3</v>
      </c>
    </row>
    <row r="994" spans="2:4" ht="14" thickBot="1" x14ac:dyDescent="0.2">
      <c r="B994" s="312">
        <v>44378</v>
      </c>
      <c r="C994" s="321">
        <v>15680</v>
      </c>
      <c r="D994" s="209">
        <f t="shared" si="15"/>
        <v>2.6913265306123257E-3</v>
      </c>
    </row>
    <row r="995" spans="2:4" ht="14" thickBot="1" x14ac:dyDescent="0.2">
      <c r="B995" s="312">
        <v>44377</v>
      </c>
      <c r="C995" s="321">
        <v>15721.5</v>
      </c>
      <c r="D995" s="210">
        <f t="shared" si="15"/>
        <v>-2.639697229908089E-3</v>
      </c>
    </row>
    <row r="996" spans="2:4" ht="14" thickBot="1" x14ac:dyDescent="0.2">
      <c r="B996" s="312">
        <v>44376</v>
      </c>
      <c r="C996" s="321">
        <v>15748.45</v>
      </c>
      <c r="D996" s="210">
        <f t="shared" si="15"/>
        <v>-1.7112795227467448E-3</v>
      </c>
    </row>
    <row r="997" spans="2:4" ht="14" thickBot="1" x14ac:dyDescent="0.2">
      <c r="B997" s="312">
        <v>44375</v>
      </c>
      <c r="C997" s="321">
        <v>15814.7</v>
      </c>
      <c r="D997" s="209">
        <f t="shared" si="15"/>
        <v>-4.1891404832212764E-3</v>
      </c>
    </row>
    <row r="998" spans="2:4" ht="14" thickBot="1" x14ac:dyDescent="0.2">
      <c r="B998" s="312">
        <v>44372</v>
      </c>
      <c r="C998" s="321">
        <v>15860.35</v>
      </c>
      <c r="D998" s="210">
        <f t="shared" si="15"/>
        <v>-2.8782466969518028E-3</v>
      </c>
    </row>
    <row r="999" spans="2:4" ht="14" thickBot="1" x14ac:dyDescent="0.2">
      <c r="B999" s="312">
        <v>44371</v>
      </c>
      <c r="C999" s="321">
        <v>15790.45</v>
      </c>
      <c r="D999" s="209">
        <f t="shared" si="15"/>
        <v>4.4267262807582419E-3</v>
      </c>
    </row>
    <row r="1000" spans="2:4" ht="14" thickBot="1" x14ac:dyDescent="0.2">
      <c r="B1000" s="312">
        <v>44370</v>
      </c>
      <c r="C1000" s="321">
        <v>15686.95</v>
      </c>
      <c r="D1000" s="210">
        <f t="shared" si="15"/>
        <v>6.5978408804769906E-3</v>
      </c>
    </row>
    <row r="1001" spans="2:4" ht="14" thickBot="1" x14ac:dyDescent="0.2">
      <c r="B1001" s="312">
        <v>44369</v>
      </c>
      <c r="C1001" s="321">
        <v>15772.75</v>
      </c>
      <c r="D1001" s="210">
        <f t="shared" si="15"/>
        <v>-5.4397616141762528E-3</v>
      </c>
    </row>
    <row r="1002" spans="2:4" ht="14" thickBot="1" x14ac:dyDescent="0.2">
      <c r="B1002" s="312">
        <v>44368</v>
      </c>
      <c r="C1002" s="321">
        <v>15746.5</v>
      </c>
      <c r="D1002" s="209">
        <f t="shared" si="15"/>
        <v>1.6670371193598932E-3</v>
      </c>
    </row>
    <row r="1003" spans="2:4" ht="14" thickBot="1" x14ac:dyDescent="0.2">
      <c r="B1003" s="312">
        <v>44365</v>
      </c>
      <c r="C1003" s="321">
        <v>15683.35</v>
      </c>
      <c r="D1003" s="210">
        <f t="shared" si="15"/>
        <v>4.0265632023770426E-3</v>
      </c>
    </row>
    <row r="1004" spans="2:4" ht="14" thickBot="1" x14ac:dyDescent="0.2">
      <c r="B1004" s="312">
        <v>44364</v>
      </c>
      <c r="C1004" s="321">
        <v>15691.4</v>
      </c>
      <c r="D1004" s="209">
        <f t="shared" si="15"/>
        <v>-5.1301987075713651E-4</v>
      </c>
    </row>
    <row r="1005" spans="2:4" ht="14" thickBot="1" x14ac:dyDescent="0.2">
      <c r="B1005" s="312">
        <v>44363</v>
      </c>
      <c r="C1005" s="321">
        <v>15767.55</v>
      </c>
      <c r="D1005" s="209">
        <f t="shared" si="15"/>
        <v>-4.8295391484409755E-3</v>
      </c>
    </row>
    <row r="1006" spans="2:4" ht="14" thickBot="1" x14ac:dyDescent="0.2">
      <c r="B1006" s="312">
        <v>44362</v>
      </c>
      <c r="C1006" s="321">
        <v>15869.25</v>
      </c>
      <c r="D1006" s="209">
        <f t="shared" si="15"/>
        <v>-6.4086204452006301E-3</v>
      </c>
    </row>
    <row r="1007" spans="2:4" ht="14" thickBot="1" x14ac:dyDescent="0.2">
      <c r="B1007" s="312">
        <v>44361</v>
      </c>
      <c r="C1007" s="321">
        <v>15811.85</v>
      </c>
      <c r="D1007" s="209">
        <f t="shared" si="15"/>
        <v>3.6301887508418673E-3</v>
      </c>
    </row>
    <row r="1008" spans="2:4" ht="14" thickBot="1" x14ac:dyDescent="0.2">
      <c r="B1008" s="312">
        <v>44358</v>
      </c>
      <c r="C1008" s="321">
        <v>15799.35</v>
      </c>
      <c r="D1008" s="210">
        <f t="shared" si="15"/>
        <v>7.911717887127967E-4</v>
      </c>
    </row>
    <row r="1009" spans="2:9" ht="14" thickBot="1" x14ac:dyDescent="0.2">
      <c r="B1009" s="312">
        <v>44357</v>
      </c>
      <c r="C1009" s="321">
        <v>15737.75</v>
      </c>
      <c r="D1009" s="209">
        <f t="shared" si="15"/>
        <v>3.9141554542421186E-3</v>
      </c>
    </row>
    <row r="1010" spans="2:9" ht="14" thickBot="1" x14ac:dyDescent="0.2">
      <c r="B1010" s="312">
        <v>44356</v>
      </c>
      <c r="C1010" s="321">
        <v>15635.35</v>
      </c>
      <c r="D1010" s="210">
        <f t="shared" si="15"/>
        <v>6.5492617690041666E-3</v>
      </c>
    </row>
    <row r="1011" spans="2:9" ht="14" thickBot="1" x14ac:dyDescent="0.2">
      <c r="B1011" s="312">
        <v>44355</v>
      </c>
      <c r="C1011" s="321">
        <v>15740.1</v>
      </c>
      <c r="D1011" s="210">
        <f t="shared" si="15"/>
        <v>-6.6549767790547998E-3</v>
      </c>
      <c r="G1011" s="252"/>
      <c r="H1011" s="252"/>
      <c r="I1011" s="252"/>
    </row>
    <row r="1012" spans="2:9" ht="14" thickBot="1" x14ac:dyDescent="0.2">
      <c r="B1012" s="312">
        <v>44354</v>
      </c>
      <c r="C1012" s="321">
        <v>15751.65</v>
      </c>
      <c r="D1012" s="210">
        <f t="shared" si="15"/>
        <v>-7.3325651598399322E-4</v>
      </c>
    </row>
    <row r="1013" spans="2:9" ht="14" thickBot="1" x14ac:dyDescent="0.2">
      <c r="B1013" s="312">
        <v>44351</v>
      </c>
      <c r="C1013" s="321">
        <v>15670.25</v>
      </c>
      <c r="D1013" s="210">
        <f t="shared" si="15"/>
        <v>5.1945565641899893E-3</v>
      </c>
    </row>
    <row r="1014" spans="2:9" ht="14" thickBot="1" x14ac:dyDescent="0.2">
      <c r="B1014" s="312">
        <v>44350</v>
      </c>
      <c r="C1014" s="321">
        <v>15690.35</v>
      </c>
      <c r="D1014" s="209">
        <f t="shared" si="15"/>
        <v>-1.2810421692314167E-3</v>
      </c>
    </row>
    <row r="1015" spans="2:9" ht="14" thickBot="1" x14ac:dyDescent="0.2">
      <c r="B1015" s="312">
        <v>44349</v>
      </c>
      <c r="C1015" s="321">
        <v>15576.2</v>
      </c>
      <c r="D1015" s="210">
        <f t="shared" si="15"/>
        <v>7.3284883347670693E-3</v>
      </c>
    </row>
    <row r="1016" spans="2:9" s="252" customFormat="1" ht="14" thickBot="1" x14ac:dyDescent="0.2">
      <c r="B1016" s="312">
        <v>44348</v>
      </c>
      <c r="C1016" s="321">
        <v>15574.85</v>
      </c>
      <c r="D1016" s="209">
        <f t="shared" si="15"/>
        <v>8.667820235830348E-5</v>
      </c>
      <c r="G1016" s="251"/>
      <c r="H1016" s="251"/>
      <c r="I1016" s="251"/>
    </row>
    <row r="1017" spans="2:9" ht="14" thickBot="1" x14ac:dyDescent="0.2">
      <c r="B1017" s="312">
        <v>44347</v>
      </c>
      <c r="C1017" s="321">
        <v>15582.8</v>
      </c>
      <c r="D1017" s="210">
        <f t="shared" si="15"/>
        <v>-5.1017788844098799E-4</v>
      </c>
    </row>
    <row r="1018" spans="2:9" ht="14" thickBot="1" x14ac:dyDescent="0.2">
      <c r="B1018" s="312">
        <v>44344</v>
      </c>
      <c r="C1018" s="321">
        <v>15435.65</v>
      </c>
      <c r="D1018" s="210">
        <f t="shared" si="15"/>
        <v>9.5331262369904302E-3</v>
      </c>
    </row>
    <row r="1019" spans="2:9" ht="14" thickBot="1" x14ac:dyDescent="0.2">
      <c r="B1019" s="312">
        <v>44343</v>
      </c>
      <c r="C1019" s="321">
        <v>15337.85</v>
      </c>
      <c r="D1019" s="209">
        <f t="shared" si="15"/>
        <v>6.3763826090357245E-3</v>
      </c>
    </row>
    <row r="1020" spans="2:9" ht="14" thickBot="1" x14ac:dyDescent="0.2">
      <c r="B1020" s="312">
        <v>44342</v>
      </c>
      <c r="C1020" s="321">
        <v>15301.45</v>
      </c>
      <c r="D1020" s="210">
        <f t="shared" si="15"/>
        <v>2.3788595198495077E-3</v>
      </c>
    </row>
    <row r="1021" spans="2:9" ht="14" thickBot="1" x14ac:dyDescent="0.2">
      <c r="B1021" s="312">
        <v>44341</v>
      </c>
      <c r="C1021" s="321">
        <v>15208.45</v>
      </c>
      <c r="D1021" s="209">
        <f t="shared" si="15"/>
        <v>6.115021583396052E-3</v>
      </c>
    </row>
    <row r="1022" spans="2:9" ht="14" thickBot="1" x14ac:dyDescent="0.2">
      <c r="B1022" s="312">
        <v>44340</v>
      </c>
      <c r="C1022" s="321">
        <v>15197.7</v>
      </c>
      <c r="D1022" s="210">
        <f t="shared" si="15"/>
        <v>7.0734387440207769E-4</v>
      </c>
    </row>
    <row r="1023" spans="2:9" ht="14" thickBot="1" x14ac:dyDescent="0.2">
      <c r="B1023" s="312">
        <v>44337</v>
      </c>
      <c r="C1023" s="321">
        <v>15175.3</v>
      </c>
      <c r="D1023" s="210">
        <f t="shared" si="15"/>
        <v>1.4760828451498842E-3</v>
      </c>
    </row>
    <row r="1024" spans="2:9" ht="14" thickBot="1" x14ac:dyDescent="0.2">
      <c r="B1024" s="312">
        <v>44336</v>
      </c>
      <c r="C1024" s="321">
        <v>14906.05</v>
      </c>
      <c r="D1024" s="210">
        <f t="shared" si="15"/>
        <v>1.8063135438295186E-2</v>
      </c>
    </row>
    <row r="1025" spans="2:4" ht="14" thickBot="1" x14ac:dyDescent="0.2">
      <c r="B1025" s="312">
        <v>44335</v>
      </c>
      <c r="C1025" s="321">
        <v>15030.15</v>
      </c>
      <c r="D1025" s="210">
        <f t="shared" si="15"/>
        <v>-8.2567372913776582E-3</v>
      </c>
    </row>
    <row r="1026" spans="2:4" ht="14" thickBot="1" x14ac:dyDescent="0.2">
      <c r="B1026" s="312">
        <v>44334</v>
      </c>
      <c r="C1026" s="321">
        <v>15108.1</v>
      </c>
      <c r="D1026" s="210">
        <f t="shared" si="15"/>
        <v>-5.1594839854118835E-3</v>
      </c>
    </row>
    <row r="1027" spans="2:4" ht="14" thickBot="1" x14ac:dyDescent="0.2">
      <c r="B1027" s="312">
        <v>44333</v>
      </c>
      <c r="C1027" s="321">
        <v>14923.15</v>
      </c>
      <c r="D1027" s="210">
        <f t="shared" si="15"/>
        <v>1.2393496011230853E-2</v>
      </c>
    </row>
    <row r="1028" spans="2:4" ht="14" thickBot="1" x14ac:dyDescent="0.2">
      <c r="B1028" s="312">
        <v>44330</v>
      </c>
      <c r="C1028" s="321">
        <v>14677.8</v>
      </c>
      <c r="D1028" s="210">
        <f t="shared" si="15"/>
        <v>1.671572033956048E-2</v>
      </c>
    </row>
    <row r="1029" spans="2:4" ht="14" thickBot="1" x14ac:dyDescent="0.2">
      <c r="B1029" s="312">
        <v>44328</v>
      </c>
      <c r="C1029" s="321">
        <v>14696.5</v>
      </c>
      <c r="D1029" s="209">
        <f t="shared" si="15"/>
        <v>-1.2724117987276129E-3</v>
      </c>
    </row>
    <row r="1030" spans="2:4" ht="14" thickBot="1" x14ac:dyDescent="0.2">
      <c r="B1030" s="312">
        <v>44327</v>
      </c>
      <c r="C1030" s="321">
        <v>14850.75</v>
      </c>
      <c r="D1030" s="210">
        <f t="shared" si="15"/>
        <v>-1.0386680807366599E-2</v>
      </c>
    </row>
    <row r="1031" spans="2:4" ht="14" thickBot="1" x14ac:dyDescent="0.2">
      <c r="B1031" s="312">
        <v>44326</v>
      </c>
      <c r="C1031" s="321">
        <v>14942.35</v>
      </c>
      <c r="D1031" s="210">
        <f t="shared" si="15"/>
        <v>-6.1302271731019653E-3</v>
      </c>
    </row>
    <row r="1032" spans="2:4" ht="14" thickBot="1" x14ac:dyDescent="0.2">
      <c r="B1032" s="312">
        <v>44323</v>
      </c>
      <c r="C1032" s="321">
        <v>14823.15</v>
      </c>
      <c r="D1032" s="210">
        <f t="shared" si="15"/>
        <v>8.0414756647542163E-3</v>
      </c>
    </row>
    <row r="1033" spans="2:4" ht="14" thickBot="1" x14ac:dyDescent="0.2">
      <c r="B1033" s="312">
        <v>44322</v>
      </c>
      <c r="C1033" s="321">
        <v>14724.8</v>
      </c>
      <c r="D1033" s="210">
        <f t="shared" si="15"/>
        <v>6.6792078669999366E-3</v>
      </c>
    </row>
    <row r="1034" spans="2:4" ht="14" thickBot="1" x14ac:dyDescent="0.2">
      <c r="B1034" s="312">
        <v>44321</v>
      </c>
      <c r="C1034" s="321">
        <v>14617.85</v>
      </c>
      <c r="D1034" s="209">
        <f t="shared" si="15"/>
        <v>7.3163974182248737E-3</v>
      </c>
    </row>
    <row r="1035" spans="2:4" ht="14" thickBot="1" x14ac:dyDescent="0.2">
      <c r="B1035" s="312">
        <v>44320</v>
      </c>
      <c r="C1035" s="321">
        <v>14496.5</v>
      </c>
      <c r="D1035" s="209">
        <f t="shared" ref="D1035:D1098" si="16">C1034/C1035-1</f>
        <v>8.3709861000931252E-3</v>
      </c>
    </row>
    <row r="1036" spans="2:4" ht="14" thickBot="1" x14ac:dyDescent="0.2">
      <c r="B1036" s="312">
        <v>44319</v>
      </c>
      <c r="C1036" s="321">
        <v>14634.15</v>
      </c>
      <c r="D1036" s="210">
        <f t="shared" si="16"/>
        <v>-9.4060809818130586E-3</v>
      </c>
    </row>
    <row r="1037" spans="2:4" ht="14" thickBot="1" x14ac:dyDescent="0.2">
      <c r="B1037" s="312">
        <v>44316</v>
      </c>
      <c r="C1037" s="321">
        <v>14631.1</v>
      </c>
      <c r="D1037" s="210">
        <f t="shared" si="16"/>
        <v>2.0846006110275539E-4</v>
      </c>
    </row>
    <row r="1038" spans="2:4" ht="14" thickBot="1" x14ac:dyDescent="0.2">
      <c r="B1038" s="312">
        <v>44315</v>
      </c>
      <c r="C1038" s="321">
        <v>14894.9</v>
      </c>
      <c r="D1038" s="209">
        <f t="shared" si="16"/>
        <v>-1.7710760058812003E-2</v>
      </c>
    </row>
    <row r="1039" spans="2:4" ht="14" thickBot="1" x14ac:dyDescent="0.2">
      <c r="B1039" s="312">
        <v>44314</v>
      </c>
      <c r="C1039" s="321">
        <v>14864.55</v>
      </c>
      <c r="D1039" s="209">
        <f t="shared" si="16"/>
        <v>2.0417705211392967E-3</v>
      </c>
    </row>
    <row r="1040" spans="2:4" ht="14" thickBot="1" x14ac:dyDescent="0.2">
      <c r="B1040" s="312">
        <v>44313</v>
      </c>
      <c r="C1040" s="321">
        <v>14653.05</v>
      </c>
      <c r="D1040" s="209">
        <f t="shared" si="16"/>
        <v>1.4433855067716328E-2</v>
      </c>
    </row>
    <row r="1041" spans="2:4" ht="14" thickBot="1" x14ac:dyDescent="0.2">
      <c r="B1041" s="312">
        <v>44312</v>
      </c>
      <c r="C1041" s="321">
        <v>14485</v>
      </c>
      <c r="D1041" s="209">
        <f t="shared" si="16"/>
        <v>1.1601656886434109E-2</v>
      </c>
    </row>
    <row r="1042" spans="2:4" ht="14" thickBot="1" x14ac:dyDescent="0.2">
      <c r="B1042" s="312">
        <v>44309</v>
      </c>
      <c r="C1042" s="321">
        <v>14341.35</v>
      </c>
      <c r="D1042" s="210">
        <f t="shared" si="16"/>
        <v>1.0016490776670217E-2</v>
      </c>
    </row>
    <row r="1043" spans="2:4" ht="14" thickBot="1" x14ac:dyDescent="0.2">
      <c r="B1043" s="312">
        <v>44308</v>
      </c>
      <c r="C1043" s="321">
        <v>14406.15</v>
      </c>
      <c r="D1043" s="210">
        <f t="shared" si="16"/>
        <v>-4.4980789454502901E-3</v>
      </c>
    </row>
    <row r="1044" spans="2:4" ht="14" thickBot="1" x14ac:dyDescent="0.2">
      <c r="B1044" s="312">
        <v>44306</v>
      </c>
      <c r="C1044" s="321">
        <v>14296.4</v>
      </c>
      <c r="D1044" s="210">
        <f t="shared" si="16"/>
        <v>7.6767577851766244E-3</v>
      </c>
    </row>
    <row r="1045" spans="2:4" ht="14" thickBot="1" x14ac:dyDescent="0.2">
      <c r="B1045" s="312">
        <v>44305</v>
      </c>
      <c r="C1045" s="321">
        <v>14359.45</v>
      </c>
      <c r="D1045" s="209">
        <f t="shared" si="16"/>
        <v>-4.3908366963916201E-3</v>
      </c>
    </row>
    <row r="1046" spans="2:4" ht="14" thickBot="1" x14ac:dyDescent="0.2">
      <c r="B1046" s="312">
        <v>44302</v>
      </c>
      <c r="C1046" s="321">
        <v>14617.85</v>
      </c>
      <c r="D1046" s="210">
        <f t="shared" si="16"/>
        <v>-1.7677018166146197E-2</v>
      </c>
    </row>
    <row r="1047" spans="2:4" ht="14" thickBot="1" x14ac:dyDescent="0.2">
      <c r="B1047" s="312">
        <v>44301</v>
      </c>
      <c r="C1047" s="321">
        <v>14581.45</v>
      </c>
      <c r="D1047" s="210">
        <f t="shared" si="16"/>
        <v>2.4963223822047631E-3</v>
      </c>
    </row>
    <row r="1048" spans="2:4" ht="14" thickBot="1" x14ac:dyDescent="0.2">
      <c r="B1048" s="312">
        <v>44299</v>
      </c>
      <c r="C1048" s="321">
        <v>14504.8</v>
      </c>
      <c r="D1048" s="209">
        <f t="shared" si="16"/>
        <v>5.2844575588770759E-3</v>
      </c>
    </row>
    <row r="1049" spans="2:4" ht="14" thickBot="1" x14ac:dyDescent="0.2">
      <c r="B1049" s="312">
        <v>44298</v>
      </c>
      <c r="C1049" s="321">
        <v>14310.8</v>
      </c>
      <c r="D1049" s="209">
        <f t="shared" si="16"/>
        <v>1.3556195321016373E-2</v>
      </c>
    </row>
    <row r="1050" spans="2:4" ht="14" thickBot="1" x14ac:dyDescent="0.2">
      <c r="B1050" s="312">
        <v>44295</v>
      </c>
      <c r="C1050" s="321">
        <v>14834.85</v>
      </c>
      <c r="D1050" s="210">
        <f t="shared" si="16"/>
        <v>-3.5325601539617946E-2</v>
      </c>
    </row>
    <row r="1051" spans="2:4" ht="14" thickBot="1" x14ac:dyDescent="0.2">
      <c r="B1051" s="312">
        <v>44294</v>
      </c>
      <c r="C1051" s="321">
        <v>14873.8</v>
      </c>
      <c r="D1051" s="210">
        <f t="shared" si="16"/>
        <v>-2.6186986513196953E-3</v>
      </c>
    </row>
    <row r="1052" spans="2:4" ht="14" thickBot="1" x14ac:dyDescent="0.2">
      <c r="B1052" s="312">
        <v>44293</v>
      </c>
      <c r="C1052" s="321">
        <v>14819.05</v>
      </c>
      <c r="D1052" s="210">
        <f t="shared" si="16"/>
        <v>3.6945688151399647E-3</v>
      </c>
    </row>
    <row r="1053" spans="2:4" ht="14" thickBot="1" x14ac:dyDescent="0.2">
      <c r="B1053" s="312">
        <v>44292</v>
      </c>
      <c r="C1053" s="321">
        <v>14683.5</v>
      </c>
      <c r="D1053" s="210">
        <f t="shared" si="16"/>
        <v>9.2314502673067622E-3</v>
      </c>
    </row>
    <row r="1054" spans="2:4" ht="14" thickBot="1" x14ac:dyDescent="0.2">
      <c r="B1054" s="312">
        <v>44291</v>
      </c>
      <c r="C1054" s="321">
        <v>14637.8</v>
      </c>
      <c r="D1054" s="209">
        <f t="shared" si="16"/>
        <v>3.1220538605529757E-3</v>
      </c>
    </row>
    <row r="1055" spans="2:4" ht="14" thickBot="1" x14ac:dyDescent="0.2">
      <c r="B1055" s="312">
        <v>44287</v>
      </c>
      <c r="C1055" s="321">
        <v>14867.35</v>
      </c>
      <c r="D1055" s="210">
        <f t="shared" si="16"/>
        <v>-1.5439873279367244E-2</v>
      </c>
    </row>
    <row r="1056" spans="2:4" ht="14" thickBot="1" x14ac:dyDescent="0.2">
      <c r="B1056" s="312">
        <v>44286</v>
      </c>
      <c r="C1056" s="321">
        <v>14690.7</v>
      </c>
      <c r="D1056" s="209">
        <f t="shared" si="16"/>
        <v>1.2024614211712192E-2</v>
      </c>
    </row>
    <row r="1057" spans="2:4" ht="14" thickBot="1" x14ac:dyDescent="0.2">
      <c r="B1057" s="312">
        <v>44285</v>
      </c>
      <c r="C1057" s="321">
        <v>14845.1</v>
      </c>
      <c r="D1057" s="209">
        <f t="shared" si="16"/>
        <v>-1.0400738290749056E-2</v>
      </c>
    </row>
    <row r="1058" spans="2:4" ht="14" thickBot="1" x14ac:dyDescent="0.2">
      <c r="B1058" s="312">
        <v>44281</v>
      </c>
      <c r="C1058" s="321">
        <v>14507.3</v>
      </c>
      <c r="D1058" s="209">
        <f t="shared" si="16"/>
        <v>2.3284829017115705E-2</v>
      </c>
    </row>
    <row r="1059" spans="2:4" ht="14" thickBot="1" x14ac:dyDescent="0.2">
      <c r="B1059" s="312">
        <v>44280</v>
      </c>
      <c r="C1059" s="321">
        <v>14324.9</v>
      </c>
      <c r="D1059" s="209">
        <f t="shared" si="16"/>
        <v>1.2733073180266397E-2</v>
      </c>
    </row>
    <row r="1060" spans="2:4" ht="14" thickBot="1" x14ac:dyDescent="0.2">
      <c r="B1060" s="312">
        <v>44279</v>
      </c>
      <c r="C1060" s="321">
        <v>14549.4</v>
      </c>
      <c r="D1060" s="210">
        <f t="shared" si="16"/>
        <v>-1.5430189561081553E-2</v>
      </c>
    </row>
    <row r="1061" spans="2:4" ht="14" thickBot="1" x14ac:dyDescent="0.2">
      <c r="B1061" s="312">
        <v>44278</v>
      </c>
      <c r="C1061" s="321">
        <v>14814.75</v>
      </c>
      <c r="D1061" s="209">
        <f t="shared" si="16"/>
        <v>-1.7911203361514749E-2</v>
      </c>
    </row>
    <row r="1062" spans="2:4" ht="14" thickBot="1" x14ac:dyDescent="0.2">
      <c r="B1062" s="312">
        <v>44277</v>
      </c>
      <c r="C1062" s="321">
        <v>14736.4</v>
      </c>
      <c r="D1062" s="210">
        <f t="shared" si="16"/>
        <v>5.3167666458564522E-3</v>
      </c>
    </row>
    <row r="1063" spans="2:4" ht="14" thickBot="1" x14ac:dyDescent="0.2">
      <c r="B1063" s="312">
        <v>44274</v>
      </c>
      <c r="C1063" s="321">
        <v>14744</v>
      </c>
      <c r="D1063" s="210">
        <f t="shared" si="16"/>
        <v>-5.1546391752577136E-4</v>
      </c>
    </row>
    <row r="1064" spans="2:4" ht="14" thickBot="1" x14ac:dyDescent="0.2">
      <c r="B1064" s="312">
        <v>44273</v>
      </c>
      <c r="C1064" s="321">
        <v>14557.85</v>
      </c>
      <c r="D1064" s="209">
        <f t="shared" si="16"/>
        <v>1.2786915650319308E-2</v>
      </c>
    </row>
    <row r="1065" spans="2:4" ht="14" thickBot="1" x14ac:dyDescent="0.2">
      <c r="B1065" s="312">
        <v>44272</v>
      </c>
      <c r="C1065" s="321">
        <v>14721.3</v>
      </c>
      <c r="D1065" s="209">
        <f t="shared" si="16"/>
        <v>-1.1102959657095401E-2</v>
      </c>
    </row>
    <row r="1066" spans="2:4" ht="14" thickBot="1" x14ac:dyDescent="0.2">
      <c r="B1066" s="312">
        <v>44271</v>
      </c>
      <c r="C1066" s="321">
        <v>14910.45</v>
      </c>
      <c r="D1066" s="210">
        <f t="shared" si="16"/>
        <v>-1.2685733830971047E-2</v>
      </c>
    </row>
    <row r="1067" spans="2:4" ht="14" thickBot="1" x14ac:dyDescent="0.2">
      <c r="B1067" s="312">
        <v>44270</v>
      </c>
      <c r="C1067" s="321">
        <v>14929.5</v>
      </c>
      <c r="D1067" s="209">
        <f t="shared" si="16"/>
        <v>-1.2759971867778441E-3</v>
      </c>
    </row>
    <row r="1068" spans="2:4" ht="14" thickBot="1" x14ac:dyDescent="0.2">
      <c r="B1068" s="312">
        <v>44267</v>
      </c>
      <c r="C1068" s="321">
        <v>15030.95</v>
      </c>
      <c r="D1068" s="209">
        <f t="shared" si="16"/>
        <v>-6.7494070567729603E-3</v>
      </c>
    </row>
    <row r="1069" spans="2:4" ht="14" thickBot="1" x14ac:dyDescent="0.2">
      <c r="B1069" s="312">
        <v>44265</v>
      </c>
      <c r="C1069" s="321">
        <v>15174.8</v>
      </c>
      <c r="D1069" s="210">
        <f t="shared" si="16"/>
        <v>-9.4795318554444785E-3</v>
      </c>
    </row>
    <row r="1070" spans="2:4" ht="14" thickBot="1" x14ac:dyDescent="0.2">
      <c r="B1070" s="312">
        <v>44264</v>
      </c>
      <c r="C1070" s="321">
        <v>15098.4</v>
      </c>
      <c r="D1070" s="210">
        <f t="shared" si="16"/>
        <v>5.0601388226567678E-3</v>
      </c>
    </row>
    <row r="1071" spans="2:4" ht="14" thickBot="1" x14ac:dyDescent="0.2">
      <c r="B1071" s="312">
        <v>44263</v>
      </c>
      <c r="C1071" s="321">
        <v>14956.2</v>
      </c>
      <c r="D1071" s="210">
        <f t="shared" si="16"/>
        <v>9.5077626669874959E-3</v>
      </c>
    </row>
    <row r="1072" spans="2:4" ht="14" thickBot="1" x14ac:dyDescent="0.2">
      <c r="B1072" s="312">
        <v>44260</v>
      </c>
      <c r="C1072" s="321">
        <v>14938.1</v>
      </c>
      <c r="D1072" s="209">
        <f t="shared" si="16"/>
        <v>1.2116668117096996E-3</v>
      </c>
    </row>
    <row r="1073" spans="2:4" ht="14" thickBot="1" x14ac:dyDescent="0.2">
      <c r="B1073" s="312">
        <v>44259</v>
      </c>
      <c r="C1073" s="321">
        <v>15080.75</v>
      </c>
      <c r="D1073" s="209">
        <f t="shared" si="16"/>
        <v>-9.4590786267261251E-3</v>
      </c>
    </row>
    <row r="1074" spans="2:4" ht="14" thickBot="1" x14ac:dyDescent="0.2">
      <c r="B1074" s="312">
        <v>44258</v>
      </c>
      <c r="C1074" s="321">
        <v>15245.6</v>
      </c>
      <c r="D1074" s="209">
        <f t="shared" si="16"/>
        <v>-1.0812955869234475E-2</v>
      </c>
    </row>
    <row r="1075" spans="2:4" ht="14" thickBot="1" x14ac:dyDescent="0.2">
      <c r="B1075" s="312">
        <v>44257</v>
      </c>
      <c r="C1075" s="321">
        <v>14919.1</v>
      </c>
      <c r="D1075" s="209">
        <f t="shared" si="16"/>
        <v>2.188469813862759E-2</v>
      </c>
    </row>
    <row r="1076" spans="2:4" ht="14" thickBot="1" x14ac:dyDescent="0.2">
      <c r="B1076" s="312">
        <v>44256</v>
      </c>
      <c r="C1076" s="321">
        <v>14761.55</v>
      </c>
      <c r="D1076" s="210">
        <f t="shared" si="16"/>
        <v>1.0672998431736636E-2</v>
      </c>
    </row>
    <row r="1077" spans="2:4" ht="14" thickBot="1" x14ac:dyDescent="0.2">
      <c r="B1077" s="312">
        <v>44253</v>
      </c>
      <c r="C1077" s="321">
        <v>14529.15</v>
      </c>
      <c r="D1077" s="209">
        <f t="shared" si="16"/>
        <v>1.5995429877177836E-2</v>
      </c>
    </row>
    <row r="1078" spans="2:4" ht="14" thickBot="1" x14ac:dyDescent="0.2">
      <c r="B1078" s="312">
        <v>44252</v>
      </c>
      <c r="C1078" s="321">
        <v>15097.35</v>
      </c>
      <c r="D1078" s="209">
        <f t="shared" si="16"/>
        <v>-3.7635744021301765E-2</v>
      </c>
    </row>
    <row r="1079" spans="2:4" ht="14" thickBot="1" x14ac:dyDescent="0.2">
      <c r="B1079" s="312">
        <v>44251</v>
      </c>
      <c r="C1079" s="321">
        <v>14982</v>
      </c>
      <c r="D1079" s="209">
        <f t="shared" si="16"/>
        <v>7.699239086904397E-3</v>
      </c>
    </row>
    <row r="1080" spans="2:4" ht="14" thickBot="1" x14ac:dyDescent="0.2">
      <c r="B1080" s="312">
        <v>44250</v>
      </c>
      <c r="C1080" s="321">
        <v>14707.8</v>
      </c>
      <c r="D1080" s="210">
        <f t="shared" si="16"/>
        <v>1.8643168930771559E-2</v>
      </c>
    </row>
    <row r="1081" spans="2:4" ht="14" thickBot="1" x14ac:dyDescent="0.2">
      <c r="B1081" s="312">
        <v>44249</v>
      </c>
      <c r="C1081" s="321">
        <v>14675.7</v>
      </c>
      <c r="D1081" s="209">
        <f t="shared" si="16"/>
        <v>2.1872891923382376E-3</v>
      </c>
    </row>
    <row r="1082" spans="2:4" ht="14" thickBot="1" x14ac:dyDescent="0.2">
      <c r="B1082" s="312">
        <v>44246</v>
      </c>
      <c r="C1082" s="321">
        <v>14981.75</v>
      </c>
      <c r="D1082" s="210">
        <f t="shared" si="16"/>
        <v>-2.0428187628281025E-2</v>
      </c>
    </row>
    <row r="1083" spans="2:4" ht="14" thickBot="1" x14ac:dyDescent="0.2">
      <c r="B1083" s="312">
        <v>44245</v>
      </c>
      <c r="C1083" s="321">
        <v>15118.95</v>
      </c>
      <c r="D1083" s="210">
        <f t="shared" si="16"/>
        <v>-9.0747042618700702E-3</v>
      </c>
    </row>
    <row r="1084" spans="2:4" ht="14" thickBot="1" x14ac:dyDescent="0.2">
      <c r="B1084" s="312">
        <v>44244</v>
      </c>
      <c r="C1084" s="321">
        <v>15208.9</v>
      </c>
      <c r="D1084" s="209">
        <f t="shared" si="16"/>
        <v>-5.9143001795001204E-3</v>
      </c>
    </row>
    <row r="1085" spans="2:4" ht="14" thickBot="1" x14ac:dyDescent="0.2">
      <c r="B1085" s="312">
        <v>44243</v>
      </c>
      <c r="C1085" s="321">
        <v>15313.45</v>
      </c>
      <c r="D1085" s="210">
        <f t="shared" si="16"/>
        <v>-6.8273315288195358E-3</v>
      </c>
    </row>
    <row r="1086" spans="2:4" ht="14" thickBot="1" x14ac:dyDescent="0.2">
      <c r="B1086" s="312">
        <v>44242</v>
      </c>
      <c r="C1086" s="321">
        <v>15314.7</v>
      </c>
      <c r="D1086" s="210">
        <f t="shared" si="16"/>
        <v>-8.1620926299597052E-5</v>
      </c>
    </row>
    <row r="1087" spans="2:4" ht="14" thickBot="1" x14ac:dyDescent="0.2">
      <c r="B1087" s="312">
        <v>44239</v>
      </c>
      <c r="C1087" s="321">
        <v>15163.3</v>
      </c>
      <c r="D1087" s="210">
        <f t="shared" si="16"/>
        <v>9.9846339517124516E-3</v>
      </c>
    </row>
    <row r="1088" spans="2:4" ht="14" thickBot="1" x14ac:dyDescent="0.2">
      <c r="B1088" s="312">
        <v>44238</v>
      </c>
      <c r="C1088" s="321">
        <v>15173.3</v>
      </c>
      <c r="D1088" s="209">
        <f t="shared" si="16"/>
        <v>-6.5905241443853235E-4</v>
      </c>
    </row>
    <row r="1089" spans="2:4" ht="14" thickBot="1" x14ac:dyDescent="0.2">
      <c r="B1089" s="312">
        <v>44237</v>
      </c>
      <c r="C1089" s="321">
        <v>15106.5</v>
      </c>
      <c r="D1089" s="209">
        <f t="shared" si="16"/>
        <v>4.4219375765397473E-3</v>
      </c>
    </row>
    <row r="1090" spans="2:4" ht="14" thickBot="1" x14ac:dyDescent="0.2">
      <c r="B1090" s="312">
        <v>44236</v>
      </c>
      <c r="C1090" s="321">
        <v>15109.3</v>
      </c>
      <c r="D1090" s="210">
        <f t="shared" si="16"/>
        <v>-1.8531632835405709E-4</v>
      </c>
    </row>
    <row r="1091" spans="2:4" ht="14" thickBot="1" x14ac:dyDescent="0.2">
      <c r="B1091" s="312">
        <v>44235</v>
      </c>
      <c r="C1091" s="321">
        <v>15115.8</v>
      </c>
      <c r="D1091" s="209">
        <f t="shared" si="16"/>
        <v>-4.3001362812422617E-4</v>
      </c>
    </row>
    <row r="1092" spans="2:4" ht="14" thickBot="1" x14ac:dyDescent="0.2">
      <c r="B1092" s="312">
        <v>44232</v>
      </c>
      <c r="C1092" s="321">
        <v>14924.25</v>
      </c>
      <c r="D1092" s="210">
        <f t="shared" si="16"/>
        <v>1.2834815819890322E-2</v>
      </c>
    </row>
    <row r="1093" spans="2:4" ht="14" thickBot="1" x14ac:dyDescent="0.2">
      <c r="B1093" s="312">
        <v>44231</v>
      </c>
      <c r="C1093" s="321">
        <v>14895.65</v>
      </c>
      <c r="D1093" s="210">
        <f t="shared" si="16"/>
        <v>1.9200236310601415E-3</v>
      </c>
    </row>
    <row r="1094" spans="2:4" ht="14" thickBot="1" x14ac:dyDescent="0.2">
      <c r="B1094" s="312">
        <v>44230</v>
      </c>
      <c r="C1094" s="321">
        <v>14789.95</v>
      </c>
      <c r="D1094" s="209">
        <f t="shared" si="16"/>
        <v>7.1467449180016018E-3</v>
      </c>
    </row>
    <row r="1095" spans="2:4" ht="14" thickBot="1" x14ac:dyDescent="0.2">
      <c r="B1095" s="312">
        <v>44229</v>
      </c>
      <c r="C1095" s="321">
        <v>14647.85</v>
      </c>
      <c r="D1095" s="209">
        <f t="shared" si="16"/>
        <v>9.7010824114118765E-3</v>
      </c>
    </row>
    <row r="1096" spans="2:4" ht="14" thickBot="1" x14ac:dyDescent="0.2">
      <c r="B1096" s="312">
        <v>44228</v>
      </c>
      <c r="C1096" s="321">
        <v>14281.2</v>
      </c>
      <c r="D1096" s="210">
        <f t="shared" si="16"/>
        <v>2.5673612861664363E-2</v>
      </c>
    </row>
    <row r="1097" spans="2:4" ht="14" thickBot="1" x14ac:dyDescent="0.2">
      <c r="B1097" s="312">
        <v>44225</v>
      </c>
      <c r="C1097" s="321">
        <v>13634.6</v>
      </c>
      <c r="D1097" s="209">
        <f t="shared" si="16"/>
        <v>4.7423466768368838E-2</v>
      </c>
    </row>
    <row r="1098" spans="2:4" ht="14" thickBot="1" x14ac:dyDescent="0.2">
      <c r="B1098" s="312">
        <v>44224</v>
      </c>
      <c r="C1098" s="321">
        <v>13817.55</v>
      </c>
      <c r="D1098" s="209">
        <f t="shared" si="16"/>
        <v>-1.3240408031814588E-2</v>
      </c>
    </row>
    <row r="1099" spans="2:4" ht="14" thickBot="1" x14ac:dyDescent="0.2">
      <c r="B1099" s="312">
        <v>44223</v>
      </c>
      <c r="C1099" s="321">
        <v>13967.5</v>
      </c>
      <c r="D1099" s="210">
        <f t="shared" ref="D1099:D1162" si="17">C1098/C1099-1</f>
        <v>-1.0735636298550233E-2</v>
      </c>
    </row>
    <row r="1100" spans="2:4" ht="14" thickBot="1" x14ac:dyDescent="0.2">
      <c r="B1100" s="312">
        <v>44221</v>
      </c>
      <c r="C1100" s="321">
        <v>14238.9</v>
      </c>
      <c r="D1100" s="209">
        <f t="shared" si="17"/>
        <v>-1.9060461131126694E-2</v>
      </c>
    </row>
    <row r="1101" spans="2:4" ht="14" thickBot="1" x14ac:dyDescent="0.2">
      <c r="B1101" s="312">
        <v>44218</v>
      </c>
      <c r="C1101" s="321">
        <v>14371.9</v>
      </c>
      <c r="D1101" s="210">
        <f t="shared" si="17"/>
        <v>-9.2541695948343827E-3</v>
      </c>
    </row>
    <row r="1102" spans="2:4" ht="14" thickBot="1" x14ac:dyDescent="0.2">
      <c r="B1102" s="312">
        <v>44217</v>
      </c>
      <c r="C1102" s="321">
        <v>14590.35</v>
      </c>
      <c r="D1102" s="209">
        <f t="shared" si="17"/>
        <v>-1.4972224792414224E-2</v>
      </c>
    </row>
    <row r="1103" spans="2:4" ht="14" thickBot="1" x14ac:dyDescent="0.2">
      <c r="B1103" s="312">
        <v>44216</v>
      </c>
      <c r="C1103" s="321">
        <v>14644.7</v>
      </c>
      <c r="D1103" s="209">
        <f t="shared" si="17"/>
        <v>-3.711240243910785E-3</v>
      </c>
    </row>
    <row r="1104" spans="2:4" ht="14" thickBot="1" x14ac:dyDescent="0.2">
      <c r="B1104" s="312">
        <v>44215</v>
      </c>
      <c r="C1104" s="321">
        <v>14521.15</v>
      </c>
      <c r="D1104" s="210">
        <f t="shared" si="17"/>
        <v>8.508279302947841E-3</v>
      </c>
    </row>
    <row r="1105" spans="2:4" ht="14" thickBot="1" x14ac:dyDescent="0.2">
      <c r="B1105" s="312">
        <v>44214</v>
      </c>
      <c r="C1105" s="321">
        <v>14281.3</v>
      </c>
      <c r="D1105" s="209">
        <f t="shared" si="17"/>
        <v>1.6794689559073817E-2</v>
      </c>
    </row>
    <row r="1106" spans="2:4" ht="14" thickBot="1" x14ac:dyDescent="0.2">
      <c r="B1106" s="312">
        <v>44211</v>
      </c>
      <c r="C1106" s="321">
        <v>14433.7</v>
      </c>
      <c r="D1106" s="209">
        <f t="shared" si="17"/>
        <v>-1.0558623222042929E-2</v>
      </c>
    </row>
    <row r="1107" spans="2:4" ht="14" thickBot="1" x14ac:dyDescent="0.2">
      <c r="B1107" s="312">
        <v>44210</v>
      </c>
      <c r="C1107" s="321">
        <v>14595.6</v>
      </c>
      <c r="D1107" s="209">
        <f t="shared" si="17"/>
        <v>-1.1092384006138767E-2</v>
      </c>
    </row>
    <row r="1108" spans="2:4" ht="14" thickBot="1" x14ac:dyDescent="0.2">
      <c r="B1108" s="312">
        <v>44209</v>
      </c>
      <c r="C1108" s="321">
        <v>14564.85</v>
      </c>
      <c r="D1108" s="209">
        <f t="shared" si="17"/>
        <v>2.1112472837001572E-3</v>
      </c>
    </row>
    <row r="1109" spans="2:4" ht="14" thickBot="1" x14ac:dyDescent="0.2">
      <c r="B1109" s="312">
        <v>44208</v>
      </c>
      <c r="C1109" s="321">
        <v>14563.45</v>
      </c>
      <c r="D1109" s="209">
        <f t="shared" si="17"/>
        <v>9.6131067844451579E-5</v>
      </c>
    </row>
    <row r="1110" spans="2:4" ht="14" thickBot="1" x14ac:dyDescent="0.2">
      <c r="B1110" s="312">
        <v>44207</v>
      </c>
      <c r="C1110" s="321">
        <v>14484.75</v>
      </c>
      <c r="D1110" s="209">
        <f t="shared" si="17"/>
        <v>5.4333005402233958E-3</v>
      </c>
    </row>
    <row r="1111" spans="2:4" ht="14" thickBot="1" x14ac:dyDescent="0.2">
      <c r="B1111" s="312">
        <v>44204</v>
      </c>
      <c r="C1111" s="321">
        <v>14347.25</v>
      </c>
      <c r="D1111" s="209">
        <f t="shared" si="17"/>
        <v>9.5837181341371647E-3</v>
      </c>
    </row>
    <row r="1112" spans="2:4" ht="14" thickBot="1" x14ac:dyDescent="0.2">
      <c r="B1112" s="312">
        <v>44203</v>
      </c>
      <c r="C1112" s="321">
        <v>14137.35</v>
      </c>
      <c r="D1112" s="210">
        <f t="shared" si="17"/>
        <v>1.4847195549378078E-2</v>
      </c>
    </row>
    <row r="1113" spans="2:4" ht="14" thickBot="1" x14ac:dyDescent="0.2">
      <c r="B1113" s="312">
        <v>44202</v>
      </c>
      <c r="C1113" s="321">
        <v>14146.25</v>
      </c>
      <c r="D1113" s="209">
        <f t="shared" si="17"/>
        <v>-6.2914199876284993E-4</v>
      </c>
    </row>
    <row r="1114" spans="2:4" ht="14" thickBot="1" x14ac:dyDescent="0.2">
      <c r="B1114" s="312">
        <v>44201</v>
      </c>
      <c r="C1114" s="321">
        <v>14199.5</v>
      </c>
      <c r="D1114" s="210">
        <f t="shared" si="17"/>
        <v>-3.7501320469031096E-3</v>
      </c>
    </row>
    <row r="1115" spans="2:4" ht="14" thickBot="1" x14ac:dyDescent="0.2">
      <c r="B1115" s="312">
        <v>44200</v>
      </c>
      <c r="C1115" s="321">
        <v>14132.9</v>
      </c>
      <c r="D1115" s="209">
        <f t="shared" si="17"/>
        <v>4.7124086351704175E-3</v>
      </c>
    </row>
    <row r="1116" spans="2:4" ht="14" thickBot="1" x14ac:dyDescent="0.2">
      <c r="B1116" s="312">
        <v>44197</v>
      </c>
      <c r="C1116" s="321">
        <v>14018.5</v>
      </c>
      <c r="D1116" s="209">
        <f t="shared" si="17"/>
        <v>8.1606448621465155E-3</v>
      </c>
    </row>
    <row r="1117" spans="2:4" ht="14" thickBot="1" x14ac:dyDescent="0.2">
      <c r="B1117" s="312">
        <v>44196</v>
      </c>
      <c r="C1117" s="321">
        <v>13981.75</v>
      </c>
      <c r="D1117" s="209">
        <f t="shared" si="17"/>
        <v>2.6284263414808606E-3</v>
      </c>
    </row>
    <row r="1118" spans="2:4" ht="14" thickBot="1" x14ac:dyDescent="0.2">
      <c r="B1118" s="312">
        <v>44195</v>
      </c>
      <c r="C1118" s="321">
        <v>13981.95</v>
      </c>
      <c r="D1118" s="209">
        <f t="shared" si="17"/>
        <v>-1.430415643033367E-5</v>
      </c>
    </row>
    <row r="1119" spans="2:4" ht="14" thickBot="1" x14ac:dyDescent="0.2">
      <c r="B1119" s="312">
        <v>44194</v>
      </c>
      <c r="C1119" s="321">
        <v>13932.6</v>
      </c>
      <c r="D1119" s="209">
        <f t="shared" si="17"/>
        <v>3.5420524525213715E-3</v>
      </c>
    </row>
    <row r="1120" spans="2:4" ht="14" thickBot="1" x14ac:dyDescent="0.2">
      <c r="B1120" s="312">
        <v>44193</v>
      </c>
      <c r="C1120" s="321">
        <v>13873.2</v>
      </c>
      <c r="D1120" s="209">
        <f t="shared" si="17"/>
        <v>4.2816365366318276E-3</v>
      </c>
    </row>
    <row r="1121" spans="2:4" ht="14" thickBot="1" x14ac:dyDescent="0.2">
      <c r="B1121" s="312">
        <v>44189</v>
      </c>
      <c r="C1121" s="321">
        <v>13749.25</v>
      </c>
      <c r="D1121" s="210">
        <f t="shared" si="17"/>
        <v>9.0150371838464416E-3</v>
      </c>
    </row>
    <row r="1122" spans="2:4" ht="14" thickBot="1" x14ac:dyDescent="0.2">
      <c r="B1122" s="312">
        <v>44188</v>
      </c>
      <c r="C1122" s="321">
        <v>13601.1</v>
      </c>
      <c r="D1122" s="209">
        <f t="shared" si="17"/>
        <v>1.0892501341803307E-2</v>
      </c>
    </row>
    <row r="1123" spans="2:4" ht="14" thickBot="1" x14ac:dyDescent="0.2">
      <c r="B1123" s="312">
        <v>44187</v>
      </c>
      <c r="C1123" s="321">
        <v>13466.3</v>
      </c>
      <c r="D1123" s="210">
        <f t="shared" si="17"/>
        <v>1.0010173544329204E-2</v>
      </c>
    </row>
    <row r="1124" spans="2:4" ht="14" thickBot="1" x14ac:dyDescent="0.2">
      <c r="B1124" s="312">
        <v>44186</v>
      </c>
      <c r="C1124" s="321">
        <v>13328.4</v>
      </c>
      <c r="D1124" s="210">
        <f t="shared" si="17"/>
        <v>1.0346328141412231E-2</v>
      </c>
    </row>
    <row r="1125" spans="2:4" ht="14" thickBot="1" x14ac:dyDescent="0.2">
      <c r="B1125" s="312">
        <v>44183</v>
      </c>
      <c r="C1125" s="321">
        <v>13760.55</v>
      </c>
      <c r="D1125" s="210">
        <f t="shared" si="17"/>
        <v>-3.1404994713147394E-2</v>
      </c>
    </row>
    <row r="1126" spans="2:4" ht="14" thickBot="1" x14ac:dyDescent="0.2">
      <c r="B1126" s="312">
        <v>44182</v>
      </c>
      <c r="C1126" s="321">
        <v>13740.7</v>
      </c>
      <c r="D1126" s="210">
        <f t="shared" si="17"/>
        <v>1.4446134476409078E-3</v>
      </c>
    </row>
    <row r="1127" spans="2:4" ht="14" thickBot="1" x14ac:dyDescent="0.2">
      <c r="B1127" s="312">
        <v>44181</v>
      </c>
      <c r="C1127" s="321">
        <v>13682.7</v>
      </c>
      <c r="D1127" s="210">
        <f t="shared" si="17"/>
        <v>4.2389294510585263E-3</v>
      </c>
    </row>
    <row r="1128" spans="2:4" ht="14" thickBot="1" x14ac:dyDescent="0.2">
      <c r="B1128" s="312">
        <v>44180</v>
      </c>
      <c r="C1128" s="321">
        <v>13567.85</v>
      </c>
      <c r="D1128" s="210">
        <f t="shared" si="17"/>
        <v>8.4648636298307878E-3</v>
      </c>
    </row>
    <row r="1129" spans="2:4" ht="14" thickBot="1" x14ac:dyDescent="0.2">
      <c r="B1129" s="312">
        <v>44179</v>
      </c>
      <c r="C1129" s="321">
        <v>13558.15</v>
      </c>
      <c r="D1129" s="209">
        <f t="shared" si="17"/>
        <v>7.1543684057195911E-4</v>
      </c>
    </row>
    <row r="1130" spans="2:4" ht="14" thickBot="1" x14ac:dyDescent="0.2">
      <c r="B1130" s="312">
        <v>44176</v>
      </c>
      <c r="C1130" s="321">
        <v>13513.85</v>
      </c>
      <c r="D1130" s="210">
        <f t="shared" si="17"/>
        <v>3.2781183748524789E-3</v>
      </c>
    </row>
    <row r="1131" spans="2:4" ht="14" thickBot="1" x14ac:dyDescent="0.2">
      <c r="B1131" s="312">
        <v>44175</v>
      </c>
      <c r="C1131" s="321">
        <v>13478.3</v>
      </c>
      <c r="D1131" s="210">
        <f t="shared" si="17"/>
        <v>2.6375729876915166E-3</v>
      </c>
    </row>
    <row r="1132" spans="2:4" ht="14" thickBot="1" x14ac:dyDescent="0.2">
      <c r="B1132" s="312">
        <v>44174</v>
      </c>
      <c r="C1132" s="321">
        <v>13529.1</v>
      </c>
      <c r="D1132" s="209">
        <f t="shared" si="17"/>
        <v>-3.7548691339409634E-3</v>
      </c>
    </row>
    <row r="1133" spans="2:4" ht="14" thickBot="1" x14ac:dyDescent="0.2">
      <c r="B1133" s="312">
        <v>44173</v>
      </c>
      <c r="C1133" s="321">
        <v>13392.95</v>
      </c>
      <c r="D1133" s="209">
        <f t="shared" si="17"/>
        <v>1.0165796183813081E-2</v>
      </c>
    </row>
    <row r="1134" spans="2:4" ht="14" thickBot="1" x14ac:dyDescent="0.2">
      <c r="B1134" s="312">
        <v>44172</v>
      </c>
      <c r="C1134" s="321">
        <v>13355.75</v>
      </c>
      <c r="D1134" s="210">
        <f t="shared" si="17"/>
        <v>2.785317185481917E-3</v>
      </c>
    </row>
    <row r="1135" spans="2:4" ht="14" thickBot="1" x14ac:dyDescent="0.2">
      <c r="B1135" s="312">
        <v>44169</v>
      </c>
      <c r="C1135" s="321">
        <v>13258.55</v>
      </c>
      <c r="D1135" s="209">
        <f t="shared" si="17"/>
        <v>7.331118410384363E-3</v>
      </c>
    </row>
    <row r="1136" spans="2:4" ht="14" thickBot="1" x14ac:dyDescent="0.2">
      <c r="B1136" s="312">
        <v>44168</v>
      </c>
      <c r="C1136" s="321">
        <v>13133.9</v>
      </c>
      <c r="D1136" s="210">
        <f t="shared" si="17"/>
        <v>9.4907072537480097E-3</v>
      </c>
    </row>
    <row r="1137" spans="2:4" ht="14" thickBot="1" x14ac:dyDescent="0.2">
      <c r="B1137" s="312">
        <v>44167</v>
      </c>
      <c r="C1137" s="321">
        <v>13113.75</v>
      </c>
      <c r="D1137" s="210">
        <f t="shared" si="17"/>
        <v>1.5365551425030599E-3</v>
      </c>
    </row>
    <row r="1138" spans="2:4" ht="14" thickBot="1" x14ac:dyDescent="0.2">
      <c r="B1138" s="312">
        <v>44166</v>
      </c>
      <c r="C1138" s="321">
        <v>13109.05</v>
      </c>
      <c r="D1138" s="209">
        <f t="shared" si="17"/>
        <v>3.5853093855009455E-4</v>
      </c>
    </row>
    <row r="1139" spans="2:4" ht="14" thickBot="1" x14ac:dyDescent="0.2">
      <c r="B1139" s="312">
        <v>44162</v>
      </c>
      <c r="C1139" s="321">
        <v>12968.95</v>
      </c>
      <c r="D1139" s="210">
        <f t="shared" si="17"/>
        <v>1.0802724970024435E-2</v>
      </c>
    </row>
    <row r="1140" spans="2:4" ht="14" thickBot="1" x14ac:dyDescent="0.2">
      <c r="B1140" s="312">
        <v>44161</v>
      </c>
      <c r="C1140" s="321">
        <v>12987</v>
      </c>
      <c r="D1140" s="209">
        <f t="shared" si="17"/>
        <v>-1.3898513898513709E-3</v>
      </c>
    </row>
    <row r="1141" spans="2:4" ht="14" thickBot="1" x14ac:dyDescent="0.2">
      <c r="B1141" s="312">
        <v>44160</v>
      </c>
      <c r="C1141" s="321">
        <v>12858.4</v>
      </c>
      <c r="D1141" s="209">
        <f t="shared" si="17"/>
        <v>1.000124432277727E-2</v>
      </c>
    </row>
    <row r="1142" spans="2:4" ht="14" thickBot="1" x14ac:dyDescent="0.2">
      <c r="B1142" s="312">
        <v>44159</v>
      </c>
      <c r="C1142" s="321">
        <v>13055.15</v>
      </c>
      <c r="D1142" s="209">
        <f t="shared" si="17"/>
        <v>-1.5070680919024304E-2</v>
      </c>
    </row>
    <row r="1143" spans="2:4" ht="14" thickBot="1" x14ac:dyDescent="0.2">
      <c r="B1143" s="312">
        <v>44158</v>
      </c>
      <c r="C1143" s="321">
        <v>12926.45</v>
      </c>
      <c r="D1143" s="209">
        <f t="shared" si="17"/>
        <v>9.956329850809631E-3</v>
      </c>
    </row>
    <row r="1144" spans="2:4" ht="14" thickBot="1" x14ac:dyDescent="0.2">
      <c r="B1144" s="312">
        <v>44155</v>
      </c>
      <c r="C1144" s="321">
        <v>12859.05</v>
      </c>
      <c r="D1144" s="209">
        <f t="shared" si="17"/>
        <v>5.2414447412523213E-3</v>
      </c>
    </row>
    <row r="1145" spans="2:4" ht="14" thickBot="1" x14ac:dyDescent="0.2">
      <c r="B1145" s="312">
        <v>44154</v>
      </c>
      <c r="C1145" s="321">
        <v>12771.7</v>
      </c>
      <c r="D1145" s="210">
        <f t="shared" si="17"/>
        <v>6.8393401035100609E-3</v>
      </c>
    </row>
    <row r="1146" spans="2:4" ht="14" thickBot="1" x14ac:dyDescent="0.2">
      <c r="B1146" s="312">
        <v>44153</v>
      </c>
      <c r="C1146" s="321">
        <v>12938.25</v>
      </c>
      <c r="D1146" s="209">
        <f t="shared" si="17"/>
        <v>-1.2872683709156951E-2</v>
      </c>
    </row>
    <row r="1147" spans="2:4" ht="14" thickBot="1" x14ac:dyDescent="0.2">
      <c r="B1147" s="312">
        <v>44152</v>
      </c>
      <c r="C1147" s="321">
        <v>12874.2</v>
      </c>
      <c r="D1147" s="210">
        <f t="shared" si="17"/>
        <v>4.9750664118934917E-3</v>
      </c>
    </row>
    <row r="1148" spans="2:4" ht="14" thickBot="1" x14ac:dyDescent="0.2">
      <c r="B1148" s="312">
        <v>44149</v>
      </c>
      <c r="C1148" s="321">
        <v>12780.25</v>
      </c>
      <c r="D1148" s="210">
        <f t="shared" si="17"/>
        <v>7.3511864008921624E-3</v>
      </c>
    </row>
    <row r="1149" spans="2:4" ht="14" thickBot="1" x14ac:dyDescent="0.2">
      <c r="B1149" s="312">
        <v>44148</v>
      </c>
      <c r="C1149" s="321">
        <v>12719.95</v>
      </c>
      <c r="D1149" s="209">
        <f t="shared" si="17"/>
        <v>4.7405846721095823E-3</v>
      </c>
    </row>
    <row r="1150" spans="2:4" ht="14" thickBot="1" x14ac:dyDescent="0.2">
      <c r="B1150" s="312">
        <v>44147</v>
      </c>
      <c r="C1150" s="321">
        <v>12690.8</v>
      </c>
      <c r="D1150" s="209">
        <f t="shared" si="17"/>
        <v>2.2969395152394601E-3</v>
      </c>
    </row>
    <row r="1151" spans="2:4" ht="14" thickBot="1" x14ac:dyDescent="0.2">
      <c r="B1151" s="312">
        <v>44146</v>
      </c>
      <c r="C1151" s="321">
        <v>12749.15</v>
      </c>
      <c r="D1151" s="209">
        <f t="shared" si="17"/>
        <v>-4.5767757066157433E-3</v>
      </c>
    </row>
    <row r="1152" spans="2:4" ht="14" thickBot="1" x14ac:dyDescent="0.2">
      <c r="B1152" s="312">
        <v>44145</v>
      </c>
      <c r="C1152" s="321">
        <v>12631.1</v>
      </c>
      <c r="D1152" s="210">
        <f t="shared" si="17"/>
        <v>9.3459793683843273E-3</v>
      </c>
    </row>
    <row r="1153" spans="2:4" ht="14" thickBot="1" x14ac:dyDescent="0.2">
      <c r="B1153" s="312">
        <v>44144</v>
      </c>
      <c r="C1153" s="321">
        <v>12461.05</v>
      </c>
      <c r="D1153" s="210">
        <f t="shared" si="17"/>
        <v>1.3646522564310537E-2</v>
      </c>
    </row>
    <row r="1154" spans="2:4" ht="14" thickBot="1" x14ac:dyDescent="0.2">
      <c r="B1154" s="312">
        <v>44141</v>
      </c>
      <c r="C1154" s="321">
        <v>12263.55</v>
      </c>
      <c r="D1154" s="210">
        <f t="shared" si="17"/>
        <v>1.6104635280974833E-2</v>
      </c>
    </row>
    <row r="1155" spans="2:4" ht="14" thickBot="1" x14ac:dyDescent="0.2">
      <c r="B1155" s="312">
        <v>44140</v>
      </c>
      <c r="C1155" s="321">
        <v>12120.3</v>
      </c>
      <c r="D1155" s="209">
        <f t="shared" si="17"/>
        <v>1.1819014380832105E-2</v>
      </c>
    </row>
    <row r="1156" spans="2:4" ht="14" thickBot="1" x14ac:dyDescent="0.2">
      <c r="B1156" s="312">
        <v>44139</v>
      </c>
      <c r="C1156" s="321">
        <v>11908.5</v>
      </c>
      <c r="D1156" s="209">
        <f t="shared" si="17"/>
        <v>1.7785615316790571E-2</v>
      </c>
    </row>
    <row r="1157" spans="2:4" ht="14" thickBot="1" x14ac:dyDescent="0.2">
      <c r="B1157" s="312">
        <v>44138</v>
      </c>
      <c r="C1157" s="321">
        <v>11813.5</v>
      </c>
      <c r="D1157" s="209">
        <f t="shared" si="17"/>
        <v>8.0416472679560869E-3</v>
      </c>
    </row>
    <row r="1158" spans="2:4" ht="14" thickBot="1" x14ac:dyDescent="0.2">
      <c r="B1158" s="312">
        <v>44137</v>
      </c>
      <c r="C1158" s="321">
        <v>11669.15</v>
      </c>
      <c r="D1158" s="210">
        <f t="shared" si="17"/>
        <v>1.237022405230892E-2</v>
      </c>
    </row>
    <row r="1159" spans="2:4" ht="14" thickBot="1" x14ac:dyDescent="0.2">
      <c r="B1159" s="312">
        <v>44134</v>
      </c>
      <c r="C1159" s="321">
        <v>11642.4</v>
      </c>
      <c r="D1159" s="209">
        <f t="shared" si="17"/>
        <v>2.297636226207711E-3</v>
      </c>
    </row>
    <row r="1160" spans="2:4" ht="14" thickBot="1" x14ac:dyDescent="0.2">
      <c r="B1160" s="312">
        <v>44133</v>
      </c>
      <c r="C1160" s="321">
        <v>11670.8</v>
      </c>
      <c r="D1160" s="209">
        <f t="shared" si="17"/>
        <v>-2.4334235870719922E-3</v>
      </c>
    </row>
    <row r="1161" spans="2:4" ht="14" thickBot="1" x14ac:dyDescent="0.2">
      <c r="B1161" s="312">
        <v>44132</v>
      </c>
      <c r="C1161" s="321">
        <v>11729.6</v>
      </c>
      <c r="D1161" s="210">
        <f t="shared" si="17"/>
        <v>-5.0129586686673555E-3</v>
      </c>
    </row>
    <row r="1162" spans="2:4" ht="14" thickBot="1" x14ac:dyDescent="0.2">
      <c r="B1162" s="312">
        <v>44131</v>
      </c>
      <c r="C1162" s="321">
        <v>11889.4</v>
      </c>
      <c r="D1162" s="209">
        <f t="shared" si="17"/>
        <v>-1.3440543677561423E-2</v>
      </c>
    </row>
    <row r="1163" spans="2:4" ht="14" thickBot="1" x14ac:dyDescent="0.2">
      <c r="B1163" s="312">
        <v>44130</v>
      </c>
      <c r="C1163" s="321">
        <v>11767.75</v>
      </c>
      <c r="D1163" s="210">
        <f t="shared" ref="D1163:D1226" si="18">C1162/C1163-1</f>
        <v>1.0337575152429279E-2</v>
      </c>
    </row>
    <row r="1164" spans="2:4" ht="14" thickBot="1" x14ac:dyDescent="0.2">
      <c r="B1164" s="312">
        <v>44127</v>
      </c>
      <c r="C1164" s="321">
        <v>11930.35</v>
      </c>
      <c r="D1164" s="209">
        <f t="shared" si="18"/>
        <v>-1.362910560042252E-2</v>
      </c>
    </row>
    <row r="1165" spans="2:4" ht="14" thickBot="1" x14ac:dyDescent="0.2">
      <c r="B1165" s="312">
        <v>44126</v>
      </c>
      <c r="C1165" s="321">
        <v>11896.45</v>
      </c>
      <c r="D1165" s="210">
        <f t="shared" si="18"/>
        <v>2.8495895834470542E-3</v>
      </c>
    </row>
    <row r="1166" spans="2:4" ht="14" thickBot="1" x14ac:dyDescent="0.2">
      <c r="B1166" s="312">
        <v>44125</v>
      </c>
      <c r="C1166" s="321">
        <v>11937.65</v>
      </c>
      <c r="D1166" s="209">
        <f t="shared" si="18"/>
        <v>-3.4512655338361231E-3</v>
      </c>
    </row>
    <row r="1167" spans="2:4" ht="14" thickBot="1" x14ac:dyDescent="0.2">
      <c r="B1167" s="312">
        <v>44124</v>
      </c>
      <c r="C1167" s="321">
        <v>11896.8</v>
      </c>
      <c r="D1167" s="210">
        <f t="shared" si="18"/>
        <v>3.4336964561898498E-3</v>
      </c>
    </row>
    <row r="1168" spans="2:4" ht="14" thickBot="1" x14ac:dyDescent="0.2">
      <c r="B1168" s="312">
        <v>44123</v>
      </c>
      <c r="C1168" s="321">
        <v>11873.05</v>
      </c>
      <c r="D1168" s="210">
        <f t="shared" si="18"/>
        <v>2.0003284749916528E-3</v>
      </c>
    </row>
    <row r="1169" spans="2:4" ht="14" thickBot="1" x14ac:dyDescent="0.2">
      <c r="B1169" s="312">
        <v>44120</v>
      </c>
      <c r="C1169" s="321">
        <v>11762.45</v>
      </c>
      <c r="D1169" s="209">
        <f t="shared" si="18"/>
        <v>9.4028029874726471E-3</v>
      </c>
    </row>
    <row r="1170" spans="2:4" ht="14" thickBot="1" x14ac:dyDescent="0.2">
      <c r="B1170" s="312">
        <v>44119</v>
      </c>
      <c r="C1170" s="321">
        <v>11680.35</v>
      </c>
      <c r="D1170" s="210">
        <f t="shared" si="18"/>
        <v>7.0288989627880216E-3</v>
      </c>
    </row>
    <row r="1171" spans="2:4" ht="14" thickBot="1" x14ac:dyDescent="0.2">
      <c r="B1171" s="312">
        <v>44118</v>
      </c>
      <c r="C1171" s="321">
        <v>11971.05</v>
      </c>
      <c r="D1171" s="210">
        <f t="shared" si="18"/>
        <v>-2.4283584146753912E-2</v>
      </c>
    </row>
    <row r="1172" spans="2:4" ht="14" thickBot="1" x14ac:dyDescent="0.2">
      <c r="B1172" s="312">
        <v>44117</v>
      </c>
      <c r="C1172" s="321">
        <v>11934.5</v>
      </c>
      <c r="D1172" s="210">
        <f t="shared" si="18"/>
        <v>3.0625497507226207E-3</v>
      </c>
    </row>
    <row r="1173" spans="2:4" ht="14" thickBot="1" x14ac:dyDescent="0.2">
      <c r="B1173" s="312">
        <v>44116</v>
      </c>
      <c r="C1173" s="321">
        <v>11930.95</v>
      </c>
      <c r="D1173" s="210">
        <f t="shared" si="18"/>
        <v>2.9754545949822742E-4</v>
      </c>
    </row>
    <row r="1174" spans="2:4" ht="14" thickBot="1" x14ac:dyDescent="0.2">
      <c r="B1174" s="312">
        <v>44113</v>
      </c>
      <c r="C1174" s="321">
        <v>11914.2</v>
      </c>
      <c r="D1174" s="210">
        <f t="shared" si="18"/>
        <v>1.4058854140437393E-3</v>
      </c>
    </row>
    <row r="1175" spans="2:4" ht="14" thickBot="1" x14ac:dyDescent="0.2">
      <c r="B1175" s="312">
        <v>44112</v>
      </c>
      <c r="C1175" s="321">
        <v>11834.6</v>
      </c>
      <c r="D1175" s="210">
        <f t="shared" si="18"/>
        <v>6.7260405928379896E-3</v>
      </c>
    </row>
    <row r="1176" spans="2:4" ht="14" thickBot="1" x14ac:dyDescent="0.2">
      <c r="B1176" s="312">
        <v>44111</v>
      </c>
      <c r="C1176" s="321">
        <v>11738.85</v>
      </c>
      <c r="D1176" s="209">
        <f t="shared" si="18"/>
        <v>8.1566763354161687E-3</v>
      </c>
    </row>
    <row r="1177" spans="2:4" ht="14" thickBot="1" x14ac:dyDescent="0.2">
      <c r="B1177" s="312">
        <v>44110</v>
      </c>
      <c r="C1177" s="321">
        <v>11662.4</v>
      </c>
      <c r="D1177" s="209">
        <f t="shared" si="18"/>
        <v>6.555254493071816E-3</v>
      </c>
    </row>
    <row r="1178" spans="2:4" ht="14" thickBot="1" x14ac:dyDescent="0.2">
      <c r="B1178" s="312">
        <v>44109</v>
      </c>
      <c r="C1178" s="321">
        <v>11503.35</v>
      </c>
      <c r="D1178" s="209">
        <f t="shared" si="18"/>
        <v>1.3826407090108406E-2</v>
      </c>
    </row>
    <row r="1179" spans="2:4" ht="14" thickBot="1" x14ac:dyDescent="0.2">
      <c r="B1179" s="312">
        <v>44105</v>
      </c>
      <c r="C1179" s="321">
        <v>11416.95</v>
      </c>
      <c r="D1179" s="210">
        <f t="shared" si="18"/>
        <v>7.5676954002601438E-3</v>
      </c>
    </row>
    <row r="1180" spans="2:4" ht="14" thickBot="1" x14ac:dyDescent="0.2">
      <c r="B1180" s="312">
        <v>44104</v>
      </c>
      <c r="C1180" s="321">
        <v>11247.55</v>
      </c>
      <c r="D1180" s="209">
        <f t="shared" si="18"/>
        <v>1.5061057741463824E-2</v>
      </c>
    </row>
    <row r="1181" spans="2:4" ht="14" thickBot="1" x14ac:dyDescent="0.2">
      <c r="B1181" s="312">
        <v>44103</v>
      </c>
      <c r="C1181" s="321">
        <v>11222.4</v>
      </c>
      <c r="D1181" s="210">
        <f t="shared" si="18"/>
        <v>2.2410536070716081E-3</v>
      </c>
    </row>
    <row r="1182" spans="2:4" ht="14" thickBot="1" x14ac:dyDescent="0.2">
      <c r="B1182" s="312">
        <v>44102</v>
      </c>
      <c r="C1182" s="321">
        <v>11227.55</v>
      </c>
      <c r="D1182" s="210">
        <f t="shared" si="18"/>
        <v>-4.5869312539237317E-4</v>
      </c>
    </row>
    <row r="1183" spans="2:4" ht="14" thickBot="1" x14ac:dyDescent="0.2">
      <c r="B1183" s="312">
        <v>44099</v>
      </c>
      <c r="C1183" s="321">
        <v>11050.25</v>
      </c>
      <c r="D1183" s="210">
        <f t="shared" si="18"/>
        <v>1.6044885862310787E-2</v>
      </c>
    </row>
    <row r="1184" spans="2:4" ht="14" thickBot="1" x14ac:dyDescent="0.2">
      <c r="B1184" s="312">
        <v>44098</v>
      </c>
      <c r="C1184" s="321">
        <v>10805.55</v>
      </c>
      <c r="D1184" s="210">
        <f t="shared" si="18"/>
        <v>2.2645769997825305E-2</v>
      </c>
    </row>
    <row r="1185" spans="2:4" ht="14" thickBot="1" x14ac:dyDescent="0.2">
      <c r="B1185" s="312">
        <v>44097</v>
      </c>
      <c r="C1185" s="321">
        <v>11131.85</v>
      </c>
      <c r="D1185" s="209">
        <f t="shared" si="18"/>
        <v>-2.9312288613303372E-2</v>
      </c>
    </row>
    <row r="1186" spans="2:4" ht="14" thickBot="1" x14ac:dyDescent="0.2">
      <c r="B1186" s="312">
        <v>44096</v>
      </c>
      <c r="C1186" s="321">
        <v>11153.65</v>
      </c>
      <c r="D1186" s="209">
        <f t="shared" si="18"/>
        <v>-1.9545171311632359E-3</v>
      </c>
    </row>
    <row r="1187" spans="2:4" ht="14" thickBot="1" x14ac:dyDescent="0.2">
      <c r="B1187" s="312">
        <v>44095</v>
      </c>
      <c r="C1187" s="321">
        <v>11250.55</v>
      </c>
      <c r="D1187" s="209">
        <f t="shared" si="18"/>
        <v>-8.6129122576229511E-3</v>
      </c>
    </row>
    <row r="1188" spans="2:4" ht="14" thickBot="1" x14ac:dyDescent="0.2">
      <c r="B1188" s="312">
        <v>44092</v>
      </c>
      <c r="C1188" s="321">
        <v>11504.95</v>
      </c>
      <c r="D1188" s="209">
        <f t="shared" si="18"/>
        <v>-2.2112221261283316E-2</v>
      </c>
    </row>
    <row r="1189" spans="2:4" ht="14" thickBot="1" x14ac:dyDescent="0.2">
      <c r="B1189" s="312">
        <v>44091</v>
      </c>
      <c r="C1189" s="321">
        <v>11516.1</v>
      </c>
      <c r="D1189" s="210">
        <f t="shared" si="18"/>
        <v>-9.6820972377797965E-4</v>
      </c>
    </row>
    <row r="1190" spans="2:4" ht="14" thickBot="1" x14ac:dyDescent="0.2">
      <c r="B1190" s="312">
        <v>44090</v>
      </c>
      <c r="C1190" s="321">
        <v>11604.55</v>
      </c>
      <c r="D1190" s="210">
        <f t="shared" si="18"/>
        <v>-7.6220103321541499E-3</v>
      </c>
    </row>
    <row r="1191" spans="2:4" ht="14" thickBot="1" x14ac:dyDescent="0.2">
      <c r="B1191" s="312">
        <v>44089</v>
      </c>
      <c r="C1191" s="321">
        <v>11521.8</v>
      </c>
      <c r="D1191" s="209">
        <f t="shared" si="18"/>
        <v>7.182037528858265E-3</v>
      </c>
    </row>
    <row r="1192" spans="2:4" ht="14" thickBot="1" x14ac:dyDescent="0.2">
      <c r="B1192" s="312">
        <v>44088</v>
      </c>
      <c r="C1192" s="321">
        <v>11440.05</v>
      </c>
      <c r="D1192" s="209">
        <f t="shared" si="18"/>
        <v>7.1459477886897105E-3</v>
      </c>
    </row>
    <row r="1193" spans="2:4" ht="14" thickBot="1" x14ac:dyDescent="0.2">
      <c r="B1193" s="312">
        <v>44085</v>
      </c>
      <c r="C1193" s="321">
        <v>11464.45</v>
      </c>
      <c r="D1193" s="210">
        <f t="shared" si="18"/>
        <v>-2.1283184103905173E-3</v>
      </c>
    </row>
    <row r="1194" spans="2:4" ht="14" thickBot="1" x14ac:dyDescent="0.2">
      <c r="B1194" s="312">
        <v>44084</v>
      </c>
      <c r="C1194" s="321">
        <v>11449.25</v>
      </c>
      <c r="D1194" s="210">
        <f t="shared" si="18"/>
        <v>1.3275978775904029E-3</v>
      </c>
    </row>
    <row r="1195" spans="2:4" ht="14" thickBot="1" x14ac:dyDescent="0.2">
      <c r="B1195" s="312">
        <v>44083</v>
      </c>
      <c r="C1195" s="321">
        <v>11278</v>
      </c>
      <c r="D1195" s="209">
        <f t="shared" si="18"/>
        <v>1.5184429863450921E-2</v>
      </c>
    </row>
    <row r="1196" spans="2:4" ht="14" thickBot="1" x14ac:dyDescent="0.2">
      <c r="B1196" s="312">
        <v>44082</v>
      </c>
      <c r="C1196" s="321">
        <v>11317.35</v>
      </c>
      <c r="D1196" s="210">
        <f t="shared" si="18"/>
        <v>-3.4769623630973578E-3</v>
      </c>
    </row>
    <row r="1197" spans="2:4" ht="14" thickBot="1" x14ac:dyDescent="0.2">
      <c r="B1197" s="312">
        <v>44081</v>
      </c>
      <c r="C1197" s="321">
        <v>11355.05</v>
      </c>
      <c r="D1197" s="209">
        <f t="shared" si="18"/>
        <v>-3.3201086741140307E-3</v>
      </c>
    </row>
    <row r="1198" spans="2:4" ht="14" thickBot="1" x14ac:dyDescent="0.2">
      <c r="B1198" s="312">
        <v>44078</v>
      </c>
      <c r="C1198" s="321">
        <v>11333.85</v>
      </c>
      <c r="D1198" s="210">
        <f t="shared" si="18"/>
        <v>1.8705029623649061E-3</v>
      </c>
    </row>
    <row r="1199" spans="2:4" ht="14" thickBot="1" x14ac:dyDescent="0.2">
      <c r="B1199" s="312">
        <v>44077</v>
      </c>
      <c r="C1199" s="321">
        <v>11527.45</v>
      </c>
      <c r="D1199" s="210">
        <f t="shared" si="18"/>
        <v>-1.6794694403359012E-2</v>
      </c>
    </row>
    <row r="1200" spans="2:4" ht="14" thickBot="1" x14ac:dyDescent="0.2">
      <c r="B1200" s="312">
        <v>44076</v>
      </c>
      <c r="C1200" s="321">
        <v>11535</v>
      </c>
      <c r="D1200" s="209">
        <f t="shared" si="18"/>
        <v>-6.5452969224089053E-4</v>
      </c>
    </row>
    <row r="1201" spans="2:4" ht="14" thickBot="1" x14ac:dyDescent="0.2">
      <c r="B1201" s="312">
        <v>44075</v>
      </c>
      <c r="C1201" s="321">
        <v>11470.25</v>
      </c>
      <c r="D1201" s="210">
        <f t="shared" si="18"/>
        <v>5.6450382511279429E-3</v>
      </c>
    </row>
    <row r="1202" spans="2:4" ht="14" thickBot="1" x14ac:dyDescent="0.2">
      <c r="B1202" s="312">
        <v>44074</v>
      </c>
      <c r="C1202" s="321">
        <v>11387.5</v>
      </c>
      <c r="D1202" s="209">
        <f t="shared" si="18"/>
        <v>7.2667398463226451E-3</v>
      </c>
    </row>
    <row r="1203" spans="2:4" ht="14" thickBot="1" x14ac:dyDescent="0.2">
      <c r="B1203" s="312">
        <v>44071</v>
      </c>
      <c r="C1203" s="321">
        <v>11647.6</v>
      </c>
      <c r="D1203" s="209">
        <f t="shared" si="18"/>
        <v>-2.2330780589992827E-2</v>
      </c>
    </row>
    <row r="1204" spans="2:4" ht="14" thickBot="1" x14ac:dyDescent="0.2">
      <c r="B1204" s="312">
        <v>44070</v>
      </c>
      <c r="C1204" s="321">
        <v>11559.25</v>
      </c>
      <c r="D1204" s="209">
        <f t="shared" si="18"/>
        <v>7.6432294482773333E-3</v>
      </c>
    </row>
    <row r="1205" spans="2:4" ht="14" thickBot="1" x14ac:dyDescent="0.2">
      <c r="B1205" s="312">
        <v>44069</v>
      </c>
      <c r="C1205" s="321">
        <v>11549.6</v>
      </c>
      <c r="D1205" s="210">
        <f t="shared" si="18"/>
        <v>8.3552677148990284E-4</v>
      </c>
    </row>
    <row r="1206" spans="2:4" ht="14" thickBot="1" x14ac:dyDescent="0.2">
      <c r="B1206" s="312">
        <v>44068</v>
      </c>
      <c r="C1206" s="321">
        <v>11472.25</v>
      </c>
      <c r="D1206" s="210">
        <f t="shared" si="18"/>
        <v>6.7423565560373877E-3</v>
      </c>
    </row>
    <row r="1207" spans="2:4" ht="14" thickBot="1" x14ac:dyDescent="0.2">
      <c r="B1207" s="312">
        <v>44067</v>
      </c>
      <c r="C1207" s="321">
        <v>11466.45</v>
      </c>
      <c r="D1207" s="209">
        <f t="shared" si="18"/>
        <v>5.0582351120009861E-4</v>
      </c>
    </row>
    <row r="1208" spans="2:4" ht="14" thickBot="1" x14ac:dyDescent="0.2">
      <c r="B1208" s="312">
        <v>44064</v>
      </c>
      <c r="C1208" s="321">
        <v>11371.6</v>
      </c>
      <c r="D1208" s="210">
        <f t="shared" si="18"/>
        <v>8.3409546589749972E-3</v>
      </c>
    </row>
    <row r="1209" spans="2:4" ht="14" thickBot="1" x14ac:dyDescent="0.2">
      <c r="B1209" s="312">
        <v>44063</v>
      </c>
      <c r="C1209" s="321">
        <v>11312.2</v>
      </c>
      <c r="D1209" s="209">
        <f t="shared" si="18"/>
        <v>5.2509679814713994E-3</v>
      </c>
    </row>
    <row r="1210" spans="2:4" ht="14" thickBot="1" x14ac:dyDescent="0.2">
      <c r="B1210" s="312">
        <v>44062</v>
      </c>
      <c r="C1210" s="321">
        <v>11408.4</v>
      </c>
      <c r="D1210" s="210">
        <f t="shared" si="18"/>
        <v>-8.4323831562707063E-3</v>
      </c>
    </row>
    <row r="1211" spans="2:4" ht="14" thickBot="1" x14ac:dyDescent="0.2">
      <c r="B1211" s="312">
        <v>44061</v>
      </c>
      <c r="C1211" s="321">
        <v>11385.35</v>
      </c>
      <c r="D1211" s="209">
        <f t="shared" si="18"/>
        <v>2.024531525161688E-3</v>
      </c>
    </row>
    <row r="1212" spans="2:4" ht="14" thickBot="1" x14ac:dyDescent="0.2">
      <c r="B1212" s="312">
        <v>44060</v>
      </c>
      <c r="C1212" s="321">
        <v>11247.1</v>
      </c>
      <c r="D1212" s="209">
        <f t="shared" si="18"/>
        <v>1.2292057508157761E-2</v>
      </c>
    </row>
    <row r="1213" spans="2:4" ht="14" thickBot="1" x14ac:dyDescent="0.2">
      <c r="B1213" s="312">
        <v>44057</v>
      </c>
      <c r="C1213" s="321">
        <v>11178.4</v>
      </c>
      <c r="D1213" s="209">
        <f t="shared" si="18"/>
        <v>6.1457811493594861E-3</v>
      </c>
    </row>
    <row r="1214" spans="2:4" ht="14" thickBot="1" x14ac:dyDescent="0.2">
      <c r="B1214" s="312">
        <v>44056</v>
      </c>
      <c r="C1214" s="321">
        <v>11300.45</v>
      </c>
      <c r="D1214" s="210">
        <f t="shared" si="18"/>
        <v>-1.0800454849143271E-2</v>
      </c>
    </row>
    <row r="1215" spans="2:4" ht="14" thickBot="1" x14ac:dyDescent="0.2">
      <c r="B1215" s="312">
        <v>44055</v>
      </c>
      <c r="C1215" s="321">
        <v>11308.4</v>
      </c>
      <c r="D1215" s="209">
        <f t="shared" si="18"/>
        <v>-7.0301722613264062E-4</v>
      </c>
    </row>
    <row r="1216" spans="2:4" ht="14" thickBot="1" x14ac:dyDescent="0.2">
      <c r="B1216" s="312">
        <v>44054</v>
      </c>
      <c r="C1216" s="321">
        <v>11322.5</v>
      </c>
      <c r="D1216" s="210">
        <f t="shared" si="18"/>
        <v>-1.2453080150144347E-3</v>
      </c>
    </row>
    <row r="1217" spans="2:4" ht="14" thickBot="1" x14ac:dyDescent="0.2">
      <c r="B1217" s="312">
        <v>44053</v>
      </c>
      <c r="C1217" s="321">
        <v>11270.15</v>
      </c>
      <c r="D1217" s="209">
        <f t="shared" si="18"/>
        <v>4.6450135978670648E-3</v>
      </c>
    </row>
    <row r="1218" spans="2:4" ht="14" thickBot="1" x14ac:dyDescent="0.2">
      <c r="B1218" s="312">
        <v>44050</v>
      </c>
      <c r="C1218" s="321">
        <v>11214.05</v>
      </c>
      <c r="D1218" s="209">
        <f t="shared" si="18"/>
        <v>5.0026529220041915E-3</v>
      </c>
    </row>
    <row r="1219" spans="2:4" ht="14" thickBot="1" x14ac:dyDescent="0.2">
      <c r="B1219" s="312">
        <v>44049</v>
      </c>
      <c r="C1219" s="321">
        <v>11200.15</v>
      </c>
      <c r="D1219" s="209">
        <f t="shared" si="18"/>
        <v>1.2410548073016336E-3</v>
      </c>
    </row>
    <row r="1220" spans="2:4" ht="14" thickBot="1" x14ac:dyDescent="0.2">
      <c r="B1220" s="312">
        <v>44048</v>
      </c>
      <c r="C1220" s="321">
        <v>11101.65</v>
      </c>
      <c r="D1220" s="210">
        <f t="shared" si="18"/>
        <v>8.8725549805659387E-3</v>
      </c>
    </row>
    <row r="1221" spans="2:4" ht="14" thickBot="1" x14ac:dyDescent="0.2">
      <c r="B1221" s="312">
        <v>44047</v>
      </c>
      <c r="C1221" s="321">
        <v>11095.25</v>
      </c>
      <c r="D1221" s="209">
        <f t="shared" si="18"/>
        <v>5.7682341542553139E-4</v>
      </c>
    </row>
    <row r="1222" spans="2:4" ht="14" thickBot="1" x14ac:dyDescent="0.2">
      <c r="B1222" s="312">
        <v>44046</v>
      </c>
      <c r="C1222" s="321">
        <v>10891.6</v>
      </c>
      <c r="D1222" s="210">
        <f t="shared" si="18"/>
        <v>1.8697895625986893E-2</v>
      </c>
    </row>
    <row r="1223" spans="2:4" ht="14" thickBot="1" x14ac:dyDescent="0.2">
      <c r="B1223" s="312">
        <v>44043</v>
      </c>
      <c r="C1223" s="321">
        <v>11073.45</v>
      </c>
      <c r="D1223" s="210">
        <f t="shared" si="18"/>
        <v>-1.6422162921221561E-2</v>
      </c>
    </row>
    <row r="1224" spans="2:4" ht="14" thickBot="1" x14ac:dyDescent="0.2">
      <c r="B1224" s="312">
        <v>44042</v>
      </c>
      <c r="C1224" s="321">
        <v>11102.15</v>
      </c>
      <c r="D1224" s="210">
        <f t="shared" si="18"/>
        <v>-2.5850848709483287E-3</v>
      </c>
    </row>
    <row r="1225" spans="2:4" ht="14" thickBot="1" x14ac:dyDescent="0.2">
      <c r="B1225" s="312">
        <v>44041</v>
      </c>
      <c r="C1225" s="321">
        <v>11202.85</v>
      </c>
      <c r="D1225" s="210">
        <f t="shared" si="18"/>
        <v>-8.9887841040450223E-3</v>
      </c>
    </row>
    <row r="1226" spans="2:4" ht="14" thickBot="1" x14ac:dyDescent="0.2">
      <c r="B1226" s="312">
        <v>44040</v>
      </c>
      <c r="C1226" s="321">
        <v>11300.55</v>
      </c>
      <c r="D1226" s="210">
        <f t="shared" si="18"/>
        <v>-8.6455968957261931E-3</v>
      </c>
    </row>
    <row r="1227" spans="2:4" ht="14" thickBot="1" x14ac:dyDescent="0.2">
      <c r="B1227" s="312">
        <v>44039</v>
      </c>
      <c r="C1227" s="321">
        <v>11131.8</v>
      </c>
      <c r="D1227" s="210">
        <f t="shared" ref="D1227:D1290" si="19">C1226/C1227-1</f>
        <v>1.5159273432868048E-2</v>
      </c>
    </row>
    <row r="1228" spans="2:4" ht="14" thickBot="1" x14ac:dyDescent="0.2">
      <c r="B1228" s="312">
        <v>44036</v>
      </c>
      <c r="C1228" s="321">
        <v>11194.15</v>
      </c>
      <c r="D1228" s="210">
        <f t="shared" si="19"/>
        <v>-5.5698735500239183E-3</v>
      </c>
    </row>
    <row r="1229" spans="2:4" ht="14" thickBot="1" x14ac:dyDescent="0.2">
      <c r="B1229" s="312">
        <v>44035</v>
      </c>
      <c r="C1229" s="321">
        <v>11215.45</v>
      </c>
      <c r="D1229" s="210">
        <f t="shared" si="19"/>
        <v>-1.8991658827778313E-3</v>
      </c>
    </row>
    <row r="1230" spans="2:4" ht="14" thickBot="1" x14ac:dyDescent="0.2">
      <c r="B1230" s="312">
        <v>44034</v>
      </c>
      <c r="C1230" s="321">
        <v>11132.6</v>
      </c>
      <c r="D1230" s="210">
        <f t="shared" si="19"/>
        <v>7.4421069651293692E-3</v>
      </c>
    </row>
    <row r="1231" spans="2:4" ht="14" thickBot="1" x14ac:dyDescent="0.2">
      <c r="B1231" s="312">
        <v>44033</v>
      </c>
      <c r="C1231" s="321">
        <v>11162.25</v>
      </c>
      <c r="D1231" s="209">
        <f t="shared" si="19"/>
        <v>-2.6562744966291962E-3</v>
      </c>
    </row>
    <row r="1232" spans="2:4" ht="14" thickBot="1" x14ac:dyDescent="0.2">
      <c r="B1232" s="312">
        <v>44032</v>
      </c>
      <c r="C1232" s="321">
        <v>11022.2</v>
      </c>
      <c r="D1232" s="210">
        <f t="shared" si="19"/>
        <v>1.2706174810836135E-2</v>
      </c>
    </row>
    <row r="1233" spans="2:9" ht="14" thickBot="1" x14ac:dyDescent="0.2">
      <c r="B1233" s="312">
        <v>44029</v>
      </c>
      <c r="C1233" s="321">
        <v>10901.7</v>
      </c>
      <c r="D1233" s="209">
        <f t="shared" si="19"/>
        <v>1.1053321958960582E-2</v>
      </c>
    </row>
    <row r="1234" spans="2:9" ht="14" thickBot="1" x14ac:dyDescent="0.2">
      <c r="B1234" s="312">
        <v>44028</v>
      </c>
      <c r="C1234" s="321">
        <v>10739.95</v>
      </c>
      <c r="D1234" s="210">
        <f t="shared" si="19"/>
        <v>1.5060591529755696E-2</v>
      </c>
    </row>
    <row r="1235" spans="2:9" ht="14" thickBot="1" x14ac:dyDescent="0.2">
      <c r="B1235" s="312">
        <v>44027</v>
      </c>
      <c r="C1235" s="321">
        <v>10618.2</v>
      </c>
      <c r="D1235" s="210">
        <f t="shared" si="19"/>
        <v>1.1466161873010527E-2</v>
      </c>
    </row>
    <row r="1236" spans="2:9" ht="14" thickBot="1" x14ac:dyDescent="0.2">
      <c r="B1236" s="312">
        <v>44026</v>
      </c>
      <c r="C1236" s="321">
        <v>10607.35</v>
      </c>
      <c r="D1236" s="210">
        <f t="shared" si="19"/>
        <v>1.0228756475463285E-3</v>
      </c>
    </row>
    <row r="1237" spans="2:9" ht="14" thickBot="1" x14ac:dyDescent="0.2">
      <c r="B1237" s="312">
        <v>44025</v>
      </c>
      <c r="C1237" s="321">
        <v>10802.7</v>
      </c>
      <c r="D1237" s="209">
        <f t="shared" si="19"/>
        <v>-1.8083442102437397E-2</v>
      </c>
    </row>
    <row r="1238" spans="2:9" ht="14" thickBot="1" x14ac:dyDescent="0.2">
      <c r="B1238" s="312">
        <v>44022</v>
      </c>
      <c r="C1238" s="321">
        <v>10768.05</v>
      </c>
      <c r="D1238" s="209">
        <f t="shared" si="19"/>
        <v>3.2178528145765384E-3</v>
      </c>
    </row>
    <row r="1239" spans="2:9" ht="14" thickBot="1" x14ac:dyDescent="0.2">
      <c r="B1239" s="312">
        <v>44021</v>
      </c>
      <c r="C1239" s="321">
        <v>10813.45</v>
      </c>
      <c r="D1239" s="209">
        <f t="shared" si="19"/>
        <v>-4.1984750472792154E-3</v>
      </c>
    </row>
    <row r="1240" spans="2:9" ht="14" thickBot="1" x14ac:dyDescent="0.2">
      <c r="B1240" s="312">
        <v>44020</v>
      </c>
      <c r="C1240" s="321">
        <v>10705.75</v>
      </c>
      <c r="D1240" s="209">
        <f t="shared" si="19"/>
        <v>1.006001447820104E-2</v>
      </c>
    </row>
    <row r="1241" spans="2:9" ht="14" thickBot="1" x14ac:dyDescent="0.2">
      <c r="B1241" s="312">
        <v>44019</v>
      </c>
      <c r="C1241" s="321">
        <v>10799.65</v>
      </c>
      <c r="D1241" s="210">
        <f t="shared" si="19"/>
        <v>-8.6947262179792872E-3</v>
      </c>
    </row>
    <row r="1242" spans="2:9" ht="14" thickBot="1" x14ac:dyDescent="0.2">
      <c r="B1242" s="312">
        <v>44018</v>
      </c>
      <c r="C1242" s="321">
        <v>10763.65</v>
      </c>
      <c r="D1242" s="209">
        <f t="shared" si="19"/>
        <v>3.3445903573601221E-3</v>
      </c>
    </row>
    <row r="1243" spans="2:9" ht="14" thickBot="1" x14ac:dyDescent="0.2">
      <c r="B1243" s="312">
        <v>44015</v>
      </c>
      <c r="C1243" s="321">
        <v>10607.35</v>
      </c>
      <c r="D1243" s="210">
        <f t="shared" si="19"/>
        <v>1.4735065779860168E-2</v>
      </c>
    </row>
    <row r="1244" spans="2:9" ht="14" thickBot="1" x14ac:dyDescent="0.2">
      <c r="B1244" s="312">
        <v>44014</v>
      </c>
      <c r="C1244" s="321">
        <v>10551.7</v>
      </c>
      <c r="D1244" s="209">
        <f t="shared" si="19"/>
        <v>5.2740316726214154E-3</v>
      </c>
    </row>
    <row r="1245" spans="2:9" ht="14" thickBot="1" x14ac:dyDescent="0.2">
      <c r="B1245" s="312">
        <v>44013</v>
      </c>
      <c r="C1245" s="321">
        <v>10430.049999999999</v>
      </c>
      <c r="D1245" s="210">
        <f t="shared" si="19"/>
        <v>1.1663414844607756E-2</v>
      </c>
      <c r="G1245" s="252"/>
      <c r="H1245" s="252"/>
      <c r="I1245" s="252"/>
    </row>
    <row r="1246" spans="2:9" ht="14" thickBot="1" x14ac:dyDescent="0.2">
      <c r="B1246" s="312">
        <v>44012</v>
      </c>
      <c r="C1246" s="321">
        <v>10302.1</v>
      </c>
      <c r="D1246" s="210">
        <f t="shared" si="19"/>
        <v>1.241979790528136E-2</v>
      </c>
    </row>
    <row r="1247" spans="2:9" ht="14" thickBot="1" x14ac:dyDescent="0.2">
      <c r="B1247" s="312">
        <v>44011</v>
      </c>
      <c r="C1247" s="321">
        <v>10312.4</v>
      </c>
      <c r="D1247" s="210">
        <f t="shared" si="19"/>
        <v>-9.9879756409748666E-4</v>
      </c>
    </row>
    <row r="1248" spans="2:9" ht="14" thickBot="1" x14ac:dyDescent="0.2">
      <c r="B1248" s="312">
        <v>44008</v>
      </c>
      <c r="C1248" s="321">
        <v>10383</v>
      </c>
      <c r="D1248" s="210">
        <f t="shared" si="19"/>
        <v>-6.7995762303766361E-3</v>
      </c>
    </row>
    <row r="1249" spans="2:9" ht="14" thickBot="1" x14ac:dyDescent="0.2">
      <c r="B1249" s="312">
        <v>44007</v>
      </c>
      <c r="C1249" s="321">
        <v>10288.9</v>
      </c>
      <c r="D1249" s="210">
        <f t="shared" si="19"/>
        <v>9.1457784602824166E-3</v>
      </c>
    </row>
    <row r="1250" spans="2:9" s="252" customFormat="1" ht="14" thickBot="1" x14ac:dyDescent="0.2">
      <c r="B1250" s="312">
        <v>44006</v>
      </c>
      <c r="C1250" s="321">
        <v>10305.299999999999</v>
      </c>
      <c r="D1250" s="210">
        <f t="shared" si="19"/>
        <v>-1.5914141267114879E-3</v>
      </c>
      <c r="G1250" s="251"/>
      <c r="H1250" s="251"/>
      <c r="I1250" s="251"/>
    </row>
    <row r="1251" spans="2:9" ht="14" thickBot="1" x14ac:dyDescent="0.2">
      <c r="B1251" s="312">
        <v>44005</v>
      </c>
      <c r="C1251" s="321">
        <v>10471</v>
      </c>
      <c r="D1251" s="210">
        <f t="shared" si="19"/>
        <v>-1.5824658580842366E-2</v>
      </c>
    </row>
    <row r="1252" spans="2:9" ht="14" thickBot="1" x14ac:dyDescent="0.2">
      <c r="B1252" s="313">
        <v>44004</v>
      </c>
      <c r="C1252" s="321">
        <v>10311.200000000001</v>
      </c>
      <c r="D1252" s="321">
        <f t="shared" si="19"/>
        <v>1.5497711226627242E-2</v>
      </c>
    </row>
    <row r="1253" spans="2:9" ht="14" thickBot="1" x14ac:dyDescent="0.2">
      <c r="B1253" s="312">
        <v>44001</v>
      </c>
      <c r="C1253" s="321">
        <v>10244.4</v>
      </c>
      <c r="D1253" s="209">
        <f t="shared" si="19"/>
        <v>6.5206356643630059E-3</v>
      </c>
    </row>
    <row r="1254" spans="2:9" ht="14" thickBot="1" x14ac:dyDescent="0.2">
      <c r="B1254" s="312">
        <v>44000</v>
      </c>
      <c r="C1254" s="321">
        <v>10091.65</v>
      </c>
      <c r="D1254" s="209">
        <f t="shared" si="19"/>
        <v>1.5136276030183415E-2</v>
      </c>
    </row>
    <row r="1255" spans="2:9" ht="14" thickBot="1" x14ac:dyDescent="0.2">
      <c r="B1255" s="312">
        <v>43999</v>
      </c>
      <c r="C1255" s="321">
        <v>9881.15</v>
      </c>
      <c r="D1255" s="209">
        <f t="shared" si="19"/>
        <v>2.1303188394063532E-2</v>
      </c>
    </row>
    <row r="1256" spans="2:9" ht="14" thickBot="1" x14ac:dyDescent="0.2">
      <c r="B1256" s="312">
        <v>43998</v>
      </c>
      <c r="C1256" s="321">
        <v>9914</v>
      </c>
      <c r="D1256" s="209">
        <f t="shared" si="19"/>
        <v>-3.3134960661690416E-3</v>
      </c>
    </row>
    <row r="1257" spans="2:9" ht="14" thickBot="1" x14ac:dyDescent="0.2">
      <c r="B1257" s="312">
        <v>43997</v>
      </c>
      <c r="C1257" s="321">
        <v>9813.7000000000007</v>
      </c>
      <c r="D1257" s="210">
        <f t="shared" si="19"/>
        <v>1.0220406166889129E-2</v>
      </c>
    </row>
    <row r="1258" spans="2:9" ht="14" thickBot="1" x14ac:dyDescent="0.2">
      <c r="B1258" s="312">
        <v>43994</v>
      </c>
      <c r="C1258" s="321">
        <v>9972.9</v>
      </c>
      <c r="D1258" s="209">
        <f t="shared" si="19"/>
        <v>-1.596326043578089E-2</v>
      </c>
    </row>
    <row r="1259" spans="2:9" ht="14" thickBot="1" x14ac:dyDescent="0.2">
      <c r="B1259" s="312">
        <v>43993</v>
      </c>
      <c r="C1259" s="321">
        <v>9902</v>
      </c>
      <c r="D1259" s="209">
        <f t="shared" si="19"/>
        <v>7.1601696626943934E-3</v>
      </c>
    </row>
    <row r="1260" spans="2:9" ht="14" thickBot="1" x14ac:dyDescent="0.2">
      <c r="B1260" s="312">
        <v>43992</v>
      </c>
      <c r="C1260" s="321">
        <v>10116.15</v>
      </c>
      <c r="D1260" s="209">
        <f t="shared" si="19"/>
        <v>-2.1169120663493524E-2</v>
      </c>
    </row>
    <row r="1261" spans="2:9" ht="14" thickBot="1" x14ac:dyDescent="0.2">
      <c r="B1261" s="312">
        <v>43991</v>
      </c>
      <c r="C1261" s="321">
        <v>10046.65</v>
      </c>
      <c r="D1261" s="210">
        <f t="shared" si="19"/>
        <v>6.9177287951704969E-3</v>
      </c>
    </row>
    <row r="1262" spans="2:9" ht="14" thickBot="1" x14ac:dyDescent="0.2">
      <c r="B1262" s="312">
        <v>43990</v>
      </c>
      <c r="C1262" s="321">
        <v>10167.450000000001</v>
      </c>
      <c r="D1262" s="209">
        <f t="shared" si="19"/>
        <v>-1.1881051787813179E-2</v>
      </c>
    </row>
    <row r="1263" spans="2:9" ht="14" thickBot="1" x14ac:dyDescent="0.2">
      <c r="B1263" s="312">
        <v>43987</v>
      </c>
      <c r="C1263" s="321">
        <v>10142.15</v>
      </c>
      <c r="D1263" s="210">
        <f t="shared" si="19"/>
        <v>2.4945401123037669E-3</v>
      </c>
    </row>
    <row r="1264" spans="2:9" ht="14" thickBot="1" x14ac:dyDescent="0.2">
      <c r="B1264" s="312">
        <v>43986</v>
      </c>
      <c r="C1264" s="321">
        <v>10029.1</v>
      </c>
      <c r="D1264" s="209">
        <f t="shared" si="19"/>
        <v>1.1272197904099057E-2</v>
      </c>
    </row>
    <row r="1265" spans="2:4" ht="14" thickBot="1" x14ac:dyDescent="0.2">
      <c r="B1265" s="312">
        <v>43985</v>
      </c>
      <c r="C1265" s="321">
        <v>10061.549999999999</v>
      </c>
      <c r="D1265" s="210">
        <f t="shared" si="19"/>
        <v>-3.2251492066330822E-3</v>
      </c>
    </row>
    <row r="1266" spans="2:4" ht="14" thickBot="1" x14ac:dyDescent="0.2">
      <c r="B1266" s="312">
        <v>43984</v>
      </c>
      <c r="C1266" s="321">
        <v>9979.1</v>
      </c>
      <c r="D1266" s="209">
        <f t="shared" si="19"/>
        <v>8.2622681404134202E-3</v>
      </c>
    </row>
    <row r="1267" spans="2:4" ht="14" thickBot="1" x14ac:dyDescent="0.2">
      <c r="B1267" s="312">
        <v>43983</v>
      </c>
      <c r="C1267" s="321">
        <v>9826.15</v>
      </c>
      <c r="D1267" s="210">
        <f t="shared" si="19"/>
        <v>1.5565608096762329E-2</v>
      </c>
    </row>
    <row r="1268" spans="2:4" ht="14" thickBot="1" x14ac:dyDescent="0.2">
      <c r="B1268" s="312">
        <v>43980</v>
      </c>
      <c r="C1268" s="321">
        <v>9580.2999999999993</v>
      </c>
      <c r="D1268" s="209">
        <f t="shared" si="19"/>
        <v>2.5662035635627412E-2</v>
      </c>
    </row>
    <row r="1269" spans="2:4" ht="14" thickBot="1" x14ac:dyDescent="0.2">
      <c r="B1269" s="312">
        <v>43979</v>
      </c>
      <c r="C1269" s="321">
        <v>9490.1</v>
      </c>
      <c r="D1269" s="209">
        <f t="shared" si="19"/>
        <v>9.5046416792234911E-3</v>
      </c>
    </row>
    <row r="1270" spans="2:4" ht="14" thickBot="1" x14ac:dyDescent="0.2">
      <c r="B1270" s="312">
        <v>43978</v>
      </c>
      <c r="C1270" s="321">
        <v>9314.9500000000007</v>
      </c>
      <c r="D1270" s="210">
        <f t="shared" si="19"/>
        <v>1.8803106833638283E-2</v>
      </c>
    </row>
    <row r="1271" spans="2:4" ht="14" thickBot="1" x14ac:dyDescent="0.2">
      <c r="B1271" s="312">
        <v>43977</v>
      </c>
      <c r="C1271" s="321">
        <v>9029.0499999999993</v>
      </c>
      <c r="D1271" s="209">
        <f t="shared" si="19"/>
        <v>3.1664460823674911E-2</v>
      </c>
    </row>
    <row r="1272" spans="2:4" ht="14" thickBot="1" x14ac:dyDescent="0.2">
      <c r="B1272" s="312">
        <v>43973</v>
      </c>
      <c r="C1272" s="321">
        <v>9039.25</v>
      </c>
      <c r="D1272" s="209">
        <f t="shared" si="19"/>
        <v>-1.1284122023398346E-3</v>
      </c>
    </row>
    <row r="1273" spans="2:4" ht="14" thickBot="1" x14ac:dyDescent="0.2">
      <c r="B1273" s="312">
        <v>43972</v>
      </c>
      <c r="C1273" s="321">
        <v>9106.25</v>
      </c>
      <c r="D1273" s="209">
        <f t="shared" si="19"/>
        <v>-7.3575840768702605E-3</v>
      </c>
    </row>
    <row r="1274" spans="2:4" ht="14" thickBot="1" x14ac:dyDescent="0.2">
      <c r="B1274" s="312">
        <v>43971</v>
      </c>
      <c r="C1274" s="321">
        <v>9066.5499999999993</v>
      </c>
      <c r="D1274" s="209">
        <f t="shared" si="19"/>
        <v>4.3787328145767912E-3</v>
      </c>
    </row>
    <row r="1275" spans="2:4" ht="14" thickBot="1" x14ac:dyDescent="0.2">
      <c r="B1275" s="312">
        <v>43970</v>
      </c>
      <c r="C1275" s="321">
        <v>8879.1</v>
      </c>
      <c r="D1275" s="210">
        <f t="shared" si="19"/>
        <v>2.1111373900507768E-2</v>
      </c>
    </row>
    <row r="1276" spans="2:4" ht="14" thickBot="1" x14ac:dyDescent="0.2">
      <c r="B1276" s="312">
        <v>43969</v>
      </c>
      <c r="C1276" s="321">
        <v>8823.25</v>
      </c>
      <c r="D1276" s="209">
        <f t="shared" si="19"/>
        <v>6.3298671124585315E-3</v>
      </c>
    </row>
    <row r="1277" spans="2:4" ht="14" thickBot="1" x14ac:dyDescent="0.2">
      <c r="B1277" s="312">
        <v>43966</v>
      </c>
      <c r="C1277" s="321">
        <v>9136.85</v>
      </c>
      <c r="D1277" s="210">
        <f t="shared" si="19"/>
        <v>-3.4322550988579281E-2</v>
      </c>
    </row>
    <row r="1278" spans="2:4" ht="14" thickBot="1" x14ac:dyDescent="0.2">
      <c r="B1278" s="312">
        <v>43965</v>
      </c>
      <c r="C1278" s="321">
        <v>9142.75</v>
      </c>
      <c r="D1278" s="210">
        <f t="shared" si="19"/>
        <v>-6.4532006234441219E-4</v>
      </c>
    </row>
    <row r="1279" spans="2:4" ht="14" thickBot="1" x14ac:dyDescent="0.2">
      <c r="B1279" s="312">
        <v>43964</v>
      </c>
      <c r="C1279" s="321">
        <v>9383.5499999999993</v>
      </c>
      <c r="D1279" s="209">
        <f t="shared" si="19"/>
        <v>-2.5661929653489235E-2</v>
      </c>
    </row>
    <row r="1280" spans="2:4" ht="14" thickBot="1" x14ac:dyDescent="0.2">
      <c r="B1280" s="312">
        <v>43963</v>
      </c>
      <c r="C1280" s="321">
        <v>9196.5499999999993</v>
      </c>
      <c r="D1280" s="210">
        <f t="shared" si="19"/>
        <v>2.0333712098558721E-2</v>
      </c>
    </row>
    <row r="1281" spans="2:4" ht="14" thickBot="1" x14ac:dyDescent="0.2">
      <c r="B1281" s="312">
        <v>43962</v>
      </c>
      <c r="C1281" s="321">
        <v>9239.2000000000007</v>
      </c>
      <c r="D1281" s="209">
        <f t="shared" si="19"/>
        <v>-4.6162005368431958E-3</v>
      </c>
    </row>
    <row r="1282" spans="2:4" ht="14" thickBot="1" x14ac:dyDescent="0.2">
      <c r="B1282" s="312">
        <v>43959</v>
      </c>
      <c r="C1282" s="321">
        <v>9251.5</v>
      </c>
      <c r="D1282" s="209">
        <f t="shared" si="19"/>
        <v>-1.3295141328432125E-3</v>
      </c>
    </row>
    <row r="1283" spans="2:4" ht="14" thickBot="1" x14ac:dyDescent="0.2">
      <c r="B1283" s="312">
        <v>43958</v>
      </c>
      <c r="C1283" s="321">
        <v>9199.0499999999993</v>
      </c>
      <c r="D1283" s="209">
        <f t="shared" si="19"/>
        <v>5.701675716514254E-3</v>
      </c>
    </row>
    <row r="1284" spans="2:4" ht="14" thickBot="1" x14ac:dyDescent="0.2">
      <c r="B1284" s="312">
        <v>43957</v>
      </c>
      <c r="C1284" s="321">
        <v>9270.9</v>
      </c>
      <c r="D1284" s="209">
        <f t="shared" si="19"/>
        <v>-7.7500566288063455E-3</v>
      </c>
    </row>
    <row r="1285" spans="2:4" ht="14" thickBot="1" x14ac:dyDescent="0.2">
      <c r="B1285" s="312">
        <v>43956</v>
      </c>
      <c r="C1285" s="321">
        <v>9205.6</v>
      </c>
      <c r="D1285" s="209">
        <f t="shared" si="19"/>
        <v>7.093508299296003E-3</v>
      </c>
    </row>
    <row r="1286" spans="2:4" ht="14" thickBot="1" x14ac:dyDescent="0.2">
      <c r="B1286" s="312">
        <v>43955</v>
      </c>
      <c r="C1286" s="321">
        <v>9293.5</v>
      </c>
      <c r="D1286" s="209">
        <f t="shared" si="19"/>
        <v>-9.4582234895356221E-3</v>
      </c>
    </row>
    <row r="1287" spans="2:4" ht="14" thickBot="1" x14ac:dyDescent="0.2">
      <c r="B1287" s="312">
        <v>43951</v>
      </c>
      <c r="C1287" s="321">
        <v>9859.9</v>
      </c>
      <c r="D1287" s="210">
        <f t="shared" si="19"/>
        <v>-5.7444801671416523E-2</v>
      </c>
    </row>
    <row r="1288" spans="2:4" ht="14" thickBot="1" x14ac:dyDescent="0.2">
      <c r="B1288" s="312">
        <v>43950</v>
      </c>
      <c r="C1288" s="321">
        <v>9553.35</v>
      </c>
      <c r="D1288" s="209">
        <f t="shared" si="19"/>
        <v>3.2088220362490594E-2</v>
      </c>
    </row>
    <row r="1289" spans="2:4" ht="14" thickBot="1" x14ac:dyDescent="0.2">
      <c r="B1289" s="312">
        <v>43949</v>
      </c>
      <c r="C1289" s="321">
        <v>9380.9</v>
      </c>
      <c r="D1289" s="210">
        <f t="shared" si="19"/>
        <v>1.8383097570595641E-2</v>
      </c>
    </row>
    <row r="1290" spans="2:4" ht="14" thickBot="1" x14ac:dyDescent="0.2">
      <c r="B1290" s="312">
        <v>43948</v>
      </c>
      <c r="C1290" s="321">
        <v>9282.2999999999993</v>
      </c>
      <c r="D1290" s="209">
        <f t="shared" si="19"/>
        <v>1.0622367301207802E-2</v>
      </c>
    </row>
    <row r="1291" spans="2:4" ht="14" thickBot="1" x14ac:dyDescent="0.2">
      <c r="B1291" s="312">
        <v>43945</v>
      </c>
      <c r="C1291" s="321">
        <v>9154.4</v>
      </c>
      <c r="D1291" s="209">
        <f t="shared" ref="D1291:D1354" si="20">C1290/C1291-1</f>
        <v>1.3971423577733066E-2</v>
      </c>
    </row>
    <row r="1292" spans="2:4" ht="14" thickBot="1" x14ac:dyDescent="0.2">
      <c r="B1292" s="312">
        <v>43944</v>
      </c>
      <c r="C1292" s="321">
        <v>9313.9</v>
      </c>
      <c r="D1292" s="210">
        <f t="shared" si="20"/>
        <v>-1.7124942290554945E-2</v>
      </c>
    </row>
    <row r="1293" spans="2:4" ht="14" thickBot="1" x14ac:dyDescent="0.2">
      <c r="B1293" s="312">
        <v>43943</v>
      </c>
      <c r="C1293" s="321">
        <v>9187.2999999999993</v>
      </c>
      <c r="D1293" s="209">
        <f t="shared" si="20"/>
        <v>1.3779891807168543E-2</v>
      </c>
    </row>
    <row r="1294" spans="2:4" ht="14" thickBot="1" x14ac:dyDescent="0.2">
      <c r="B1294" s="312">
        <v>43942</v>
      </c>
      <c r="C1294" s="321">
        <v>8981.4500000000007</v>
      </c>
      <c r="D1294" s="210">
        <f t="shared" si="20"/>
        <v>2.2919461779556505E-2</v>
      </c>
    </row>
    <row r="1295" spans="2:4" ht="14" thickBot="1" x14ac:dyDescent="0.2">
      <c r="B1295" s="312">
        <v>43941</v>
      </c>
      <c r="C1295" s="321">
        <v>9261.85</v>
      </c>
      <c r="D1295" s="209">
        <f t="shared" si="20"/>
        <v>-3.0274729130789213E-2</v>
      </c>
    </row>
    <row r="1296" spans="2:4" ht="14" thickBot="1" x14ac:dyDescent="0.2">
      <c r="B1296" s="312">
        <v>43938</v>
      </c>
      <c r="C1296" s="321">
        <v>9266.75</v>
      </c>
      <c r="D1296" s="210">
        <f t="shared" si="20"/>
        <v>-5.2877222327130102E-4</v>
      </c>
    </row>
    <row r="1297" spans="2:4" ht="14" thickBot="1" x14ac:dyDescent="0.2">
      <c r="B1297" s="312">
        <v>43937</v>
      </c>
      <c r="C1297" s="321">
        <v>8992.7999999999993</v>
      </c>
      <c r="D1297" s="209">
        <f t="shared" si="20"/>
        <v>3.0463259496486206E-2</v>
      </c>
    </row>
    <row r="1298" spans="2:4" ht="14" thickBot="1" x14ac:dyDescent="0.2">
      <c r="B1298" s="312">
        <v>43936</v>
      </c>
      <c r="C1298" s="321">
        <v>8925.2999999999993</v>
      </c>
      <c r="D1298" s="210">
        <f t="shared" si="20"/>
        <v>7.5627709992940328E-3</v>
      </c>
    </row>
    <row r="1299" spans="2:4" ht="14" thickBot="1" x14ac:dyDescent="0.2">
      <c r="B1299" s="312">
        <v>43934</v>
      </c>
      <c r="C1299" s="321">
        <v>8993.85</v>
      </c>
      <c r="D1299" s="209">
        <f t="shared" si="20"/>
        <v>-7.6218749478811354E-3</v>
      </c>
    </row>
    <row r="1300" spans="2:4" ht="14" thickBot="1" x14ac:dyDescent="0.2">
      <c r="B1300" s="312">
        <v>43930</v>
      </c>
      <c r="C1300" s="321">
        <v>9111.9</v>
      </c>
      <c r="D1300" s="210">
        <f t="shared" si="20"/>
        <v>-1.2955585552958171E-2</v>
      </c>
    </row>
    <row r="1301" spans="2:4" ht="14" thickBot="1" x14ac:dyDescent="0.2">
      <c r="B1301" s="312">
        <v>43929</v>
      </c>
      <c r="C1301" s="321">
        <v>8748.75</v>
      </c>
      <c r="D1301" s="210">
        <f t="shared" si="20"/>
        <v>4.1508786969566946E-2</v>
      </c>
    </row>
    <row r="1302" spans="2:4" ht="14" thickBot="1" x14ac:dyDescent="0.2">
      <c r="B1302" s="312">
        <v>43928</v>
      </c>
      <c r="C1302" s="321">
        <v>8792.2000000000007</v>
      </c>
      <c r="D1302" s="209">
        <f t="shared" si="20"/>
        <v>-4.9418803029959157E-3</v>
      </c>
    </row>
    <row r="1303" spans="2:4" ht="14" thickBot="1" x14ac:dyDescent="0.2">
      <c r="B1303" s="312">
        <v>43924</v>
      </c>
      <c r="C1303" s="321">
        <v>8083.8</v>
      </c>
      <c r="D1303" s="210">
        <f t="shared" si="20"/>
        <v>8.7632054231920664E-2</v>
      </c>
    </row>
    <row r="1304" spans="2:4" ht="14" thickBot="1" x14ac:dyDescent="0.2">
      <c r="B1304" s="312">
        <v>43922</v>
      </c>
      <c r="C1304" s="321">
        <v>8253.7999999999993</v>
      </c>
      <c r="D1304" s="210">
        <f t="shared" si="20"/>
        <v>-2.0596573699386833E-2</v>
      </c>
    </row>
    <row r="1305" spans="2:4" ht="14" thickBot="1" x14ac:dyDescent="0.2">
      <c r="B1305" s="312">
        <v>43921</v>
      </c>
      <c r="C1305" s="321">
        <v>8597.75</v>
      </c>
      <c r="D1305" s="210">
        <f t="shared" si="20"/>
        <v>-4.0004652379983185E-2</v>
      </c>
    </row>
    <row r="1306" spans="2:4" ht="14" thickBot="1" x14ac:dyDescent="0.2">
      <c r="B1306" s="312">
        <v>43920</v>
      </c>
      <c r="C1306" s="321">
        <v>8281.1</v>
      </c>
      <c r="D1306" s="209">
        <f t="shared" si="20"/>
        <v>3.8237673738996003E-2</v>
      </c>
    </row>
    <row r="1307" spans="2:4" ht="14" thickBot="1" x14ac:dyDescent="0.2">
      <c r="B1307" s="312">
        <v>43917</v>
      </c>
      <c r="C1307" s="321">
        <v>8660.25</v>
      </c>
      <c r="D1307" s="209">
        <f t="shared" si="20"/>
        <v>-4.3780491325308146E-2</v>
      </c>
    </row>
    <row r="1308" spans="2:4" ht="14" thickBot="1" x14ac:dyDescent="0.2">
      <c r="B1308" s="312">
        <v>43916</v>
      </c>
      <c r="C1308" s="321">
        <v>8641.4500000000007</v>
      </c>
      <c r="D1308" s="209">
        <f t="shared" si="20"/>
        <v>2.1755608144464755E-3</v>
      </c>
    </row>
    <row r="1309" spans="2:4" ht="14" thickBot="1" x14ac:dyDescent="0.2">
      <c r="B1309" s="312">
        <v>43915</v>
      </c>
      <c r="C1309" s="321">
        <v>8317.85</v>
      </c>
      <c r="D1309" s="209">
        <f t="shared" si="20"/>
        <v>3.890428415996916E-2</v>
      </c>
    </row>
    <row r="1310" spans="2:4" ht="14" thickBot="1" x14ac:dyDescent="0.2">
      <c r="B1310" s="312">
        <v>43914</v>
      </c>
      <c r="C1310" s="321">
        <v>7801.05</v>
      </c>
      <c r="D1310" s="209">
        <f t="shared" si="20"/>
        <v>6.6247492324751134E-2</v>
      </c>
    </row>
    <row r="1311" spans="2:4" ht="14" thickBot="1" x14ac:dyDescent="0.2">
      <c r="B1311" s="312">
        <v>43913</v>
      </c>
      <c r="C1311" s="321">
        <v>7610.25</v>
      </c>
      <c r="D1311" s="210">
        <f t="shared" si="20"/>
        <v>2.507144968956343E-2</v>
      </c>
    </row>
    <row r="1312" spans="2:4" ht="14" thickBot="1" x14ac:dyDescent="0.2">
      <c r="B1312" s="312">
        <v>43910</v>
      </c>
      <c r="C1312" s="321">
        <v>8745.4500000000007</v>
      </c>
      <c r="D1312" s="209">
        <f t="shared" si="20"/>
        <v>-0.12980464127060365</v>
      </c>
    </row>
    <row r="1313" spans="2:4" ht="14" thickBot="1" x14ac:dyDescent="0.2">
      <c r="B1313" s="312">
        <v>43909</v>
      </c>
      <c r="C1313" s="321">
        <v>8263.4500000000007</v>
      </c>
      <c r="D1313" s="209">
        <f t="shared" si="20"/>
        <v>5.8329148237116435E-2</v>
      </c>
    </row>
    <row r="1314" spans="2:4" ht="14" thickBot="1" x14ac:dyDescent="0.2">
      <c r="B1314" s="312">
        <v>43908</v>
      </c>
      <c r="C1314" s="321">
        <v>8468.7999999999993</v>
      </c>
      <c r="D1314" s="210">
        <f t="shared" si="20"/>
        <v>-2.4247827319100579E-2</v>
      </c>
    </row>
    <row r="1315" spans="2:4" ht="14" thickBot="1" x14ac:dyDescent="0.2">
      <c r="B1315" s="312">
        <v>43907</v>
      </c>
      <c r="C1315" s="321">
        <v>8967.0499999999993</v>
      </c>
      <c r="D1315" s="210">
        <f t="shared" si="20"/>
        <v>-5.5564539062456397E-2</v>
      </c>
    </row>
    <row r="1316" spans="2:4" ht="14" thickBot="1" x14ac:dyDescent="0.2">
      <c r="B1316" s="312">
        <v>43906</v>
      </c>
      <c r="C1316" s="321">
        <v>9197.4</v>
      </c>
      <c r="D1316" s="209">
        <f t="shared" si="20"/>
        <v>-2.5045121447365593E-2</v>
      </c>
    </row>
    <row r="1317" spans="2:4" ht="14" thickBot="1" x14ac:dyDescent="0.2">
      <c r="B1317" s="312">
        <v>43903</v>
      </c>
      <c r="C1317" s="321">
        <v>9955.2000000000007</v>
      </c>
      <c r="D1317" s="210">
        <f t="shared" si="20"/>
        <v>-7.6121022179363673E-2</v>
      </c>
    </row>
    <row r="1318" spans="2:4" ht="14" thickBot="1" x14ac:dyDescent="0.2">
      <c r="B1318" s="312">
        <v>43902</v>
      </c>
      <c r="C1318" s="321">
        <v>9590.15</v>
      </c>
      <c r="D1318" s="209">
        <f t="shared" si="20"/>
        <v>3.8065098043305046E-2</v>
      </c>
    </row>
    <row r="1319" spans="2:4" ht="14" thickBot="1" x14ac:dyDescent="0.2">
      <c r="B1319" s="312">
        <v>43901</v>
      </c>
      <c r="C1319" s="321">
        <v>10458.4</v>
      </c>
      <c r="D1319" s="209">
        <f t="shared" si="20"/>
        <v>-8.3019391111451069E-2</v>
      </c>
    </row>
    <row r="1320" spans="2:4" ht="14" thickBot="1" x14ac:dyDescent="0.2">
      <c r="B1320" s="312">
        <v>43899</v>
      </c>
      <c r="C1320" s="321">
        <v>10451.450000000001</v>
      </c>
      <c r="D1320" s="209">
        <f t="shared" si="20"/>
        <v>6.6497950045207865E-4</v>
      </c>
    </row>
    <row r="1321" spans="2:4" ht="14" thickBot="1" x14ac:dyDescent="0.2">
      <c r="B1321" s="312">
        <v>43896</v>
      </c>
      <c r="C1321" s="321">
        <v>10989.45</v>
      </c>
      <c r="D1321" s="209">
        <f t="shared" si="20"/>
        <v>-4.8956044206033944E-2</v>
      </c>
    </row>
    <row r="1322" spans="2:4" ht="14" thickBot="1" x14ac:dyDescent="0.2">
      <c r="B1322" s="312">
        <v>43895</v>
      </c>
      <c r="C1322" s="321">
        <v>11269</v>
      </c>
      <c r="D1322" s="209">
        <f t="shared" si="20"/>
        <v>-2.4806992634661351E-2</v>
      </c>
    </row>
    <row r="1323" spans="2:4" ht="14" thickBot="1" x14ac:dyDescent="0.2">
      <c r="B1323" s="312">
        <v>43894</v>
      </c>
      <c r="C1323" s="321">
        <v>11251</v>
      </c>
      <c r="D1323" s="210">
        <f t="shared" si="20"/>
        <v>1.5998577904186018E-3</v>
      </c>
    </row>
    <row r="1324" spans="2:4" ht="14" thickBot="1" x14ac:dyDescent="0.2">
      <c r="B1324" s="312">
        <v>43893</v>
      </c>
      <c r="C1324" s="321">
        <v>11303.3</v>
      </c>
      <c r="D1324" s="209">
        <f t="shared" si="20"/>
        <v>-4.626967345819244E-3</v>
      </c>
    </row>
    <row r="1325" spans="2:4" ht="14" thickBot="1" x14ac:dyDescent="0.2">
      <c r="B1325" s="312">
        <v>43892</v>
      </c>
      <c r="C1325" s="321">
        <v>11132.75</v>
      </c>
      <c r="D1325" s="210">
        <f t="shared" si="20"/>
        <v>1.5319664952504919E-2</v>
      </c>
    </row>
    <row r="1326" spans="2:4" ht="14" thickBot="1" x14ac:dyDescent="0.2">
      <c r="B1326" s="312">
        <v>43889</v>
      </c>
      <c r="C1326" s="321">
        <v>11201.75</v>
      </c>
      <c r="D1326" s="209">
        <f t="shared" si="20"/>
        <v>-6.1597518244916882E-3</v>
      </c>
    </row>
    <row r="1327" spans="2:4" ht="14" thickBot="1" x14ac:dyDescent="0.2">
      <c r="B1327" s="312">
        <v>43888</v>
      </c>
      <c r="C1327" s="321">
        <v>11633.3</v>
      </c>
      <c r="D1327" s="209">
        <f t="shared" si="20"/>
        <v>-3.709609483121723E-2</v>
      </c>
    </row>
    <row r="1328" spans="2:4" ht="14" thickBot="1" x14ac:dyDescent="0.2">
      <c r="B1328" s="312">
        <v>43887</v>
      </c>
      <c r="C1328" s="321">
        <v>11678.5</v>
      </c>
      <c r="D1328" s="209">
        <f t="shared" si="20"/>
        <v>-3.8703600633643864E-3</v>
      </c>
    </row>
    <row r="1329" spans="2:4" ht="14" thickBot="1" x14ac:dyDescent="0.2">
      <c r="B1329" s="312">
        <v>43886</v>
      </c>
      <c r="C1329" s="321">
        <v>11797.9</v>
      </c>
      <c r="D1329" s="210">
        <f t="shared" si="20"/>
        <v>-1.0120445163969816E-2</v>
      </c>
    </row>
    <row r="1330" spans="2:4" ht="14" thickBot="1" x14ac:dyDescent="0.2">
      <c r="B1330" s="312">
        <v>43885</v>
      </c>
      <c r="C1330" s="321">
        <v>11829.4</v>
      </c>
      <c r="D1330" s="209">
        <f t="shared" si="20"/>
        <v>-2.6628569496339738E-3</v>
      </c>
    </row>
    <row r="1331" spans="2:4" ht="14" thickBot="1" x14ac:dyDescent="0.2">
      <c r="B1331" s="312">
        <v>43881</v>
      </c>
      <c r="C1331" s="321">
        <v>12080.85</v>
      </c>
      <c r="D1331" s="209">
        <f t="shared" si="20"/>
        <v>-2.0813932794463974E-2</v>
      </c>
    </row>
    <row r="1332" spans="2:4" ht="14" thickBot="1" x14ac:dyDescent="0.2">
      <c r="B1332" s="312">
        <v>43880</v>
      </c>
      <c r="C1332" s="321">
        <v>12125.9</v>
      </c>
      <c r="D1332" s="210">
        <f t="shared" si="20"/>
        <v>-3.7151881509825957E-3</v>
      </c>
    </row>
    <row r="1333" spans="2:4" ht="14" thickBot="1" x14ac:dyDescent="0.2">
      <c r="B1333" s="312">
        <v>43879</v>
      </c>
      <c r="C1333" s="321">
        <v>11992.5</v>
      </c>
      <c r="D1333" s="209">
        <f t="shared" si="20"/>
        <v>1.1123618928496892E-2</v>
      </c>
    </row>
    <row r="1334" spans="2:4" ht="14" thickBot="1" x14ac:dyDescent="0.2">
      <c r="B1334" s="312">
        <v>43878</v>
      </c>
      <c r="C1334" s="321">
        <v>12045.8</v>
      </c>
      <c r="D1334" s="209">
        <f t="shared" si="20"/>
        <v>-4.4247787610618428E-3</v>
      </c>
    </row>
    <row r="1335" spans="2:4" ht="14" thickBot="1" x14ac:dyDescent="0.2">
      <c r="B1335" s="312">
        <v>43875</v>
      </c>
      <c r="C1335" s="321">
        <v>12113.45</v>
      </c>
      <c r="D1335" s="209">
        <f t="shared" si="20"/>
        <v>-5.5847013030970727E-3</v>
      </c>
    </row>
    <row r="1336" spans="2:4" ht="14" thickBot="1" x14ac:dyDescent="0.2">
      <c r="B1336" s="312">
        <v>43874</v>
      </c>
      <c r="C1336" s="321">
        <v>12174.65</v>
      </c>
      <c r="D1336" s="209">
        <f t="shared" si="20"/>
        <v>-5.0268385538803084E-3</v>
      </c>
    </row>
    <row r="1337" spans="2:4" ht="14" thickBot="1" x14ac:dyDescent="0.2">
      <c r="B1337" s="312">
        <v>43873</v>
      </c>
      <c r="C1337" s="321">
        <v>12201.2</v>
      </c>
      <c r="D1337" s="209">
        <f t="shared" si="20"/>
        <v>-2.1760154738879045E-3</v>
      </c>
    </row>
    <row r="1338" spans="2:4" ht="14" thickBot="1" x14ac:dyDescent="0.2">
      <c r="B1338" s="312">
        <v>43872</v>
      </c>
      <c r="C1338" s="321">
        <v>12107.9</v>
      </c>
      <c r="D1338" s="209">
        <f t="shared" si="20"/>
        <v>7.7057127990816099E-3</v>
      </c>
    </row>
    <row r="1339" spans="2:4" ht="14" thickBot="1" x14ac:dyDescent="0.2">
      <c r="B1339" s="312">
        <v>43871</v>
      </c>
      <c r="C1339" s="321">
        <v>12031.5</v>
      </c>
      <c r="D1339" s="209">
        <f t="shared" si="20"/>
        <v>6.3499979221210978E-3</v>
      </c>
    </row>
    <row r="1340" spans="2:4" ht="14" thickBot="1" x14ac:dyDescent="0.2">
      <c r="B1340" s="312">
        <v>43868</v>
      </c>
      <c r="C1340" s="321">
        <v>12098.35</v>
      </c>
      <c r="D1340" s="210">
        <f t="shared" si="20"/>
        <v>-5.525546872094167E-3</v>
      </c>
    </row>
    <row r="1341" spans="2:4" ht="14" thickBot="1" x14ac:dyDescent="0.2">
      <c r="B1341" s="312">
        <v>43867</v>
      </c>
      <c r="C1341" s="321">
        <v>12137.95</v>
      </c>
      <c r="D1341" s="210">
        <f t="shared" si="20"/>
        <v>-3.2624949023517535E-3</v>
      </c>
    </row>
    <row r="1342" spans="2:4" ht="14" thickBot="1" x14ac:dyDescent="0.2">
      <c r="B1342" s="312">
        <v>43866</v>
      </c>
      <c r="C1342" s="321">
        <v>12089.15</v>
      </c>
      <c r="D1342" s="209">
        <f t="shared" si="20"/>
        <v>4.0366775166162938E-3</v>
      </c>
    </row>
    <row r="1343" spans="2:4" ht="14" thickBot="1" x14ac:dyDescent="0.2">
      <c r="B1343" s="312">
        <v>43865</v>
      </c>
      <c r="C1343" s="321">
        <v>11979.65</v>
      </c>
      <c r="D1343" s="209">
        <f t="shared" si="20"/>
        <v>9.1405007658822424E-3</v>
      </c>
    </row>
    <row r="1344" spans="2:4" ht="14" thickBot="1" x14ac:dyDescent="0.2">
      <c r="B1344" s="312">
        <v>43864</v>
      </c>
      <c r="C1344" s="321">
        <v>11707.9</v>
      </c>
      <c r="D1344" s="210">
        <f t="shared" si="20"/>
        <v>2.3210823461081942E-2</v>
      </c>
    </row>
    <row r="1345" spans="2:4" ht="14" thickBot="1" x14ac:dyDescent="0.2">
      <c r="B1345" s="312">
        <v>43862</v>
      </c>
      <c r="C1345" s="321">
        <v>11661.85</v>
      </c>
      <c r="D1345" s="210">
        <f t="shared" si="20"/>
        <v>3.9487731363376799E-3</v>
      </c>
    </row>
    <row r="1346" spans="2:4" ht="14" thickBot="1" x14ac:dyDescent="0.2">
      <c r="B1346" s="312">
        <v>43861</v>
      </c>
      <c r="C1346" s="321">
        <v>11962.1</v>
      </c>
      <c r="D1346" s="209">
        <f t="shared" si="20"/>
        <v>-2.5100107840596575E-2</v>
      </c>
    </row>
    <row r="1347" spans="2:4" ht="14" thickBot="1" x14ac:dyDescent="0.2">
      <c r="B1347" s="312">
        <v>43860</v>
      </c>
      <c r="C1347" s="321">
        <v>12035.8</v>
      </c>
      <c r="D1347" s="209">
        <f t="shared" si="20"/>
        <v>-6.1233985277254765E-3</v>
      </c>
    </row>
    <row r="1348" spans="2:4" ht="14" thickBot="1" x14ac:dyDescent="0.2">
      <c r="B1348" s="312">
        <v>43859</v>
      </c>
      <c r="C1348" s="321">
        <v>12129.5</v>
      </c>
      <c r="D1348" s="210">
        <f t="shared" si="20"/>
        <v>-7.7249680530937503E-3</v>
      </c>
    </row>
    <row r="1349" spans="2:4" ht="14" thickBot="1" x14ac:dyDescent="0.2">
      <c r="B1349" s="312">
        <v>43858</v>
      </c>
      <c r="C1349" s="321">
        <v>12055.8</v>
      </c>
      <c r="D1349" s="209">
        <f t="shared" si="20"/>
        <v>6.1132401002008674E-3</v>
      </c>
    </row>
    <row r="1350" spans="2:4" ht="14" thickBot="1" x14ac:dyDescent="0.2">
      <c r="B1350" s="312">
        <v>43857</v>
      </c>
      <c r="C1350" s="321">
        <v>12119</v>
      </c>
      <c r="D1350" s="209">
        <f t="shared" si="20"/>
        <v>-5.2149517286905755E-3</v>
      </c>
    </row>
    <row r="1351" spans="2:4" ht="14" thickBot="1" x14ac:dyDescent="0.2">
      <c r="B1351" s="312">
        <v>43854</v>
      </c>
      <c r="C1351" s="321">
        <v>12248.25</v>
      </c>
      <c r="D1351" s="210">
        <f t="shared" si="20"/>
        <v>-1.0552527912150667E-2</v>
      </c>
    </row>
    <row r="1352" spans="2:4" ht="14" thickBot="1" x14ac:dyDescent="0.2">
      <c r="B1352" s="312">
        <v>43853</v>
      </c>
      <c r="C1352" s="321">
        <v>12180.35</v>
      </c>
      <c r="D1352" s="209">
        <f t="shared" si="20"/>
        <v>5.5745524553891812E-3</v>
      </c>
    </row>
    <row r="1353" spans="2:4" ht="14" thickBot="1" x14ac:dyDescent="0.2">
      <c r="B1353" s="312">
        <v>43852</v>
      </c>
      <c r="C1353" s="321">
        <v>12106.9</v>
      </c>
      <c r="D1353" s="210">
        <f t="shared" si="20"/>
        <v>6.0667883603564565E-3</v>
      </c>
    </row>
    <row r="1354" spans="2:4" ht="14" thickBot="1" x14ac:dyDescent="0.2">
      <c r="B1354" s="312">
        <v>43851</v>
      </c>
      <c r="C1354" s="321">
        <v>12169.85</v>
      </c>
      <c r="D1354" s="209">
        <f t="shared" si="20"/>
        <v>-5.172619218807184E-3</v>
      </c>
    </row>
    <row r="1355" spans="2:4" ht="14" thickBot="1" x14ac:dyDescent="0.2">
      <c r="B1355" s="312">
        <v>43850</v>
      </c>
      <c r="C1355" s="321">
        <v>12224.55</v>
      </c>
      <c r="D1355" s="209">
        <f t="shared" ref="D1355:D1418" si="21">C1354/C1355-1</f>
        <v>-4.4746023371002863E-3</v>
      </c>
    </row>
    <row r="1356" spans="2:4" ht="14" thickBot="1" x14ac:dyDescent="0.2">
      <c r="B1356" s="312">
        <v>43847</v>
      </c>
      <c r="C1356" s="321">
        <v>12352.35</v>
      </c>
      <c r="D1356" s="209">
        <f t="shared" si="21"/>
        <v>-1.0346209425736941E-2</v>
      </c>
    </row>
    <row r="1357" spans="2:4" ht="14" thickBot="1" x14ac:dyDescent="0.2">
      <c r="B1357" s="312">
        <v>43846</v>
      </c>
      <c r="C1357" s="321">
        <v>12355.5</v>
      </c>
      <c r="D1357" s="210">
        <f t="shared" si="21"/>
        <v>-2.5494718951069029E-4</v>
      </c>
    </row>
    <row r="1358" spans="2:4" ht="14" thickBot="1" x14ac:dyDescent="0.2">
      <c r="B1358" s="312">
        <v>43845</v>
      </c>
      <c r="C1358" s="321">
        <v>12343.3</v>
      </c>
      <c r="D1358" s="210">
        <f t="shared" si="21"/>
        <v>9.8839046284227017E-4</v>
      </c>
    </row>
    <row r="1359" spans="2:4" ht="14" thickBot="1" x14ac:dyDescent="0.2">
      <c r="B1359" s="312">
        <v>43844</v>
      </c>
      <c r="C1359" s="321">
        <v>12362.3</v>
      </c>
      <c r="D1359" s="209">
        <f t="shared" si="21"/>
        <v>-1.5369308300234863E-3</v>
      </c>
    </row>
    <row r="1360" spans="2:4" ht="14" thickBot="1" x14ac:dyDescent="0.2">
      <c r="B1360" s="312">
        <v>43843</v>
      </c>
      <c r="C1360" s="321">
        <v>12329.55</v>
      </c>
      <c r="D1360" s="209">
        <f t="shared" si="21"/>
        <v>2.6562202189048811E-3</v>
      </c>
    </row>
    <row r="1361" spans="2:4" ht="14" thickBot="1" x14ac:dyDescent="0.2">
      <c r="B1361" s="312">
        <v>43840</v>
      </c>
      <c r="C1361" s="321">
        <v>12256.8</v>
      </c>
      <c r="D1361" s="210">
        <f t="shared" si="21"/>
        <v>5.9354807127471876E-3</v>
      </c>
    </row>
    <row r="1362" spans="2:4" ht="14" thickBot="1" x14ac:dyDescent="0.2">
      <c r="B1362" s="312">
        <v>43839</v>
      </c>
      <c r="C1362" s="321">
        <v>12215.9</v>
      </c>
      <c r="D1362" s="210">
        <f t="shared" si="21"/>
        <v>3.3480955148617042E-3</v>
      </c>
    </row>
    <row r="1363" spans="2:4" ht="14" thickBot="1" x14ac:dyDescent="0.2">
      <c r="B1363" s="312">
        <v>43838</v>
      </c>
      <c r="C1363" s="321">
        <v>12025.35</v>
      </c>
      <c r="D1363" s="210">
        <f t="shared" si="21"/>
        <v>1.5845692640962472E-2</v>
      </c>
    </row>
    <row r="1364" spans="2:4" ht="14" thickBot="1" x14ac:dyDescent="0.2">
      <c r="B1364" s="312">
        <v>43837</v>
      </c>
      <c r="C1364" s="321">
        <v>12052.95</v>
      </c>
      <c r="D1364" s="210">
        <f t="shared" si="21"/>
        <v>-2.2898958346296849E-3</v>
      </c>
    </row>
    <row r="1365" spans="2:4" ht="14" thickBot="1" x14ac:dyDescent="0.2">
      <c r="B1365" s="312">
        <v>43836</v>
      </c>
      <c r="C1365" s="321">
        <v>11993.05</v>
      </c>
      <c r="D1365" s="210">
        <f t="shared" si="21"/>
        <v>4.9945593489564288E-3</v>
      </c>
    </row>
    <row r="1366" spans="2:4" ht="14" thickBot="1" x14ac:dyDescent="0.2">
      <c r="B1366" s="312">
        <v>43833</v>
      </c>
      <c r="C1366" s="321">
        <v>12226.65</v>
      </c>
      <c r="D1366" s="210">
        <f t="shared" si="21"/>
        <v>-1.91058057603678E-2</v>
      </c>
    </row>
    <row r="1367" spans="2:4" ht="14" thickBot="1" x14ac:dyDescent="0.2">
      <c r="B1367" s="312">
        <v>43832</v>
      </c>
      <c r="C1367" s="321">
        <v>12282.2</v>
      </c>
      <c r="D1367" s="209">
        <f t="shared" si="21"/>
        <v>-4.5228053606032326E-3</v>
      </c>
    </row>
    <row r="1368" spans="2:4" ht="14" thickBot="1" x14ac:dyDescent="0.2">
      <c r="B1368" s="312">
        <v>43831</v>
      </c>
      <c r="C1368" s="321">
        <v>12182.5</v>
      </c>
      <c r="D1368" s="210">
        <f t="shared" si="21"/>
        <v>8.1838703057666162E-3</v>
      </c>
    </row>
    <row r="1369" spans="2:4" ht="14" thickBot="1" x14ac:dyDescent="0.2">
      <c r="B1369" s="312">
        <v>43830</v>
      </c>
      <c r="C1369" s="321">
        <v>12168.45</v>
      </c>
      <c r="D1369" s="210">
        <f t="shared" si="21"/>
        <v>1.1546252809520041E-3</v>
      </c>
    </row>
    <row r="1370" spans="2:4" ht="14" thickBot="1" x14ac:dyDescent="0.2">
      <c r="B1370" s="312">
        <v>43829</v>
      </c>
      <c r="C1370" s="321">
        <v>12255.85</v>
      </c>
      <c r="D1370" s="210">
        <f t="shared" si="21"/>
        <v>-7.1312883235352675E-3</v>
      </c>
    </row>
    <row r="1371" spans="2:4" ht="14" thickBot="1" x14ac:dyDescent="0.2">
      <c r="B1371" s="312">
        <v>43826</v>
      </c>
      <c r="C1371" s="321">
        <v>12245.8</v>
      </c>
      <c r="D1371" s="209">
        <f t="shared" si="21"/>
        <v>8.206895425371119E-4</v>
      </c>
    </row>
    <row r="1372" spans="2:4" ht="14" thickBot="1" x14ac:dyDescent="0.2">
      <c r="B1372" s="312">
        <v>43825</v>
      </c>
      <c r="C1372" s="321">
        <v>12126.55</v>
      </c>
      <c r="D1372" s="209">
        <f t="shared" si="21"/>
        <v>9.8337944427722146E-3</v>
      </c>
    </row>
    <row r="1373" spans="2:4" ht="14" thickBot="1" x14ac:dyDescent="0.2">
      <c r="B1373" s="312">
        <v>43823</v>
      </c>
      <c r="C1373" s="321">
        <v>12214.55</v>
      </c>
      <c r="D1373" s="210">
        <f t="shared" si="21"/>
        <v>-7.2045224752447234E-3</v>
      </c>
    </row>
    <row r="1374" spans="2:4" ht="14" thickBot="1" x14ac:dyDescent="0.2">
      <c r="B1374" s="312">
        <v>43822</v>
      </c>
      <c r="C1374" s="321">
        <v>12262.75</v>
      </c>
      <c r="D1374" s="209">
        <f t="shared" si="21"/>
        <v>-3.930602841940134E-3</v>
      </c>
    </row>
    <row r="1375" spans="2:4" ht="14" thickBot="1" x14ac:dyDescent="0.2">
      <c r="B1375" s="312">
        <v>43819</v>
      </c>
      <c r="C1375" s="321">
        <v>12271.8</v>
      </c>
      <c r="D1375" s="209">
        <f t="shared" si="21"/>
        <v>-7.3746312684364046E-4</v>
      </c>
    </row>
    <row r="1376" spans="2:4" ht="14" thickBot="1" x14ac:dyDescent="0.2">
      <c r="B1376" s="312">
        <v>43818</v>
      </c>
      <c r="C1376" s="321">
        <v>12259.7</v>
      </c>
      <c r="D1376" s="210">
        <f t="shared" si="21"/>
        <v>9.8697358010380043E-4</v>
      </c>
    </row>
    <row r="1377" spans="2:4" ht="14" thickBot="1" x14ac:dyDescent="0.2">
      <c r="B1377" s="312">
        <v>43817</v>
      </c>
      <c r="C1377" s="321">
        <v>12221.65</v>
      </c>
      <c r="D1377" s="210">
        <f t="shared" si="21"/>
        <v>3.1133275785184544E-3</v>
      </c>
    </row>
    <row r="1378" spans="2:4" ht="14" thickBot="1" x14ac:dyDescent="0.2">
      <c r="B1378" s="312">
        <v>43816</v>
      </c>
      <c r="C1378" s="321">
        <v>12165</v>
      </c>
      <c r="D1378" s="209">
        <f t="shared" si="21"/>
        <v>4.6568023016850812E-3</v>
      </c>
    </row>
    <row r="1379" spans="2:4" ht="14" thickBot="1" x14ac:dyDescent="0.2">
      <c r="B1379" s="312">
        <v>43815</v>
      </c>
      <c r="C1379" s="321">
        <v>12053.95</v>
      </c>
      <c r="D1379" s="210">
        <f t="shared" si="21"/>
        <v>9.2127476885168758E-3</v>
      </c>
    </row>
    <row r="1380" spans="2:4" ht="14" thickBot="1" x14ac:dyDescent="0.2">
      <c r="B1380" s="312">
        <v>43812</v>
      </c>
      <c r="C1380" s="321">
        <v>12086.7</v>
      </c>
      <c r="D1380" s="209">
        <f t="shared" si="21"/>
        <v>-2.7095898797852014E-3</v>
      </c>
    </row>
    <row r="1381" spans="2:4" ht="14" thickBot="1" x14ac:dyDescent="0.2">
      <c r="B1381" s="312">
        <v>43811</v>
      </c>
      <c r="C1381" s="321">
        <v>11971.8</v>
      </c>
      <c r="D1381" s="210">
        <f t="shared" si="21"/>
        <v>9.5975542524935342E-3</v>
      </c>
    </row>
    <row r="1382" spans="2:4" ht="14" thickBot="1" x14ac:dyDescent="0.2">
      <c r="B1382" s="312">
        <v>43810</v>
      </c>
      <c r="C1382" s="321">
        <v>11910.15</v>
      </c>
      <c r="D1382" s="209">
        <f t="shared" si="21"/>
        <v>5.1762572259794748E-3</v>
      </c>
    </row>
    <row r="1383" spans="2:4" ht="14" thickBot="1" x14ac:dyDescent="0.2">
      <c r="B1383" s="312">
        <v>43809</v>
      </c>
      <c r="C1383" s="321">
        <v>11856.8</v>
      </c>
      <c r="D1383" s="210">
        <f t="shared" si="21"/>
        <v>4.4995276971864229E-3</v>
      </c>
    </row>
    <row r="1384" spans="2:4" ht="14" thickBot="1" x14ac:dyDescent="0.2">
      <c r="B1384" s="312">
        <v>43808</v>
      </c>
      <c r="C1384" s="321">
        <v>11937.5</v>
      </c>
      <c r="D1384" s="210">
        <f t="shared" si="21"/>
        <v>-6.7602094240838406E-3</v>
      </c>
    </row>
    <row r="1385" spans="2:4" ht="14" thickBot="1" x14ac:dyDescent="0.2">
      <c r="B1385" s="312">
        <v>43805</v>
      </c>
      <c r="C1385" s="321">
        <v>11921.5</v>
      </c>
      <c r="D1385" s="210">
        <f t="shared" si="21"/>
        <v>1.342112989137334E-3</v>
      </c>
    </row>
    <row r="1386" spans="2:4" ht="14" thickBot="1" x14ac:dyDescent="0.2">
      <c r="B1386" s="312">
        <v>43804</v>
      </c>
      <c r="C1386" s="321">
        <v>12018.4</v>
      </c>
      <c r="D1386" s="210">
        <f t="shared" si="21"/>
        <v>-8.062637289489416E-3</v>
      </c>
    </row>
    <row r="1387" spans="2:4" ht="14" thickBot="1" x14ac:dyDescent="0.2">
      <c r="B1387" s="312">
        <v>43803</v>
      </c>
      <c r="C1387" s="321">
        <v>12043.2</v>
      </c>
      <c r="D1387" s="209">
        <f t="shared" si="21"/>
        <v>-2.0592533545902292E-3</v>
      </c>
    </row>
    <row r="1388" spans="2:4" ht="14" thickBot="1" x14ac:dyDescent="0.2">
      <c r="B1388" s="312">
        <v>43802</v>
      </c>
      <c r="C1388" s="321">
        <v>11994.2</v>
      </c>
      <c r="D1388" s="209">
        <f t="shared" si="21"/>
        <v>4.0853078988176694E-3</v>
      </c>
    </row>
    <row r="1389" spans="2:4" ht="14" thickBot="1" x14ac:dyDescent="0.2">
      <c r="B1389" s="312">
        <v>43801</v>
      </c>
      <c r="C1389" s="321">
        <v>12048.2</v>
      </c>
      <c r="D1389" s="209">
        <f t="shared" si="21"/>
        <v>-4.4819973108015665E-3</v>
      </c>
    </row>
    <row r="1390" spans="2:4" ht="14" thickBot="1" x14ac:dyDescent="0.2">
      <c r="B1390" s="312">
        <v>43798</v>
      </c>
      <c r="C1390" s="321">
        <v>12056.05</v>
      </c>
      <c r="D1390" s="210">
        <f t="shared" si="21"/>
        <v>-6.5112536859079917E-4</v>
      </c>
    </row>
    <row r="1391" spans="2:4" ht="14" thickBot="1" x14ac:dyDescent="0.2">
      <c r="B1391" s="312">
        <v>43797</v>
      </c>
      <c r="C1391" s="321">
        <v>12151.15</v>
      </c>
      <c r="D1391" s="209">
        <f t="shared" si="21"/>
        <v>-7.8264197215901499E-3</v>
      </c>
    </row>
    <row r="1392" spans="2:4" ht="14" thickBot="1" x14ac:dyDescent="0.2">
      <c r="B1392" s="312">
        <v>43796</v>
      </c>
      <c r="C1392" s="321">
        <v>12100.7</v>
      </c>
      <c r="D1392" s="209">
        <f t="shared" si="21"/>
        <v>4.1691802953547352E-3</v>
      </c>
    </row>
    <row r="1393" spans="2:4" ht="14" thickBot="1" x14ac:dyDescent="0.2">
      <c r="B1393" s="312">
        <v>43795</v>
      </c>
      <c r="C1393" s="321">
        <v>12037.7</v>
      </c>
      <c r="D1393" s="209">
        <f t="shared" si="21"/>
        <v>5.2335579055799997E-3</v>
      </c>
    </row>
    <row r="1394" spans="2:4" ht="14" thickBot="1" x14ac:dyDescent="0.2">
      <c r="B1394" s="312">
        <v>43794</v>
      </c>
      <c r="C1394" s="321">
        <v>12073.75</v>
      </c>
      <c r="D1394" s="209">
        <f t="shared" si="21"/>
        <v>-2.9858163370948265E-3</v>
      </c>
    </row>
    <row r="1395" spans="2:4" ht="14" thickBot="1" x14ac:dyDescent="0.2">
      <c r="B1395" s="312">
        <v>43791</v>
      </c>
      <c r="C1395" s="321">
        <v>11914.4</v>
      </c>
      <c r="D1395" s="209">
        <f t="shared" si="21"/>
        <v>1.3374571946552116E-2</v>
      </c>
    </row>
    <row r="1396" spans="2:4" ht="14" thickBot="1" x14ac:dyDescent="0.2">
      <c r="B1396" s="312">
        <v>43790</v>
      </c>
      <c r="C1396" s="321">
        <v>11968.4</v>
      </c>
      <c r="D1396" s="209">
        <f t="shared" si="21"/>
        <v>-4.5118812873901071E-3</v>
      </c>
    </row>
    <row r="1397" spans="2:4" ht="14" thickBot="1" x14ac:dyDescent="0.2">
      <c r="B1397" s="312">
        <v>43789</v>
      </c>
      <c r="C1397" s="321">
        <v>11999.1</v>
      </c>
      <c r="D1397" s="209">
        <f t="shared" si="21"/>
        <v>-2.5585252227251498E-3</v>
      </c>
    </row>
    <row r="1398" spans="2:4" ht="14" thickBot="1" x14ac:dyDescent="0.2">
      <c r="B1398" s="312">
        <v>43788</v>
      </c>
      <c r="C1398" s="321">
        <v>11940.1</v>
      </c>
      <c r="D1398" s="210">
        <f t="shared" si="21"/>
        <v>4.941332149646982E-3</v>
      </c>
    </row>
    <row r="1399" spans="2:4" ht="14" thickBot="1" x14ac:dyDescent="0.2">
      <c r="B1399" s="312">
        <v>43787</v>
      </c>
      <c r="C1399" s="321">
        <v>11884.5</v>
      </c>
      <c r="D1399" s="209">
        <f t="shared" si="21"/>
        <v>4.6783625730995038E-3</v>
      </c>
    </row>
    <row r="1400" spans="2:4" ht="14" thickBot="1" x14ac:dyDescent="0.2">
      <c r="B1400" s="312">
        <v>43784</v>
      </c>
      <c r="C1400" s="321">
        <v>11895.45</v>
      </c>
      <c r="D1400" s="209">
        <f t="shared" si="21"/>
        <v>-9.2052003076814604E-4</v>
      </c>
    </row>
    <row r="1401" spans="2:4" ht="14" thickBot="1" x14ac:dyDescent="0.2">
      <c r="B1401" s="312">
        <v>43783</v>
      </c>
      <c r="C1401" s="321">
        <v>11872.1</v>
      </c>
      <c r="D1401" s="209">
        <f t="shared" si="21"/>
        <v>1.9667961017848512E-3</v>
      </c>
    </row>
    <row r="1402" spans="2:4" ht="14" thickBot="1" x14ac:dyDescent="0.2">
      <c r="B1402" s="312">
        <v>43782</v>
      </c>
      <c r="C1402" s="321">
        <v>11840.45</v>
      </c>
      <c r="D1402" s="210">
        <f t="shared" si="21"/>
        <v>2.6730402982995116E-3</v>
      </c>
    </row>
    <row r="1403" spans="2:4" ht="14" thickBot="1" x14ac:dyDescent="0.2">
      <c r="B1403" s="312">
        <v>43780</v>
      </c>
      <c r="C1403" s="321">
        <v>11913.45</v>
      </c>
      <c r="D1403" s="210">
        <f t="shared" si="21"/>
        <v>-6.1275281299707496E-3</v>
      </c>
    </row>
    <row r="1404" spans="2:4" ht="14" thickBot="1" x14ac:dyDescent="0.2">
      <c r="B1404" s="312">
        <v>43777</v>
      </c>
      <c r="C1404" s="321">
        <v>11908.15</v>
      </c>
      <c r="D1404" s="209">
        <f t="shared" si="21"/>
        <v>4.4507333212973066E-4</v>
      </c>
    </row>
    <row r="1405" spans="2:4" ht="14" thickBot="1" x14ac:dyDescent="0.2">
      <c r="B1405" s="312">
        <v>43776</v>
      </c>
      <c r="C1405" s="321">
        <v>12012.05</v>
      </c>
      <c r="D1405" s="209">
        <f t="shared" si="21"/>
        <v>-8.6496476454892557E-3</v>
      </c>
    </row>
    <row r="1406" spans="2:4" ht="14" thickBot="1" x14ac:dyDescent="0.2">
      <c r="B1406" s="312">
        <v>43775</v>
      </c>
      <c r="C1406" s="321">
        <v>11966.05</v>
      </c>
      <c r="D1406" s="209">
        <f t="shared" si="21"/>
        <v>3.8442092419803675E-3</v>
      </c>
    </row>
    <row r="1407" spans="2:4" ht="14" thickBot="1" x14ac:dyDescent="0.2">
      <c r="B1407" s="312">
        <v>43774</v>
      </c>
      <c r="C1407" s="321">
        <v>11917.2</v>
      </c>
      <c r="D1407" s="210">
        <f t="shared" si="21"/>
        <v>4.0991172423050504E-3</v>
      </c>
    </row>
    <row r="1408" spans="2:4" ht="14" thickBot="1" x14ac:dyDescent="0.2">
      <c r="B1408" s="312">
        <v>43773</v>
      </c>
      <c r="C1408" s="321">
        <v>11941.3</v>
      </c>
      <c r="D1408" s="210">
        <f t="shared" si="21"/>
        <v>-2.0182057229948258E-3</v>
      </c>
    </row>
    <row r="1409" spans="2:4" ht="14" thickBot="1" x14ac:dyDescent="0.2">
      <c r="B1409" s="312">
        <v>43770</v>
      </c>
      <c r="C1409" s="321">
        <v>11890.6</v>
      </c>
      <c r="D1409" s="209">
        <f t="shared" si="21"/>
        <v>4.2638723024910341E-3</v>
      </c>
    </row>
    <row r="1410" spans="2:4" ht="14" thickBot="1" x14ac:dyDescent="0.2">
      <c r="B1410" s="312">
        <v>43769</v>
      </c>
      <c r="C1410" s="321">
        <v>11877.45</v>
      </c>
      <c r="D1410" s="209">
        <f t="shared" si="21"/>
        <v>1.1071400005893128E-3</v>
      </c>
    </row>
    <row r="1411" spans="2:4" ht="14" thickBot="1" x14ac:dyDescent="0.2">
      <c r="B1411" s="312">
        <v>43768</v>
      </c>
      <c r="C1411" s="321">
        <v>11844.1</v>
      </c>
      <c r="D1411" s="210">
        <f t="shared" si="21"/>
        <v>2.8157479251273987E-3</v>
      </c>
    </row>
    <row r="1412" spans="2:4" ht="14" thickBot="1" x14ac:dyDescent="0.2">
      <c r="B1412" s="312">
        <v>43767</v>
      </c>
      <c r="C1412" s="321">
        <v>11786.85</v>
      </c>
      <c r="D1412" s="210">
        <f t="shared" si="21"/>
        <v>4.8571077090147075E-3</v>
      </c>
    </row>
    <row r="1413" spans="2:4" ht="14" thickBot="1" x14ac:dyDescent="0.2">
      <c r="B1413" s="312">
        <v>43765</v>
      </c>
      <c r="C1413" s="321">
        <v>11627.15</v>
      </c>
      <c r="D1413" s="209">
        <f t="shared" si="21"/>
        <v>1.3735094154629479E-2</v>
      </c>
    </row>
    <row r="1414" spans="2:4" ht="14" thickBot="1" x14ac:dyDescent="0.2">
      <c r="B1414" s="312">
        <v>43763</v>
      </c>
      <c r="C1414" s="321">
        <v>11583.9</v>
      </c>
      <c r="D1414" s="210">
        <f t="shared" si="21"/>
        <v>3.7336302972228452E-3</v>
      </c>
    </row>
    <row r="1415" spans="2:4" ht="14" thickBot="1" x14ac:dyDescent="0.2">
      <c r="B1415" s="312">
        <v>43762</v>
      </c>
      <c r="C1415" s="321">
        <v>11582.6</v>
      </c>
      <c r="D1415" s="209">
        <f t="shared" si="21"/>
        <v>1.122373214994532E-4</v>
      </c>
    </row>
    <row r="1416" spans="2:4" ht="14" thickBot="1" x14ac:dyDescent="0.2">
      <c r="B1416" s="312">
        <v>43761</v>
      </c>
      <c r="C1416" s="321">
        <v>11604.1</v>
      </c>
      <c r="D1416" s="209">
        <f t="shared" si="21"/>
        <v>-1.8527934092260612E-3</v>
      </c>
    </row>
    <row r="1417" spans="2:4" ht="14" thickBot="1" x14ac:dyDescent="0.2">
      <c r="B1417" s="312">
        <v>43760</v>
      </c>
      <c r="C1417" s="321">
        <v>11588.35</v>
      </c>
      <c r="D1417" s="210">
        <f t="shared" si="21"/>
        <v>1.3591236025836118E-3</v>
      </c>
    </row>
    <row r="1418" spans="2:4" ht="14" thickBot="1" x14ac:dyDescent="0.2">
      <c r="B1418" s="312">
        <v>43756</v>
      </c>
      <c r="C1418" s="321">
        <v>11661.85</v>
      </c>
      <c r="D1418" s="210">
        <f t="shared" si="21"/>
        <v>-6.302602074284902E-3</v>
      </c>
    </row>
    <row r="1419" spans="2:4" ht="14" thickBot="1" x14ac:dyDescent="0.2">
      <c r="B1419" s="312">
        <v>43755</v>
      </c>
      <c r="C1419" s="321">
        <v>11586.35</v>
      </c>
      <c r="D1419" s="210">
        <f t="shared" ref="D1419:D1482" si="22">C1418/C1419-1</f>
        <v>6.5162885636977919E-3</v>
      </c>
    </row>
    <row r="1420" spans="2:4" ht="14" thickBot="1" x14ac:dyDescent="0.2">
      <c r="B1420" s="312">
        <v>43754</v>
      </c>
      <c r="C1420" s="321">
        <v>11464</v>
      </c>
      <c r="D1420" s="209">
        <f t="shared" si="22"/>
        <v>1.0672540125610697E-2</v>
      </c>
    </row>
    <row r="1421" spans="2:4" ht="14" thickBot="1" x14ac:dyDescent="0.2">
      <c r="B1421" s="312">
        <v>43753</v>
      </c>
      <c r="C1421" s="321">
        <v>11428.3</v>
      </c>
      <c r="D1421" s="210">
        <f t="shared" si="22"/>
        <v>3.1238241908246867E-3</v>
      </c>
    </row>
    <row r="1422" spans="2:4" ht="14" thickBot="1" x14ac:dyDescent="0.2">
      <c r="B1422" s="312">
        <v>43752</v>
      </c>
      <c r="C1422" s="321">
        <v>11341.15</v>
      </c>
      <c r="D1422" s="210">
        <f t="shared" si="22"/>
        <v>7.6844059023997158E-3</v>
      </c>
    </row>
    <row r="1423" spans="2:4" ht="14" thickBot="1" x14ac:dyDescent="0.2">
      <c r="B1423" s="312">
        <v>43749</v>
      </c>
      <c r="C1423" s="321">
        <v>11305.05</v>
      </c>
      <c r="D1423" s="209">
        <f t="shared" si="22"/>
        <v>3.1932631876905315E-3</v>
      </c>
    </row>
    <row r="1424" spans="2:4" ht="14" thickBot="1" x14ac:dyDescent="0.2">
      <c r="B1424" s="312">
        <v>43748</v>
      </c>
      <c r="C1424" s="321">
        <v>11234.55</v>
      </c>
      <c r="D1424" s="209">
        <f t="shared" si="22"/>
        <v>6.2752847243547905E-3</v>
      </c>
    </row>
    <row r="1425" spans="2:4" ht="14" thickBot="1" x14ac:dyDescent="0.2">
      <c r="B1425" s="312">
        <v>43747</v>
      </c>
      <c r="C1425" s="321">
        <v>11313.3</v>
      </c>
      <c r="D1425" s="210">
        <f t="shared" si="22"/>
        <v>-6.9608337089973604E-3</v>
      </c>
    </row>
    <row r="1426" spans="2:4" ht="14" thickBot="1" x14ac:dyDescent="0.2">
      <c r="B1426" s="312">
        <v>43745</v>
      </c>
      <c r="C1426" s="321">
        <v>11126.4</v>
      </c>
      <c r="D1426" s="210">
        <f t="shared" si="22"/>
        <v>1.6797886108714355E-2</v>
      </c>
    </row>
    <row r="1427" spans="2:4" ht="14" thickBot="1" x14ac:dyDescent="0.2">
      <c r="B1427" s="312">
        <v>43742</v>
      </c>
      <c r="C1427" s="321">
        <v>11174.75</v>
      </c>
      <c r="D1427" s="209">
        <f t="shared" si="22"/>
        <v>-4.3267187185396239E-3</v>
      </c>
    </row>
    <row r="1428" spans="2:4" ht="14" thickBot="1" x14ac:dyDescent="0.2">
      <c r="B1428" s="312">
        <v>43741</v>
      </c>
      <c r="C1428" s="321">
        <v>11314</v>
      </c>
      <c r="D1428" s="209">
        <f t="shared" si="22"/>
        <v>-1.2307760296977222E-2</v>
      </c>
    </row>
    <row r="1429" spans="2:4" ht="14" thickBot="1" x14ac:dyDescent="0.2">
      <c r="B1429" s="312">
        <v>43739</v>
      </c>
      <c r="C1429" s="321">
        <v>11359.9</v>
      </c>
      <c r="D1429" s="209">
        <f t="shared" si="22"/>
        <v>-4.0405285257792967E-3</v>
      </c>
    </row>
    <row r="1430" spans="2:4" ht="14" thickBot="1" x14ac:dyDescent="0.2">
      <c r="B1430" s="312">
        <v>43738</v>
      </c>
      <c r="C1430" s="321">
        <v>11474.45</v>
      </c>
      <c r="D1430" s="209">
        <f t="shared" si="22"/>
        <v>-9.9830492964805284E-3</v>
      </c>
    </row>
    <row r="1431" spans="2:4" ht="14" thickBot="1" x14ac:dyDescent="0.2">
      <c r="B1431" s="312">
        <v>43735</v>
      </c>
      <c r="C1431" s="321">
        <v>11512.4</v>
      </c>
      <c r="D1431" s="209">
        <f t="shared" si="22"/>
        <v>-3.2964455717312546E-3</v>
      </c>
    </row>
    <row r="1432" spans="2:4" ht="14" thickBot="1" x14ac:dyDescent="0.2">
      <c r="B1432" s="312">
        <v>43734</v>
      </c>
      <c r="C1432" s="321">
        <v>11571.2</v>
      </c>
      <c r="D1432" s="209">
        <f t="shared" si="22"/>
        <v>-5.0815818584071248E-3</v>
      </c>
    </row>
    <row r="1433" spans="2:4" ht="14" thickBot="1" x14ac:dyDescent="0.2">
      <c r="B1433" s="312">
        <v>43733</v>
      </c>
      <c r="C1433" s="321">
        <v>11440.2</v>
      </c>
      <c r="D1433" s="210">
        <f t="shared" si="22"/>
        <v>1.1450848761385357E-2</v>
      </c>
    </row>
    <row r="1434" spans="2:4" ht="14" thickBot="1" x14ac:dyDescent="0.2">
      <c r="B1434" s="312">
        <v>43732</v>
      </c>
      <c r="C1434" s="321">
        <v>11588.2</v>
      </c>
      <c r="D1434" s="209">
        <f t="shared" si="22"/>
        <v>-1.2771612502373131E-2</v>
      </c>
    </row>
    <row r="1435" spans="2:4" ht="14" thickBot="1" x14ac:dyDescent="0.2">
      <c r="B1435" s="312">
        <v>43731</v>
      </c>
      <c r="C1435" s="321">
        <v>11600.2</v>
      </c>
      <c r="D1435" s="209">
        <f t="shared" si="22"/>
        <v>-1.0344649230186187E-3</v>
      </c>
    </row>
    <row r="1436" spans="2:4" ht="14" thickBot="1" x14ac:dyDescent="0.2">
      <c r="B1436" s="312">
        <v>43728</v>
      </c>
      <c r="C1436" s="321">
        <v>11274.2</v>
      </c>
      <c r="D1436" s="210">
        <f t="shared" si="22"/>
        <v>2.8915577158467931E-2</v>
      </c>
    </row>
    <row r="1437" spans="2:4" ht="14" thickBot="1" x14ac:dyDescent="0.2">
      <c r="B1437" s="312">
        <v>43727</v>
      </c>
      <c r="C1437" s="321">
        <v>10704.8</v>
      </c>
      <c r="D1437" s="209">
        <f t="shared" si="22"/>
        <v>5.3191091846648275E-2</v>
      </c>
    </row>
    <row r="1438" spans="2:4" ht="14" thickBot="1" x14ac:dyDescent="0.2">
      <c r="B1438" s="312">
        <v>43726</v>
      </c>
      <c r="C1438" s="321">
        <v>10840.65</v>
      </c>
      <c r="D1438" s="209">
        <f t="shared" si="22"/>
        <v>-1.2531536393112996E-2</v>
      </c>
    </row>
    <row r="1439" spans="2:4" ht="14" thickBot="1" x14ac:dyDescent="0.2">
      <c r="B1439" s="312">
        <v>43725</v>
      </c>
      <c r="C1439" s="321">
        <v>10817.6</v>
      </c>
      <c r="D1439" s="209">
        <f t="shared" si="22"/>
        <v>2.1307868658482221E-3</v>
      </c>
    </row>
    <row r="1440" spans="2:4" ht="14" thickBot="1" x14ac:dyDescent="0.2">
      <c r="B1440" s="312">
        <v>43724</v>
      </c>
      <c r="C1440" s="321">
        <v>11003.5</v>
      </c>
      <c r="D1440" s="209">
        <f t="shared" si="22"/>
        <v>-1.6894624437678862E-2</v>
      </c>
    </row>
    <row r="1441" spans="2:4" ht="14" thickBot="1" x14ac:dyDescent="0.2">
      <c r="B1441" s="312">
        <v>43721</v>
      </c>
      <c r="C1441" s="321">
        <v>11075.9</v>
      </c>
      <c r="D1441" s="209">
        <f t="shared" si="22"/>
        <v>-6.5367148493575833E-3</v>
      </c>
    </row>
    <row r="1442" spans="2:4" ht="14" thickBot="1" x14ac:dyDescent="0.2">
      <c r="B1442" s="312">
        <v>43720</v>
      </c>
      <c r="C1442" s="321">
        <v>10982.8</v>
      </c>
      <c r="D1442" s="209">
        <f t="shared" si="22"/>
        <v>8.4768911388717338E-3</v>
      </c>
    </row>
    <row r="1443" spans="2:4" ht="14" thickBot="1" x14ac:dyDescent="0.2">
      <c r="B1443" s="312">
        <v>43719</v>
      </c>
      <c r="C1443" s="321">
        <v>11035.7</v>
      </c>
      <c r="D1443" s="209">
        <f t="shared" si="22"/>
        <v>-4.7935337133123701E-3</v>
      </c>
    </row>
    <row r="1444" spans="2:4" ht="14" thickBot="1" x14ac:dyDescent="0.2">
      <c r="B1444" s="312">
        <v>43717</v>
      </c>
      <c r="C1444" s="321">
        <v>11003.05</v>
      </c>
      <c r="D1444" s="209">
        <f t="shared" si="22"/>
        <v>2.9673590504453173E-3</v>
      </c>
    </row>
    <row r="1445" spans="2:4" ht="14" thickBot="1" x14ac:dyDescent="0.2">
      <c r="B1445" s="312">
        <v>43714</v>
      </c>
      <c r="C1445" s="321">
        <v>10946.2</v>
      </c>
      <c r="D1445" s="210">
        <f t="shared" si="22"/>
        <v>5.1935831612794914E-3</v>
      </c>
    </row>
    <row r="1446" spans="2:4" ht="14" thickBot="1" x14ac:dyDescent="0.2">
      <c r="B1446" s="312">
        <v>43713</v>
      </c>
      <c r="C1446" s="321">
        <v>10847.9</v>
      </c>
      <c r="D1446" s="210">
        <f t="shared" si="22"/>
        <v>9.0616617041088254E-3</v>
      </c>
    </row>
    <row r="1447" spans="2:4" ht="14" thickBot="1" x14ac:dyDescent="0.2">
      <c r="B1447" s="312">
        <v>43712</v>
      </c>
      <c r="C1447" s="321">
        <v>10844.65</v>
      </c>
      <c r="D1447" s="209">
        <f t="shared" si="22"/>
        <v>2.9968694240944949E-4</v>
      </c>
    </row>
    <row r="1448" spans="2:4" ht="14" thickBot="1" x14ac:dyDescent="0.2">
      <c r="B1448" s="312">
        <v>43711</v>
      </c>
      <c r="C1448" s="321">
        <v>10797.9</v>
      </c>
      <c r="D1448" s="209">
        <f t="shared" si="22"/>
        <v>4.3295455597847088E-3</v>
      </c>
    </row>
    <row r="1449" spans="2:4" ht="14" thickBot="1" x14ac:dyDescent="0.2">
      <c r="B1449" s="312">
        <v>43707</v>
      </c>
      <c r="C1449" s="321">
        <v>11023.25</v>
      </c>
      <c r="D1449" s="210">
        <f t="shared" si="22"/>
        <v>-2.0443154242170025E-2</v>
      </c>
    </row>
    <row r="1450" spans="2:4" ht="14" thickBot="1" x14ac:dyDescent="0.2">
      <c r="B1450" s="312">
        <v>43706</v>
      </c>
      <c r="C1450" s="321">
        <v>10948.3</v>
      </c>
      <c r="D1450" s="209">
        <f t="shared" si="22"/>
        <v>6.845811678525493E-3</v>
      </c>
    </row>
    <row r="1451" spans="2:4" ht="14" thickBot="1" x14ac:dyDescent="0.2">
      <c r="B1451" s="312">
        <v>43705</v>
      </c>
      <c r="C1451" s="321">
        <v>11046.1</v>
      </c>
      <c r="D1451" s="210">
        <f t="shared" si="22"/>
        <v>-8.8538036048922963E-3</v>
      </c>
    </row>
    <row r="1452" spans="2:4" ht="14" thickBot="1" x14ac:dyDescent="0.2">
      <c r="B1452" s="312">
        <v>43704</v>
      </c>
      <c r="C1452" s="321">
        <v>11105.35</v>
      </c>
      <c r="D1452" s="209">
        <f t="shared" si="22"/>
        <v>-5.3352663355950014E-3</v>
      </c>
    </row>
    <row r="1453" spans="2:4" ht="14" thickBot="1" x14ac:dyDescent="0.2">
      <c r="B1453" s="312">
        <v>43703</v>
      </c>
      <c r="C1453" s="321">
        <v>11057.85</v>
      </c>
      <c r="D1453" s="209">
        <f t="shared" si="22"/>
        <v>4.2955909150512728E-3</v>
      </c>
    </row>
    <row r="1454" spans="2:4" ht="14" thickBot="1" x14ac:dyDescent="0.2">
      <c r="B1454" s="312">
        <v>43700</v>
      </c>
      <c r="C1454" s="321">
        <v>10829.35</v>
      </c>
      <c r="D1454" s="209">
        <f t="shared" si="22"/>
        <v>2.1100066024276609E-2</v>
      </c>
    </row>
    <row r="1455" spans="2:4" ht="14" thickBot="1" x14ac:dyDescent="0.2">
      <c r="B1455" s="312">
        <v>43699</v>
      </c>
      <c r="C1455" s="321">
        <v>10741.35</v>
      </c>
      <c r="D1455" s="210">
        <f t="shared" si="22"/>
        <v>8.1926387279065427E-3</v>
      </c>
    </row>
    <row r="1456" spans="2:4" ht="14" thickBot="1" x14ac:dyDescent="0.2">
      <c r="B1456" s="312">
        <v>43698</v>
      </c>
      <c r="C1456" s="321">
        <v>10918.7</v>
      </c>
      <c r="D1456" s="210">
        <f t="shared" si="22"/>
        <v>-1.6242776154670513E-2</v>
      </c>
    </row>
    <row r="1457" spans="2:4" ht="14" thickBot="1" x14ac:dyDescent="0.2">
      <c r="B1457" s="312">
        <v>43697</v>
      </c>
      <c r="C1457" s="321">
        <v>11017</v>
      </c>
      <c r="D1457" s="209">
        <f t="shared" si="22"/>
        <v>-8.9225742035036193E-3</v>
      </c>
    </row>
    <row r="1458" spans="2:4" ht="14" thickBot="1" x14ac:dyDescent="0.2">
      <c r="B1458" s="312">
        <v>43696</v>
      </c>
      <c r="C1458" s="321">
        <v>11053.9</v>
      </c>
      <c r="D1458" s="209">
        <f t="shared" si="22"/>
        <v>-3.338188331719949E-3</v>
      </c>
    </row>
    <row r="1459" spans="2:4" ht="14" thickBot="1" x14ac:dyDescent="0.2">
      <c r="B1459" s="312">
        <v>43693</v>
      </c>
      <c r="C1459" s="321">
        <v>11047.8</v>
      </c>
      <c r="D1459" s="209">
        <f t="shared" si="22"/>
        <v>5.5214612864107337E-4</v>
      </c>
    </row>
    <row r="1460" spans="2:4" ht="14" thickBot="1" x14ac:dyDescent="0.2">
      <c r="B1460" s="312">
        <v>43691</v>
      </c>
      <c r="C1460" s="321">
        <v>11029.4</v>
      </c>
      <c r="D1460" s="209">
        <f t="shared" si="22"/>
        <v>1.6682684461530872E-3</v>
      </c>
    </row>
    <row r="1461" spans="2:4" ht="14" thickBot="1" x14ac:dyDescent="0.2">
      <c r="B1461" s="312">
        <v>43690</v>
      </c>
      <c r="C1461" s="321">
        <v>10925.85</v>
      </c>
      <c r="D1461" s="210">
        <f t="shared" si="22"/>
        <v>9.4775234878750059E-3</v>
      </c>
    </row>
    <row r="1462" spans="2:4" ht="14" thickBot="1" x14ac:dyDescent="0.2">
      <c r="B1462" s="312">
        <v>43686</v>
      </c>
      <c r="C1462" s="321">
        <v>11109.65</v>
      </c>
      <c r="D1462" s="210">
        <f t="shared" si="22"/>
        <v>-1.6544175559085939E-2</v>
      </c>
    </row>
    <row r="1463" spans="2:4" ht="14" thickBot="1" x14ac:dyDescent="0.2">
      <c r="B1463" s="312">
        <v>43685</v>
      </c>
      <c r="C1463" s="321">
        <v>11032.45</v>
      </c>
      <c r="D1463" s="209">
        <f t="shared" si="22"/>
        <v>6.9975390779020152E-3</v>
      </c>
    </row>
    <row r="1464" spans="2:4" ht="14" thickBot="1" x14ac:dyDescent="0.2">
      <c r="B1464" s="312">
        <v>43684</v>
      </c>
      <c r="C1464" s="321">
        <v>10855.5</v>
      </c>
      <c r="D1464" s="209">
        <f t="shared" si="22"/>
        <v>1.6300492837732161E-2</v>
      </c>
    </row>
    <row r="1465" spans="2:4" ht="14" thickBot="1" x14ac:dyDescent="0.2">
      <c r="B1465" s="312">
        <v>43683</v>
      </c>
      <c r="C1465" s="321">
        <v>10948.25</v>
      </c>
      <c r="D1465" s="209">
        <f t="shared" si="22"/>
        <v>-8.4716735551343403E-3</v>
      </c>
    </row>
    <row r="1466" spans="2:4" ht="14" thickBot="1" x14ac:dyDescent="0.2">
      <c r="B1466" s="312">
        <v>43682</v>
      </c>
      <c r="C1466" s="321">
        <v>10862.6</v>
      </c>
      <c r="D1466" s="209">
        <f t="shared" si="22"/>
        <v>7.8848526135546493E-3</v>
      </c>
    </row>
    <row r="1467" spans="2:4" ht="14" thickBot="1" x14ac:dyDescent="0.2">
      <c r="B1467" s="312">
        <v>43679</v>
      </c>
      <c r="C1467" s="321">
        <v>10997.35</v>
      </c>
      <c r="D1467" s="210">
        <f t="shared" si="22"/>
        <v>-1.2252951847490534E-2</v>
      </c>
    </row>
    <row r="1468" spans="2:4" ht="14" thickBot="1" x14ac:dyDescent="0.2">
      <c r="B1468" s="312">
        <v>43678</v>
      </c>
      <c r="C1468" s="321">
        <v>10980</v>
      </c>
      <c r="D1468" s="209">
        <f t="shared" si="22"/>
        <v>1.5801457194899449E-3</v>
      </c>
    </row>
    <row r="1469" spans="2:4" ht="14" thickBot="1" x14ac:dyDescent="0.2">
      <c r="B1469" s="312">
        <v>43677</v>
      </c>
      <c r="C1469" s="321">
        <v>11118</v>
      </c>
      <c r="D1469" s="209">
        <f t="shared" si="22"/>
        <v>-1.2412304371289817E-2</v>
      </c>
    </row>
    <row r="1470" spans="2:4" ht="14" thickBot="1" x14ac:dyDescent="0.2">
      <c r="B1470" s="312">
        <v>43676</v>
      </c>
      <c r="C1470" s="321">
        <v>11085.4</v>
      </c>
      <c r="D1470" s="209">
        <f t="shared" si="22"/>
        <v>2.94080502282279E-3</v>
      </c>
    </row>
    <row r="1471" spans="2:4" ht="14" thickBot="1" x14ac:dyDescent="0.2">
      <c r="B1471" s="312">
        <v>43675</v>
      </c>
      <c r="C1471" s="321">
        <v>11189.2</v>
      </c>
      <c r="D1471" s="210">
        <f t="shared" si="22"/>
        <v>-9.2768026311086382E-3</v>
      </c>
    </row>
    <row r="1472" spans="2:4" ht="14" thickBot="1" x14ac:dyDescent="0.2">
      <c r="B1472" s="312">
        <v>43672</v>
      </c>
      <c r="C1472" s="321">
        <v>11284.3</v>
      </c>
      <c r="D1472" s="210">
        <f t="shared" si="22"/>
        <v>-8.4276384002550664E-3</v>
      </c>
    </row>
    <row r="1473" spans="2:4" ht="14" thickBot="1" x14ac:dyDescent="0.2">
      <c r="B1473" s="312">
        <v>43671</v>
      </c>
      <c r="C1473" s="321">
        <v>11252.15</v>
      </c>
      <c r="D1473" s="210">
        <f t="shared" si="22"/>
        <v>2.8572317290473936E-3</v>
      </c>
    </row>
    <row r="1474" spans="2:4" ht="14" thickBot="1" x14ac:dyDescent="0.2">
      <c r="B1474" s="312">
        <v>43670</v>
      </c>
      <c r="C1474" s="321">
        <v>11271.3</v>
      </c>
      <c r="D1474" s="209">
        <f t="shared" si="22"/>
        <v>-1.6990054385918052E-3</v>
      </c>
    </row>
    <row r="1475" spans="2:4" ht="14" thickBot="1" x14ac:dyDescent="0.2">
      <c r="B1475" s="312">
        <v>43669</v>
      </c>
      <c r="C1475" s="321">
        <v>11331.05</v>
      </c>
      <c r="D1475" s="209">
        <f t="shared" si="22"/>
        <v>-5.2731212023598983E-3</v>
      </c>
    </row>
    <row r="1476" spans="2:4" ht="14" thickBot="1" x14ac:dyDescent="0.2">
      <c r="B1476" s="312">
        <v>43668</v>
      </c>
      <c r="C1476" s="321">
        <v>11346.2</v>
      </c>
      <c r="D1476" s="210">
        <f t="shared" si="22"/>
        <v>-1.3352488057677414E-3</v>
      </c>
    </row>
    <row r="1477" spans="2:4" ht="14" thickBot="1" x14ac:dyDescent="0.2">
      <c r="B1477" s="312">
        <v>43665</v>
      </c>
      <c r="C1477" s="321">
        <v>11419.25</v>
      </c>
      <c r="D1477" s="209">
        <f t="shared" si="22"/>
        <v>-6.3970926286751606E-3</v>
      </c>
    </row>
    <row r="1478" spans="2:4" ht="14" thickBot="1" x14ac:dyDescent="0.2">
      <c r="B1478" s="312">
        <v>43664</v>
      </c>
      <c r="C1478" s="321">
        <v>11596.9</v>
      </c>
      <c r="D1478" s="209">
        <f t="shared" si="22"/>
        <v>-1.531874897601937E-2</v>
      </c>
    </row>
    <row r="1479" spans="2:4" ht="14" thickBot="1" x14ac:dyDescent="0.2">
      <c r="B1479" s="312">
        <v>43663</v>
      </c>
      <c r="C1479" s="321">
        <v>11687.5</v>
      </c>
      <c r="D1479" s="209">
        <f t="shared" si="22"/>
        <v>-7.7518716577540392E-3</v>
      </c>
    </row>
    <row r="1480" spans="2:4" ht="14" thickBot="1" x14ac:dyDescent="0.2">
      <c r="B1480" s="312">
        <v>43662</v>
      </c>
      <c r="C1480" s="321">
        <v>11662.6</v>
      </c>
      <c r="D1480" s="210">
        <f t="shared" si="22"/>
        <v>2.1350299247164806E-3</v>
      </c>
    </row>
    <row r="1481" spans="2:4" ht="14" thickBot="1" x14ac:dyDescent="0.2">
      <c r="B1481" s="312">
        <v>43661</v>
      </c>
      <c r="C1481" s="321">
        <v>11588.35</v>
      </c>
      <c r="D1481" s="209">
        <f t="shared" si="22"/>
        <v>6.4072969836086457E-3</v>
      </c>
    </row>
    <row r="1482" spans="2:4" ht="14" thickBot="1" x14ac:dyDescent="0.2">
      <c r="B1482" s="312">
        <v>43658</v>
      </c>
      <c r="C1482" s="321">
        <v>11552.5</v>
      </c>
      <c r="D1482" s="210">
        <f t="shared" si="22"/>
        <v>3.1032244103008644E-3</v>
      </c>
    </row>
    <row r="1483" spans="2:4" ht="14" thickBot="1" x14ac:dyDescent="0.2">
      <c r="B1483" s="312">
        <v>43657</v>
      </c>
      <c r="C1483" s="321">
        <v>11582.9</v>
      </c>
      <c r="D1483" s="209">
        <f t="shared" ref="D1483:D1546" si="23">C1482/C1483-1</f>
        <v>-2.6245586165812851E-3</v>
      </c>
    </row>
    <row r="1484" spans="2:4" ht="14" thickBot="1" x14ac:dyDescent="0.2">
      <c r="B1484" s="312">
        <v>43656</v>
      </c>
      <c r="C1484" s="321">
        <v>11498.9</v>
      </c>
      <c r="D1484" s="209">
        <f t="shared" si="23"/>
        <v>7.3050465696717914E-3</v>
      </c>
    </row>
    <row r="1485" spans="2:4" ht="14" thickBot="1" x14ac:dyDescent="0.2">
      <c r="B1485" s="312">
        <v>43655</v>
      </c>
      <c r="C1485" s="321">
        <v>11555.9</v>
      </c>
      <c r="D1485" s="209">
        <f t="shared" si="23"/>
        <v>-4.93254527990028E-3</v>
      </c>
    </row>
    <row r="1486" spans="2:4" ht="14" thickBot="1" x14ac:dyDescent="0.2">
      <c r="B1486" s="312">
        <v>43654</v>
      </c>
      <c r="C1486" s="321">
        <v>11558.6</v>
      </c>
      <c r="D1486" s="209">
        <f t="shared" si="23"/>
        <v>-2.335923035662324E-4</v>
      </c>
    </row>
    <row r="1487" spans="2:4" ht="14" thickBot="1" x14ac:dyDescent="0.2">
      <c r="B1487" s="312">
        <v>43651</v>
      </c>
      <c r="C1487" s="321">
        <v>11811.15</v>
      </c>
      <c r="D1487" s="209">
        <f t="shared" si="23"/>
        <v>-2.1382337875651358E-2</v>
      </c>
    </row>
    <row r="1488" spans="2:4" ht="14" thickBot="1" x14ac:dyDescent="0.2">
      <c r="B1488" s="312">
        <v>43650</v>
      </c>
      <c r="C1488" s="321">
        <v>11946.75</v>
      </c>
      <c r="D1488" s="209">
        <f t="shared" si="23"/>
        <v>-1.1350367254692739E-2</v>
      </c>
    </row>
    <row r="1489" spans="2:4" ht="14" thickBot="1" x14ac:dyDescent="0.2">
      <c r="B1489" s="312">
        <v>43649</v>
      </c>
      <c r="C1489" s="321">
        <v>11916.75</v>
      </c>
      <c r="D1489" s="210">
        <f t="shared" si="23"/>
        <v>2.5174649128327786E-3</v>
      </c>
    </row>
    <row r="1490" spans="2:4" ht="14" thickBot="1" x14ac:dyDescent="0.2">
      <c r="B1490" s="312">
        <v>43648</v>
      </c>
      <c r="C1490" s="321">
        <v>11910.3</v>
      </c>
      <c r="D1490" s="209">
        <f t="shared" si="23"/>
        <v>5.4154807183715015E-4</v>
      </c>
    </row>
    <row r="1491" spans="2:4" ht="14" thickBot="1" x14ac:dyDescent="0.2">
      <c r="B1491" s="312">
        <v>43647</v>
      </c>
      <c r="C1491" s="321">
        <v>11865.6</v>
      </c>
      <c r="D1491" s="210">
        <f t="shared" si="23"/>
        <v>3.767192556634269E-3</v>
      </c>
    </row>
    <row r="1492" spans="2:4" ht="14" thickBot="1" x14ac:dyDescent="0.2">
      <c r="B1492" s="312">
        <v>43644</v>
      </c>
      <c r="C1492" s="321">
        <v>11788.85</v>
      </c>
      <c r="D1492" s="210">
        <f t="shared" si="23"/>
        <v>6.5103890540638698E-3</v>
      </c>
    </row>
    <row r="1493" spans="2:4" ht="14" thickBot="1" x14ac:dyDescent="0.2">
      <c r="B1493" s="312">
        <v>43643</v>
      </c>
      <c r="C1493" s="321">
        <v>11841.55</v>
      </c>
      <c r="D1493" s="210">
        <f t="shared" si="23"/>
        <v>-4.4504308979820273E-3</v>
      </c>
    </row>
    <row r="1494" spans="2:4" ht="14" thickBot="1" x14ac:dyDescent="0.2">
      <c r="B1494" s="312">
        <v>43642</v>
      </c>
      <c r="C1494" s="321">
        <v>11847.55</v>
      </c>
      <c r="D1494" s="209">
        <f t="shared" si="23"/>
        <v>-5.0643381965043144E-4</v>
      </c>
    </row>
    <row r="1495" spans="2:4" ht="14" thickBot="1" x14ac:dyDescent="0.2">
      <c r="B1495" s="312">
        <v>43641</v>
      </c>
      <c r="C1495" s="321">
        <v>11796.45</v>
      </c>
      <c r="D1495" s="209">
        <f t="shared" si="23"/>
        <v>4.331811689109788E-3</v>
      </c>
    </row>
    <row r="1496" spans="2:4" ht="14" thickBot="1" x14ac:dyDescent="0.2">
      <c r="B1496" s="312">
        <v>43640</v>
      </c>
      <c r="C1496" s="321">
        <v>11699.65</v>
      </c>
      <c r="D1496" s="209">
        <f t="shared" si="23"/>
        <v>8.2737517788995518E-3</v>
      </c>
    </row>
    <row r="1497" spans="2:4" ht="14" thickBot="1" x14ac:dyDescent="0.2">
      <c r="B1497" s="312">
        <v>43637</v>
      </c>
      <c r="C1497" s="321">
        <v>11724.1</v>
      </c>
      <c r="D1497" s="209">
        <f t="shared" si="23"/>
        <v>-2.0854479235080658E-3</v>
      </c>
    </row>
    <row r="1498" spans="2:4" ht="14" thickBot="1" x14ac:dyDescent="0.2">
      <c r="B1498" s="312">
        <v>43636</v>
      </c>
      <c r="C1498" s="321">
        <v>11831.75</v>
      </c>
      <c r="D1498" s="209">
        <f t="shared" si="23"/>
        <v>-9.098400490206382E-3</v>
      </c>
    </row>
    <row r="1499" spans="2:4" ht="14" thickBot="1" x14ac:dyDescent="0.2">
      <c r="B1499" s="312">
        <v>43635</v>
      </c>
      <c r="C1499" s="321">
        <v>11691.45</v>
      </c>
      <c r="D1499" s="209">
        <f t="shared" si="23"/>
        <v>1.2000222384733972E-2</v>
      </c>
    </row>
    <row r="1500" spans="2:4" ht="14" thickBot="1" x14ac:dyDescent="0.2">
      <c r="B1500" s="312">
        <v>43634</v>
      </c>
      <c r="C1500" s="321">
        <v>11691.5</v>
      </c>
      <c r="D1500" s="209">
        <f t="shared" si="23"/>
        <v>-4.2766112131609191E-6</v>
      </c>
    </row>
    <row r="1501" spans="2:4" ht="14" thickBot="1" x14ac:dyDescent="0.2">
      <c r="B1501" s="312">
        <v>43633</v>
      </c>
      <c r="C1501" s="321">
        <v>11672.15</v>
      </c>
      <c r="D1501" s="209">
        <f t="shared" si="23"/>
        <v>1.657792266206437E-3</v>
      </c>
    </row>
    <row r="1502" spans="2:4" ht="14" thickBot="1" x14ac:dyDescent="0.2">
      <c r="B1502" s="312">
        <v>43630</v>
      </c>
      <c r="C1502" s="321">
        <v>11823.3</v>
      </c>
      <c r="D1502" s="209">
        <f t="shared" si="23"/>
        <v>-1.2784078895063056E-2</v>
      </c>
    </row>
    <row r="1503" spans="2:4" ht="14" thickBot="1" x14ac:dyDescent="0.2">
      <c r="B1503" s="312">
        <v>43629</v>
      </c>
      <c r="C1503" s="321">
        <v>11914.05</v>
      </c>
      <c r="D1503" s="210">
        <f t="shared" si="23"/>
        <v>-7.6170571719944569E-3</v>
      </c>
    </row>
    <row r="1504" spans="2:4" ht="14" thickBot="1" x14ac:dyDescent="0.2">
      <c r="B1504" s="312">
        <v>43628</v>
      </c>
      <c r="C1504" s="321">
        <v>11906.2</v>
      </c>
      <c r="D1504" s="209">
        <f t="shared" si="23"/>
        <v>6.5932035410121159E-4</v>
      </c>
    </row>
    <row r="1505" spans="2:4" ht="14" thickBot="1" x14ac:dyDescent="0.2">
      <c r="B1505" s="312">
        <v>43627</v>
      </c>
      <c r="C1505" s="321">
        <v>11965.6</v>
      </c>
      <c r="D1505" s="210">
        <f t="shared" si="23"/>
        <v>-4.9642307949454567E-3</v>
      </c>
    </row>
    <row r="1506" spans="2:4" ht="14" thickBot="1" x14ac:dyDescent="0.2">
      <c r="B1506" s="312">
        <v>43626</v>
      </c>
      <c r="C1506" s="321">
        <v>11922.7</v>
      </c>
      <c r="D1506" s="210">
        <f t="shared" si="23"/>
        <v>3.5981782649903149E-3</v>
      </c>
    </row>
    <row r="1507" spans="2:4" ht="14" thickBot="1" x14ac:dyDescent="0.2">
      <c r="B1507" s="312">
        <v>43623</v>
      </c>
      <c r="C1507" s="321">
        <v>11870.65</v>
      </c>
      <c r="D1507" s="209">
        <f t="shared" si="23"/>
        <v>4.3847641030609896E-3</v>
      </c>
    </row>
    <row r="1508" spans="2:4" ht="14" thickBot="1" x14ac:dyDescent="0.2">
      <c r="B1508" s="312">
        <v>43622</v>
      </c>
      <c r="C1508" s="321">
        <v>11843.75</v>
      </c>
      <c r="D1508" s="209">
        <f t="shared" si="23"/>
        <v>2.271240105540917E-3</v>
      </c>
    </row>
    <row r="1509" spans="2:4" ht="14" thickBot="1" x14ac:dyDescent="0.2">
      <c r="B1509" s="312">
        <v>43620</v>
      </c>
      <c r="C1509" s="321">
        <v>12021.65</v>
      </c>
      <c r="D1509" s="210">
        <f t="shared" si="23"/>
        <v>-1.479830139789462E-2</v>
      </c>
    </row>
    <row r="1510" spans="2:4" ht="14" thickBot="1" x14ac:dyDescent="0.2">
      <c r="B1510" s="312">
        <v>43619</v>
      </c>
      <c r="C1510" s="321">
        <v>12088.55</v>
      </c>
      <c r="D1510" s="209">
        <f t="shared" si="23"/>
        <v>-5.5341624926066313E-3</v>
      </c>
    </row>
    <row r="1511" spans="2:4" ht="14" thickBot="1" x14ac:dyDescent="0.2">
      <c r="B1511" s="312">
        <v>43616</v>
      </c>
      <c r="C1511" s="321">
        <v>11922.8</v>
      </c>
      <c r="D1511" s="209">
        <f t="shared" si="23"/>
        <v>1.3901935786895692E-2</v>
      </c>
    </row>
    <row r="1512" spans="2:4" ht="14" thickBot="1" x14ac:dyDescent="0.2">
      <c r="B1512" s="312">
        <v>43615</v>
      </c>
      <c r="C1512" s="321">
        <v>11945.9</v>
      </c>
      <c r="D1512" s="210">
        <f t="shared" si="23"/>
        <v>-1.9337178446161563E-3</v>
      </c>
    </row>
    <row r="1513" spans="2:4" ht="14" thickBot="1" x14ac:dyDescent="0.2">
      <c r="B1513" s="312">
        <v>43614</v>
      </c>
      <c r="C1513" s="321">
        <v>11861.1</v>
      </c>
      <c r="D1513" s="210">
        <f t="shared" si="23"/>
        <v>7.1494212172562577E-3</v>
      </c>
    </row>
    <row r="1514" spans="2:4" ht="14" thickBot="1" x14ac:dyDescent="0.2">
      <c r="B1514" s="312">
        <v>43613</v>
      </c>
      <c r="C1514" s="321">
        <v>11928.75</v>
      </c>
      <c r="D1514" s="210">
        <f t="shared" si="23"/>
        <v>-5.6711725872367058E-3</v>
      </c>
    </row>
    <row r="1515" spans="2:4" ht="14" thickBot="1" x14ac:dyDescent="0.2">
      <c r="B1515" s="312">
        <v>43612</v>
      </c>
      <c r="C1515" s="321">
        <v>11924.75</v>
      </c>
      <c r="D1515" s="210">
        <f t="shared" si="23"/>
        <v>3.3543680161018941E-4</v>
      </c>
    </row>
    <row r="1516" spans="2:4" ht="14" thickBot="1" x14ac:dyDescent="0.2">
      <c r="B1516" s="312">
        <v>43609</v>
      </c>
      <c r="C1516" s="321">
        <v>11844.1</v>
      </c>
      <c r="D1516" s="210">
        <f t="shared" si="23"/>
        <v>6.809297456117358E-3</v>
      </c>
    </row>
    <row r="1517" spans="2:4" ht="14" thickBot="1" x14ac:dyDescent="0.2">
      <c r="B1517" s="312">
        <v>43608</v>
      </c>
      <c r="C1517" s="321">
        <v>11657.05</v>
      </c>
      <c r="D1517" s="209">
        <f t="shared" si="23"/>
        <v>1.6046083700421709E-2</v>
      </c>
    </row>
    <row r="1518" spans="2:4" ht="14" thickBot="1" x14ac:dyDescent="0.2">
      <c r="B1518" s="312">
        <v>43607</v>
      </c>
      <c r="C1518" s="321">
        <v>11737.9</v>
      </c>
      <c r="D1518" s="209">
        <f t="shared" si="23"/>
        <v>-6.8879441808160635E-3</v>
      </c>
    </row>
    <row r="1519" spans="2:4" ht="14" thickBot="1" x14ac:dyDescent="0.2">
      <c r="B1519" s="312">
        <v>43606</v>
      </c>
      <c r="C1519" s="321">
        <v>11709.1</v>
      </c>
      <c r="D1519" s="209">
        <f t="shared" si="23"/>
        <v>2.4596254195454748E-3</v>
      </c>
    </row>
    <row r="1520" spans="2:4" ht="14" thickBot="1" x14ac:dyDescent="0.2">
      <c r="B1520" s="312">
        <v>43605</v>
      </c>
      <c r="C1520" s="321">
        <v>11828.25</v>
      </c>
      <c r="D1520" s="210">
        <f t="shared" si="23"/>
        <v>-1.0073341364952526E-2</v>
      </c>
    </row>
    <row r="1521" spans="2:4" ht="14" thickBot="1" x14ac:dyDescent="0.2">
      <c r="B1521" s="312">
        <v>43602</v>
      </c>
      <c r="C1521" s="321">
        <v>11407.15</v>
      </c>
      <c r="D1521" s="209">
        <f t="shared" si="23"/>
        <v>3.691544338419317E-2</v>
      </c>
    </row>
    <row r="1522" spans="2:4" ht="14" thickBot="1" x14ac:dyDescent="0.2">
      <c r="B1522" s="312">
        <v>43601</v>
      </c>
      <c r="C1522" s="321">
        <v>11257.1</v>
      </c>
      <c r="D1522" s="210">
        <f t="shared" si="23"/>
        <v>1.3329365467127374E-2</v>
      </c>
    </row>
    <row r="1523" spans="2:4" ht="14" thickBot="1" x14ac:dyDescent="0.2">
      <c r="B1523" s="312">
        <v>43600</v>
      </c>
      <c r="C1523" s="321">
        <v>11157</v>
      </c>
      <c r="D1523" s="210">
        <f t="shared" si="23"/>
        <v>8.9719458635835192E-3</v>
      </c>
    </row>
    <row r="1524" spans="2:4" ht="14" thickBot="1" x14ac:dyDescent="0.2">
      <c r="B1524" s="312">
        <v>43599</v>
      </c>
      <c r="C1524" s="321">
        <v>11222.05</v>
      </c>
      <c r="D1524" s="210">
        <f t="shared" si="23"/>
        <v>-5.7966236115504222E-3</v>
      </c>
    </row>
    <row r="1525" spans="2:4" ht="14" thickBot="1" x14ac:dyDescent="0.2">
      <c r="B1525" s="312">
        <v>43598</v>
      </c>
      <c r="C1525" s="321">
        <v>11148.2</v>
      </c>
      <c r="D1525" s="210">
        <f t="shared" si="23"/>
        <v>6.6243877935450168E-3</v>
      </c>
    </row>
    <row r="1526" spans="2:4" ht="14" thickBot="1" x14ac:dyDescent="0.2">
      <c r="B1526" s="312">
        <v>43595</v>
      </c>
      <c r="C1526" s="321">
        <v>11278.9</v>
      </c>
      <c r="D1526" s="210">
        <f t="shared" si="23"/>
        <v>-1.1588009469008398E-2</v>
      </c>
    </row>
    <row r="1527" spans="2:4" ht="14" thickBot="1" x14ac:dyDescent="0.2">
      <c r="B1527" s="312">
        <v>43594</v>
      </c>
      <c r="C1527" s="321">
        <v>11301.8</v>
      </c>
      <c r="D1527" s="210">
        <f t="shared" si="23"/>
        <v>-2.0262259109168346E-3</v>
      </c>
    </row>
    <row r="1528" spans="2:4" ht="14" thickBot="1" x14ac:dyDescent="0.2">
      <c r="B1528" s="312">
        <v>43593</v>
      </c>
      <c r="C1528" s="321">
        <v>11359.45</v>
      </c>
      <c r="D1528" s="210">
        <f t="shared" si="23"/>
        <v>-5.0750696556612906E-3</v>
      </c>
    </row>
    <row r="1529" spans="2:4" ht="14" thickBot="1" x14ac:dyDescent="0.2">
      <c r="B1529" s="312">
        <v>43592</v>
      </c>
      <c r="C1529" s="321">
        <v>11497.9</v>
      </c>
      <c r="D1529" s="210">
        <f t="shared" si="23"/>
        <v>-1.2041329286217373E-2</v>
      </c>
    </row>
    <row r="1530" spans="2:4" ht="14" thickBot="1" x14ac:dyDescent="0.2">
      <c r="B1530" s="312">
        <v>43591</v>
      </c>
      <c r="C1530" s="321">
        <v>11598.25</v>
      </c>
      <c r="D1530" s="209">
        <f t="shared" si="23"/>
        <v>-8.652167352833473E-3</v>
      </c>
    </row>
    <row r="1531" spans="2:4" ht="14" thickBot="1" x14ac:dyDescent="0.2">
      <c r="B1531" s="312">
        <v>43588</v>
      </c>
      <c r="C1531" s="321">
        <v>11712.25</v>
      </c>
      <c r="D1531" s="209">
        <f t="shared" si="23"/>
        <v>-9.7333987918631903E-3</v>
      </c>
    </row>
    <row r="1532" spans="2:4" ht="14" thickBot="1" x14ac:dyDescent="0.2">
      <c r="B1532" s="312">
        <v>43587</v>
      </c>
      <c r="C1532" s="321">
        <v>11724.75</v>
      </c>
      <c r="D1532" s="209">
        <f t="shared" si="23"/>
        <v>-1.0661208128105448E-3</v>
      </c>
    </row>
    <row r="1533" spans="2:4" ht="14" thickBot="1" x14ac:dyDescent="0.2">
      <c r="B1533" s="312">
        <v>43585</v>
      </c>
      <c r="C1533" s="321">
        <v>11748.15</v>
      </c>
      <c r="D1533" s="210">
        <f t="shared" si="23"/>
        <v>-1.9918029647221225E-3</v>
      </c>
    </row>
    <row r="1534" spans="2:4" ht="14" thickBot="1" x14ac:dyDescent="0.2">
      <c r="B1534" s="312">
        <v>43581</v>
      </c>
      <c r="C1534" s="321">
        <v>11754.65</v>
      </c>
      <c r="D1534" s="210">
        <f t="shared" si="23"/>
        <v>-5.5297265337550527E-4</v>
      </c>
    </row>
    <row r="1535" spans="2:4" ht="14" thickBot="1" x14ac:dyDescent="0.2">
      <c r="B1535" s="312">
        <v>43580</v>
      </c>
      <c r="C1535" s="321">
        <v>11641.8</v>
      </c>
      <c r="D1535" s="209">
        <f t="shared" si="23"/>
        <v>9.6935181844732821E-3</v>
      </c>
    </row>
    <row r="1536" spans="2:4" ht="14" thickBot="1" x14ac:dyDescent="0.2">
      <c r="B1536" s="312">
        <v>43579</v>
      </c>
      <c r="C1536" s="321">
        <v>11726.15</v>
      </c>
      <c r="D1536" s="209">
        <f t="shared" si="23"/>
        <v>-7.1933243221347087E-3</v>
      </c>
    </row>
    <row r="1537" spans="2:4" ht="14" thickBot="1" x14ac:dyDescent="0.2">
      <c r="B1537" s="312">
        <v>43578</v>
      </c>
      <c r="C1537" s="321">
        <v>11575.95</v>
      </c>
      <c r="D1537" s="210">
        <f t="shared" si="23"/>
        <v>1.2975176983314407E-2</v>
      </c>
    </row>
    <row r="1538" spans="2:4" ht="14" thickBot="1" x14ac:dyDescent="0.2">
      <c r="B1538" s="312">
        <v>43577</v>
      </c>
      <c r="C1538" s="321">
        <v>11594.45</v>
      </c>
      <c r="D1538" s="210">
        <f t="shared" si="23"/>
        <v>-1.5955909939668889E-3</v>
      </c>
    </row>
    <row r="1539" spans="2:4" ht="14" thickBot="1" x14ac:dyDescent="0.2">
      <c r="B1539" s="312">
        <v>43573</v>
      </c>
      <c r="C1539" s="321">
        <v>11752.8</v>
      </c>
      <c r="D1539" s="209">
        <f t="shared" si="23"/>
        <v>-1.3473385065686405E-2</v>
      </c>
    </row>
    <row r="1540" spans="2:4" ht="14" thickBot="1" x14ac:dyDescent="0.2">
      <c r="B1540" s="312">
        <v>43571</v>
      </c>
      <c r="C1540" s="321">
        <v>11787.15</v>
      </c>
      <c r="D1540" s="210">
        <f t="shared" si="23"/>
        <v>-2.9141904531629903E-3</v>
      </c>
    </row>
    <row r="1541" spans="2:4" ht="14" thickBot="1" x14ac:dyDescent="0.2">
      <c r="B1541" s="312">
        <v>43570</v>
      </c>
      <c r="C1541" s="321">
        <v>11690.35</v>
      </c>
      <c r="D1541" s="210">
        <f t="shared" si="23"/>
        <v>8.2803337795702703E-3</v>
      </c>
    </row>
    <row r="1542" spans="2:4" ht="14" thickBot="1" x14ac:dyDescent="0.2">
      <c r="B1542" s="312">
        <v>43567</v>
      </c>
      <c r="C1542" s="321">
        <v>11643.45</v>
      </c>
      <c r="D1542" s="209">
        <f t="shared" si="23"/>
        <v>4.0280157513450376E-3</v>
      </c>
    </row>
    <row r="1543" spans="2:4" ht="14" thickBot="1" x14ac:dyDescent="0.2">
      <c r="B1543" s="312">
        <v>43566</v>
      </c>
      <c r="C1543" s="321">
        <v>11596.7</v>
      </c>
      <c r="D1543" s="209">
        <f t="shared" si="23"/>
        <v>4.0313192546155285E-3</v>
      </c>
    </row>
    <row r="1544" spans="2:4" ht="14" thickBot="1" x14ac:dyDescent="0.2">
      <c r="B1544" s="312">
        <v>43565</v>
      </c>
      <c r="C1544" s="321">
        <v>11584.3</v>
      </c>
      <c r="D1544" s="210">
        <f t="shared" si="23"/>
        <v>1.0704142675863615E-3</v>
      </c>
    </row>
    <row r="1545" spans="2:4" ht="14" thickBot="1" x14ac:dyDescent="0.2">
      <c r="B1545" s="312">
        <v>43564</v>
      </c>
      <c r="C1545" s="321">
        <v>11671.95</v>
      </c>
      <c r="D1545" s="210">
        <f t="shared" si="23"/>
        <v>-7.5094564318731738E-3</v>
      </c>
    </row>
    <row r="1546" spans="2:4" ht="14" thickBot="1" x14ac:dyDescent="0.2">
      <c r="B1546" s="312">
        <v>43563</v>
      </c>
      <c r="C1546" s="321">
        <v>11604.5</v>
      </c>
      <c r="D1546" s="210">
        <f t="shared" si="23"/>
        <v>5.8124003619286491E-3</v>
      </c>
    </row>
    <row r="1547" spans="2:4" ht="14" thickBot="1" x14ac:dyDescent="0.2">
      <c r="B1547" s="312">
        <v>43560</v>
      </c>
      <c r="C1547" s="321">
        <v>11665.95</v>
      </c>
      <c r="D1547" s="209">
        <f t="shared" ref="D1547:D1610" si="24">C1546/C1547-1</f>
        <v>-5.2674664300808027E-3</v>
      </c>
    </row>
    <row r="1548" spans="2:4" ht="14" thickBot="1" x14ac:dyDescent="0.2">
      <c r="B1548" s="312">
        <v>43559</v>
      </c>
      <c r="C1548" s="321">
        <v>11598</v>
      </c>
      <c r="D1548" s="210">
        <f t="shared" si="24"/>
        <v>5.8587687532334343E-3</v>
      </c>
    </row>
    <row r="1549" spans="2:4" ht="14" thickBot="1" x14ac:dyDescent="0.2">
      <c r="B1549" s="312">
        <v>43558</v>
      </c>
      <c r="C1549" s="321">
        <v>11643.95</v>
      </c>
      <c r="D1549" s="210">
        <f t="shared" si="24"/>
        <v>-3.9462553514916232E-3</v>
      </c>
    </row>
    <row r="1550" spans="2:4" ht="14" thickBot="1" x14ac:dyDescent="0.2">
      <c r="B1550" s="312">
        <v>43557</v>
      </c>
      <c r="C1550" s="321">
        <v>11713.2</v>
      </c>
      <c r="D1550" s="209">
        <f t="shared" si="24"/>
        <v>-5.9121333196735515E-3</v>
      </c>
    </row>
    <row r="1551" spans="2:4" ht="14" thickBot="1" x14ac:dyDescent="0.2">
      <c r="B1551" s="312">
        <v>43556</v>
      </c>
      <c r="C1551" s="321">
        <v>11669.15</v>
      </c>
      <c r="D1551" s="209">
        <f t="shared" si="24"/>
        <v>3.7749107689935002E-3</v>
      </c>
    </row>
    <row r="1552" spans="2:4" ht="14" thickBot="1" x14ac:dyDescent="0.2">
      <c r="B1552" s="312">
        <v>43553</v>
      </c>
      <c r="C1552" s="321">
        <v>11623.9</v>
      </c>
      <c r="D1552" s="210">
        <f t="shared" si="24"/>
        <v>3.8928414731715932E-3</v>
      </c>
    </row>
    <row r="1553" spans="2:4" ht="14" thickBot="1" x14ac:dyDescent="0.2">
      <c r="B1553" s="312">
        <v>43552</v>
      </c>
      <c r="C1553" s="321">
        <v>11570</v>
      </c>
      <c r="D1553" s="209">
        <f t="shared" si="24"/>
        <v>4.6585998271391205E-3</v>
      </c>
    </row>
    <row r="1554" spans="2:4" ht="14" thickBot="1" x14ac:dyDescent="0.2">
      <c r="B1554" s="312">
        <v>43551</v>
      </c>
      <c r="C1554" s="321">
        <v>11445.05</v>
      </c>
      <c r="D1554" s="210">
        <f t="shared" si="24"/>
        <v>1.0917383497669464E-2</v>
      </c>
    </row>
    <row r="1555" spans="2:4" ht="14" thickBot="1" x14ac:dyDescent="0.2">
      <c r="B1555" s="312">
        <v>43550</v>
      </c>
      <c r="C1555" s="321">
        <v>11483.25</v>
      </c>
      <c r="D1555" s="210">
        <f t="shared" si="24"/>
        <v>-3.3265843728910172E-3</v>
      </c>
    </row>
    <row r="1556" spans="2:4" ht="14" thickBot="1" x14ac:dyDescent="0.2">
      <c r="B1556" s="312">
        <v>43549</v>
      </c>
      <c r="C1556" s="321">
        <v>11354.25</v>
      </c>
      <c r="D1556" s="210">
        <f t="shared" si="24"/>
        <v>1.1361384503600025E-2</v>
      </c>
    </row>
    <row r="1557" spans="2:4" ht="14" thickBot="1" x14ac:dyDescent="0.2">
      <c r="B1557" s="312">
        <v>43546</v>
      </c>
      <c r="C1557" s="321">
        <v>11456.9</v>
      </c>
      <c r="D1557" s="209">
        <f t="shared" si="24"/>
        <v>-8.9596662273389027E-3</v>
      </c>
    </row>
    <row r="1558" spans="2:4" ht="14" thickBot="1" x14ac:dyDescent="0.2">
      <c r="B1558" s="312">
        <v>43544</v>
      </c>
      <c r="C1558" s="321">
        <v>11521.05</v>
      </c>
      <c r="D1558" s="210">
        <f t="shared" si="24"/>
        <v>-5.5680688826105218E-3</v>
      </c>
    </row>
    <row r="1559" spans="2:4" ht="14" thickBot="1" x14ac:dyDescent="0.2">
      <c r="B1559" s="312">
        <v>43543</v>
      </c>
      <c r="C1559" s="321">
        <v>11532.4</v>
      </c>
      <c r="D1559" s="210">
        <f t="shared" si="24"/>
        <v>-9.8418369116581861E-4</v>
      </c>
    </row>
    <row r="1560" spans="2:4" ht="14" thickBot="1" x14ac:dyDescent="0.2">
      <c r="B1560" s="312">
        <v>43542</v>
      </c>
      <c r="C1560" s="321">
        <v>11462.2</v>
      </c>
      <c r="D1560" s="210">
        <f t="shared" si="24"/>
        <v>6.1244787213623475E-3</v>
      </c>
    </row>
    <row r="1561" spans="2:4" ht="14" thickBot="1" x14ac:dyDescent="0.2">
      <c r="B1561" s="312">
        <v>43539</v>
      </c>
      <c r="C1561" s="321">
        <v>11426.85</v>
      </c>
      <c r="D1561" s="209">
        <f t="shared" si="24"/>
        <v>3.0935909721401256E-3</v>
      </c>
    </row>
    <row r="1562" spans="2:4" ht="14" thickBot="1" x14ac:dyDescent="0.2">
      <c r="B1562" s="312">
        <v>43538</v>
      </c>
      <c r="C1562" s="321">
        <v>11343.25</v>
      </c>
      <c r="D1562" s="209">
        <f t="shared" si="24"/>
        <v>7.3700218191434796E-3</v>
      </c>
    </row>
    <row r="1563" spans="2:4" ht="14" thickBot="1" x14ac:dyDescent="0.2">
      <c r="B1563" s="312">
        <v>43537</v>
      </c>
      <c r="C1563" s="321">
        <v>11341.7</v>
      </c>
      <c r="D1563" s="210">
        <f t="shared" si="24"/>
        <v>1.3666381582999598E-4</v>
      </c>
    </row>
    <row r="1564" spans="2:4" ht="14" thickBot="1" x14ac:dyDescent="0.2">
      <c r="B1564" s="312">
        <v>43536</v>
      </c>
      <c r="C1564" s="321">
        <v>11301.2</v>
      </c>
      <c r="D1564" s="209">
        <f t="shared" si="24"/>
        <v>3.5836902275865334E-3</v>
      </c>
    </row>
    <row r="1565" spans="2:4" ht="14" thickBot="1" x14ac:dyDescent="0.2">
      <c r="B1565" s="312">
        <v>43535</v>
      </c>
      <c r="C1565" s="321">
        <v>11168.05</v>
      </c>
      <c r="D1565" s="210">
        <f t="shared" si="24"/>
        <v>1.1922403642534052E-2</v>
      </c>
    </row>
    <row r="1566" spans="2:4" ht="14" thickBot="1" x14ac:dyDescent="0.2">
      <c r="B1566" s="312">
        <v>43532</v>
      </c>
      <c r="C1566" s="321">
        <v>11035.4</v>
      </c>
      <c r="D1566" s="209">
        <f t="shared" si="24"/>
        <v>1.2020407053663584E-2</v>
      </c>
    </row>
    <row r="1567" spans="2:4" ht="14" thickBot="1" x14ac:dyDescent="0.2">
      <c r="B1567" s="312">
        <v>43531</v>
      </c>
      <c r="C1567" s="321">
        <v>11058.2</v>
      </c>
      <c r="D1567" s="209">
        <f t="shared" si="24"/>
        <v>-2.0618183791214495E-3</v>
      </c>
    </row>
    <row r="1568" spans="2:4" ht="14" thickBot="1" x14ac:dyDescent="0.2">
      <c r="B1568" s="312">
        <v>43530</v>
      </c>
      <c r="C1568" s="321">
        <v>11053</v>
      </c>
      <c r="D1568" s="210">
        <f t="shared" si="24"/>
        <v>4.7046050845933607E-4</v>
      </c>
    </row>
    <row r="1569" spans="2:4" ht="14" thickBot="1" x14ac:dyDescent="0.2">
      <c r="B1569" s="312">
        <v>43529</v>
      </c>
      <c r="C1569" s="321">
        <v>10987.45</v>
      </c>
      <c r="D1569" s="210">
        <f t="shared" si="24"/>
        <v>5.9658974557335043E-3</v>
      </c>
    </row>
    <row r="1570" spans="2:4" ht="14" thickBot="1" x14ac:dyDescent="0.2">
      <c r="B1570" s="312">
        <v>43525</v>
      </c>
      <c r="C1570" s="321">
        <v>10863.5</v>
      </c>
      <c r="D1570" s="210">
        <f t="shared" si="24"/>
        <v>1.1409766649790543E-2</v>
      </c>
    </row>
    <row r="1571" spans="2:4" ht="14" thickBot="1" x14ac:dyDescent="0.2">
      <c r="B1571" s="312">
        <v>43524</v>
      </c>
      <c r="C1571" s="321">
        <v>10792.5</v>
      </c>
      <c r="D1571" s="210">
        <f t="shared" si="24"/>
        <v>6.5786425758629363E-3</v>
      </c>
    </row>
    <row r="1572" spans="2:4" ht="14" thickBot="1" x14ac:dyDescent="0.2">
      <c r="B1572" s="312">
        <v>43523</v>
      </c>
      <c r="C1572" s="321">
        <v>10806.65</v>
      </c>
      <c r="D1572" s="209">
        <f t="shared" si="24"/>
        <v>-1.3093789472222728E-3</v>
      </c>
    </row>
    <row r="1573" spans="2:4" ht="14" thickBot="1" x14ac:dyDescent="0.2">
      <c r="B1573" s="312">
        <v>43522</v>
      </c>
      <c r="C1573" s="321">
        <v>10835.3</v>
      </c>
      <c r="D1573" s="210">
        <f t="shared" si="24"/>
        <v>-2.6441353723477556E-3</v>
      </c>
    </row>
    <row r="1574" spans="2:4" ht="14" thickBot="1" x14ac:dyDescent="0.2">
      <c r="B1574" s="312">
        <v>43521</v>
      </c>
      <c r="C1574" s="321">
        <v>10880.1</v>
      </c>
      <c r="D1574" s="210">
        <f t="shared" si="24"/>
        <v>-4.1176092131507414E-3</v>
      </c>
    </row>
    <row r="1575" spans="2:4" ht="14" thickBot="1" x14ac:dyDescent="0.2">
      <c r="B1575" s="312">
        <v>43518</v>
      </c>
      <c r="C1575" s="321">
        <v>10791.65</v>
      </c>
      <c r="D1575" s="209">
        <f t="shared" si="24"/>
        <v>8.1961516542883306E-3</v>
      </c>
    </row>
    <row r="1576" spans="2:4" ht="14" thickBot="1" x14ac:dyDescent="0.2">
      <c r="B1576" s="312">
        <v>43517</v>
      </c>
      <c r="C1576" s="321">
        <v>10789.85</v>
      </c>
      <c r="D1576" s="209">
        <f t="shared" si="24"/>
        <v>1.6682344981622244E-4</v>
      </c>
    </row>
    <row r="1577" spans="2:4" ht="14" thickBot="1" x14ac:dyDescent="0.2">
      <c r="B1577" s="312">
        <v>43516</v>
      </c>
      <c r="C1577" s="321">
        <v>10735.45</v>
      </c>
      <c r="D1577" s="209">
        <f t="shared" si="24"/>
        <v>5.0673236799574362E-3</v>
      </c>
    </row>
    <row r="1578" spans="2:4" ht="14" thickBot="1" x14ac:dyDescent="0.2">
      <c r="B1578" s="312">
        <v>43515</v>
      </c>
      <c r="C1578" s="321">
        <v>10604.35</v>
      </c>
      <c r="D1578" s="210">
        <f t="shared" si="24"/>
        <v>1.2362851094126492E-2</v>
      </c>
    </row>
    <row r="1579" spans="2:4" ht="14" thickBot="1" x14ac:dyDescent="0.2">
      <c r="B1579" s="312">
        <v>43514</v>
      </c>
      <c r="C1579" s="321">
        <v>10640.95</v>
      </c>
      <c r="D1579" s="209">
        <f t="shared" si="24"/>
        <v>-3.4395425220492548E-3</v>
      </c>
    </row>
    <row r="1580" spans="2:4" ht="14" thickBot="1" x14ac:dyDescent="0.2">
      <c r="B1580" s="312">
        <v>43511</v>
      </c>
      <c r="C1580" s="321">
        <v>10724.4</v>
      </c>
      <c r="D1580" s="210">
        <f t="shared" si="24"/>
        <v>-7.7813210995485438E-3</v>
      </c>
    </row>
    <row r="1581" spans="2:4" ht="14" thickBot="1" x14ac:dyDescent="0.2">
      <c r="B1581" s="312">
        <v>43510</v>
      </c>
      <c r="C1581" s="321">
        <v>10746.05</v>
      </c>
      <c r="D1581" s="210">
        <f t="shared" si="24"/>
        <v>-2.0146937711996715E-3</v>
      </c>
    </row>
    <row r="1582" spans="2:4" ht="14" thickBot="1" x14ac:dyDescent="0.2">
      <c r="B1582" s="312">
        <v>43509</v>
      </c>
      <c r="C1582" s="321">
        <v>10793.65</v>
      </c>
      <c r="D1582" s="209">
        <f t="shared" si="24"/>
        <v>-4.4100003242647512E-3</v>
      </c>
    </row>
    <row r="1583" spans="2:4" ht="14" thickBot="1" x14ac:dyDescent="0.2">
      <c r="B1583" s="312">
        <v>43508</v>
      </c>
      <c r="C1583" s="321">
        <v>10831.4</v>
      </c>
      <c r="D1583" s="210">
        <f t="shared" si="24"/>
        <v>-3.485237365437488E-3</v>
      </c>
    </row>
    <row r="1584" spans="2:4" ht="14" thickBot="1" x14ac:dyDescent="0.2">
      <c r="B1584" s="312">
        <v>43507</v>
      </c>
      <c r="C1584" s="321">
        <v>10888.8</v>
      </c>
      <c r="D1584" s="209">
        <f t="shared" si="24"/>
        <v>-5.2714716038497755E-3</v>
      </c>
    </row>
    <row r="1585" spans="2:4" ht="14" thickBot="1" x14ac:dyDescent="0.2">
      <c r="B1585" s="312">
        <v>43504</v>
      </c>
      <c r="C1585" s="321">
        <v>10943.6</v>
      </c>
      <c r="D1585" s="209">
        <f t="shared" si="24"/>
        <v>-5.0074929639242205E-3</v>
      </c>
    </row>
    <row r="1586" spans="2:4" ht="14" thickBot="1" x14ac:dyDescent="0.2">
      <c r="B1586" s="312">
        <v>43503</v>
      </c>
      <c r="C1586" s="321">
        <v>11069.4</v>
      </c>
      <c r="D1586" s="209">
        <f t="shared" si="24"/>
        <v>-1.1364662944694293E-2</v>
      </c>
    </row>
    <row r="1587" spans="2:4" ht="14" thickBot="1" x14ac:dyDescent="0.2">
      <c r="B1587" s="312">
        <v>43502</v>
      </c>
      <c r="C1587" s="321">
        <v>11062.45</v>
      </c>
      <c r="D1587" s="209">
        <f t="shared" si="24"/>
        <v>6.2825142712497062E-4</v>
      </c>
    </row>
    <row r="1588" spans="2:4" ht="14" thickBot="1" x14ac:dyDescent="0.2">
      <c r="B1588" s="312">
        <v>43501</v>
      </c>
      <c r="C1588" s="321">
        <v>10934.35</v>
      </c>
      <c r="D1588" s="209">
        <f t="shared" si="24"/>
        <v>1.1715374027720049E-2</v>
      </c>
    </row>
    <row r="1589" spans="2:4" ht="14" thickBot="1" x14ac:dyDescent="0.2">
      <c r="B1589" s="312">
        <v>43500</v>
      </c>
      <c r="C1589" s="321">
        <v>10912.25</v>
      </c>
      <c r="D1589" s="209">
        <f t="shared" si="24"/>
        <v>2.0252468555981284E-3</v>
      </c>
    </row>
    <row r="1590" spans="2:4" ht="14" thickBot="1" x14ac:dyDescent="0.2">
      <c r="B1590" s="312">
        <v>43497</v>
      </c>
      <c r="C1590" s="321">
        <v>10893.65</v>
      </c>
      <c r="D1590" s="209">
        <f t="shared" si="24"/>
        <v>1.7074167060626699E-3</v>
      </c>
    </row>
    <row r="1591" spans="2:4" ht="14" thickBot="1" x14ac:dyDescent="0.2">
      <c r="B1591" s="312">
        <v>43496</v>
      </c>
      <c r="C1591" s="321">
        <v>10830.95</v>
      </c>
      <c r="D1591" s="209">
        <f t="shared" si="24"/>
        <v>5.7889658801857369E-3</v>
      </c>
    </row>
    <row r="1592" spans="2:4" ht="14" thickBot="1" x14ac:dyDescent="0.2">
      <c r="B1592" s="312">
        <v>43495</v>
      </c>
      <c r="C1592" s="321">
        <v>10651.8</v>
      </c>
      <c r="D1592" s="210">
        <f t="shared" si="24"/>
        <v>1.6818753637882988E-2</v>
      </c>
    </row>
    <row r="1593" spans="2:4" ht="14" thickBot="1" x14ac:dyDescent="0.2">
      <c r="B1593" s="312">
        <v>43494</v>
      </c>
      <c r="C1593" s="321">
        <v>10652.2</v>
      </c>
      <c r="D1593" s="210">
        <f t="shared" si="24"/>
        <v>-3.7550928446816734E-5</v>
      </c>
    </row>
    <row r="1594" spans="2:4" ht="14" thickBot="1" x14ac:dyDescent="0.2">
      <c r="B1594" s="312">
        <v>43493</v>
      </c>
      <c r="C1594" s="321">
        <v>10661.55</v>
      </c>
      <c r="D1594" s="210">
        <f t="shared" si="24"/>
        <v>-8.7698317786799596E-4</v>
      </c>
    </row>
    <row r="1595" spans="2:4" ht="14" thickBot="1" x14ac:dyDescent="0.2">
      <c r="B1595" s="312">
        <v>43490</v>
      </c>
      <c r="C1595" s="321">
        <v>10780.55</v>
      </c>
      <c r="D1595" s="209">
        <f t="shared" si="24"/>
        <v>-1.1038397855396953E-2</v>
      </c>
    </row>
    <row r="1596" spans="2:4" ht="14" thickBot="1" x14ac:dyDescent="0.2">
      <c r="B1596" s="312">
        <v>43489</v>
      </c>
      <c r="C1596" s="321">
        <v>10849.8</v>
      </c>
      <c r="D1596" s="209">
        <f t="shared" si="24"/>
        <v>-6.3826061309886217E-3</v>
      </c>
    </row>
    <row r="1597" spans="2:4" ht="14" thickBot="1" x14ac:dyDescent="0.2">
      <c r="B1597" s="312">
        <v>43488</v>
      </c>
      <c r="C1597" s="321">
        <v>10831.5</v>
      </c>
      <c r="D1597" s="210">
        <f t="shared" si="24"/>
        <v>1.6895166874393297E-3</v>
      </c>
    </row>
    <row r="1598" spans="2:4" ht="14" thickBot="1" x14ac:dyDescent="0.2">
      <c r="B1598" s="312">
        <v>43487</v>
      </c>
      <c r="C1598" s="321">
        <v>10922.75</v>
      </c>
      <c r="D1598" s="209">
        <f t="shared" si="24"/>
        <v>-8.3541232748163274E-3</v>
      </c>
    </row>
    <row r="1599" spans="2:4" ht="14" thickBot="1" x14ac:dyDescent="0.2">
      <c r="B1599" s="312">
        <v>43486</v>
      </c>
      <c r="C1599" s="321">
        <v>10961.85</v>
      </c>
      <c r="D1599" s="210">
        <f t="shared" si="24"/>
        <v>-3.5669161683474782E-3</v>
      </c>
    </row>
    <row r="1600" spans="2:4" ht="14" thickBot="1" x14ac:dyDescent="0.2">
      <c r="B1600" s="312">
        <v>43483</v>
      </c>
      <c r="C1600" s="321">
        <v>10906.95</v>
      </c>
      <c r="D1600" s="210">
        <f t="shared" si="24"/>
        <v>5.0334878219850943E-3</v>
      </c>
    </row>
    <row r="1601" spans="2:4" ht="14" thickBot="1" x14ac:dyDescent="0.2">
      <c r="B1601" s="312">
        <v>43482</v>
      </c>
      <c r="C1601" s="321">
        <v>10905.2</v>
      </c>
      <c r="D1601" s="209">
        <f t="shared" si="24"/>
        <v>1.6047390235840453E-4</v>
      </c>
    </row>
    <row r="1602" spans="2:4" ht="14" thickBot="1" x14ac:dyDescent="0.2">
      <c r="B1602" s="312">
        <v>43481</v>
      </c>
      <c r="C1602" s="321">
        <v>10890.3</v>
      </c>
      <c r="D1602" s="209">
        <f t="shared" si="24"/>
        <v>1.368190040678563E-3</v>
      </c>
    </row>
    <row r="1603" spans="2:4" ht="14" thickBot="1" x14ac:dyDescent="0.2">
      <c r="B1603" s="312">
        <v>43480</v>
      </c>
      <c r="C1603" s="321">
        <v>10886.8</v>
      </c>
      <c r="D1603" s="210">
        <f t="shared" si="24"/>
        <v>3.2149024506744617E-4</v>
      </c>
    </row>
    <row r="1604" spans="2:4" ht="14" thickBot="1" x14ac:dyDescent="0.2">
      <c r="B1604" s="312">
        <v>43479</v>
      </c>
      <c r="C1604" s="321">
        <v>10737.6</v>
      </c>
      <c r="D1604" s="210">
        <f t="shared" si="24"/>
        <v>1.3895097600953532E-2</v>
      </c>
    </row>
    <row r="1605" spans="2:4" ht="14" thickBot="1" x14ac:dyDescent="0.2">
      <c r="B1605" s="312">
        <v>43476</v>
      </c>
      <c r="C1605" s="321">
        <v>10794.95</v>
      </c>
      <c r="D1605" s="209">
        <f t="shared" si="24"/>
        <v>-5.3126693500201716E-3</v>
      </c>
    </row>
    <row r="1606" spans="2:4" ht="14" thickBot="1" x14ac:dyDescent="0.2">
      <c r="B1606" s="312">
        <v>43475</v>
      </c>
      <c r="C1606" s="321">
        <v>10821.6</v>
      </c>
      <c r="D1606" s="209">
        <f t="shared" si="24"/>
        <v>-2.4626672580764231E-3</v>
      </c>
    </row>
    <row r="1607" spans="2:4" ht="14" thickBot="1" x14ac:dyDescent="0.2">
      <c r="B1607" s="312">
        <v>43474</v>
      </c>
      <c r="C1607" s="321">
        <v>10855.15</v>
      </c>
      <c r="D1607" s="209">
        <f t="shared" si="24"/>
        <v>-3.0906988848610206E-3</v>
      </c>
    </row>
    <row r="1608" spans="2:4" ht="14" thickBot="1" x14ac:dyDescent="0.2">
      <c r="B1608" s="312">
        <v>43473</v>
      </c>
      <c r="C1608" s="321">
        <v>10802.15</v>
      </c>
      <c r="D1608" s="209">
        <f t="shared" si="24"/>
        <v>4.9064306642658817E-3</v>
      </c>
    </row>
    <row r="1609" spans="2:4" ht="14" thickBot="1" x14ac:dyDescent="0.2">
      <c r="B1609" s="312">
        <v>43472</v>
      </c>
      <c r="C1609" s="321">
        <v>10771.8</v>
      </c>
      <c r="D1609" s="210">
        <f t="shared" si="24"/>
        <v>2.8175421006702006E-3</v>
      </c>
    </row>
    <row r="1610" spans="2:4" ht="14" thickBot="1" x14ac:dyDescent="0.2">
      <c r="B1610" s="312">
        <v>43469</v>
      </c>
      <c r="C1610" s="321">
        <v>10727.35</v>
      </c>
      <c r="D1610" s="209">
        <f t="shared" si="24"/>
        <v>4.1436142197279757E-3</v>
      </c>
    </row>
    <row r="1611" spans="2:4" ht="14" thickBot="1" x14ac:dyDescent="0.2">
      <c r="B1611" s="312">
        <v>43468</v>
      </c>
      <c r="C1611" s="321">
        <v>10672.25</v>
      </c>
      <c r="D1611" s="209">
        <f t="shared" ref="D1611:D1674" si="25">C1610/C1611-1</f>
        <v>5.1629225327367578E-3</v>
      </c>
    </row>
    <row r="1612" spans="2:4" ht="14" thickBot="1" x14ac:dyDescent="0.2">
      <c r="B1612" s="312">
        <v>43467</v>
      </c>
      <c r="C1612" s="321">
        <v>10792.5</v>
      </c>
      <c r="D1612" s="209">
        <f t="shared" si="25"/>
        <v>-1.1141996757007222E-2</v>
      </c>
    </row>
    <row r="1613" spans="2:4" ht="14" thickBot="1" x14ac:dyDescent="0.2">
      <c r="B1613" s="312">
        <v>43466</v>
      </c>
      <c r="C1613" s="321">
        <v>10910.1</v>
      </c>
      <c r="D1613" s="209">
        <f t="shared" si="25"/>
        <v>-1.0779002942227889E-2</v>
      </c>
    </row>
    <row r="1614" spans="2:4" ht="14" thickBot="1" x14ac:dyDescent="0.2">
      <c r="B1614" s="312">
        <v>43465</v>
      </c>
      <c r="C1614" s="321">
        <v>10862.55</v>
      </c>
      <c r="D1614" s="209">
        <f t="shared" si="25"/>
        <v>4.3774251902177763E-3</v>
      </c>
    </row>
    <row r="1615" spans="2:4" ht="14" thickBot="1" x14ac:dyDescent="0.2">
      <c r="B1615" s="312">
        <v>43462</v>
      </c>
      <c r="C1615" s="321">
        <v>10859.9</v>
      </c>
      <c r="D1615" s="209">
        <f t="shared" si="25"/>
        <v>2.4401697989850923E-4</v>
      </c>
    </row>
    <row r="1616" spans="2:4" ht="14" thickBot="1" x14ac:dyDescent="0.2">
      <c r="B1616" s="312">
        <v>43461</v>
      </c>
      <c r="C1616" s="321">
        <v>10779.8</v>
      </c>
      <c r="D1616" s="209">
        <f t="shared" si="25"/>
        <v>7.4305645744818793E-3</v>
      </c>
    </row>
    <row r="1617" spans="2:4" ht="14" thickBot="1" x14ac:dyDescent="0.2">
      <c r="B1617" s="312">
        <v>43460</v>
      </c>
      <c r="C1617" s="321">
        <v>10729.85</v>
      </c>
      <c r="D1617" s="210">
        <f t="shared" si="25"/>
        <v>4.6552374916704053E-3</v>
      </c>
    </row>
    <row r="1618" spans="2:4" ht="14" thickBot="1" x14ac:dyDescent="0.2">
      <c r="B1618" s="312">
        <v>43458</v>
      </c>
      <c r="C1618" s="321">
        <v>10663.5</v>
      </c>
      <c r="D1618" s="209">
        <f t="shared" si="25"/>
        <v>6.2221597036620224E-3</v>
      </c>
    </row>
    <row r="1619" spans="2:4" ht="14" thickBot="1" x14ac:dyDescent="0.2">
      <c r="B1619" s="312">
        <v>43455</v>
      </c>
      <c r="C1619" s="321">
        <v>10754</v>
      </c>
      <c r="D1619" s="210">
        <f t="shared" si="25"/>
        <v>-8.4154733122558945E-3</v>
      </c>
    </row>
    <row r="1620" spans="2:4" ht="14" thickBot="1" x14ac:dyDescent="0.2">
      <c r="B1620" s="312">
        <v>43454</v>
      </c>
      <c r="C1620" s="321">
        <v>10951.7</v>
      </c>
      <c r="D1620" s="210">
        <f t="shared" si="25"/>
        <v>-1.8051991928193845E-2</v>
      </c>
    </row>
    <row r="1621" spans="2:4" ht="14" thickBot="1" x14ac:dyDescent="0.2">
      <c r="B1621" s="312">
        <v>43453</v>
      </c>
      <c r="C1621" s="321">
        <v>10967.3</v>
      </c>
      <c r="D1621" s="210">
        <f t="shared" si="25"/>
        <v>-1.4224102559425855E-3</v>
      </c>
    </row>
    <row r="1622" spans="2:4" ht="14" thickBot="1" x14ac:dyDescent="0.2">
      <c r="B1622" s="312">
        <v>43452</v>
      </c>
      <c r="C1622" s="321">
        <v>10908.7</v>
      </c>
      <c r="D1622" s="209">
        <f t="shared" si="25"/>
        <v>5.3718591582863073E-3</v>
      </c>
    </row>
    <row r="1623" spans="2:4" ht="14" thickBot="1" x14ac:dyDescent="0.2">
      <c r="B1623" s="312">
        <v>43451</v>
      </c>
      <c r="C1623" s="321">
        <v>10888.35</v>
      </c>
      <c r="D1623" s="209">
        <f t="shared" si="25"/>
        <v>1.8689700459666447E-3</v>
      </c>
    </row>
    <row r="1624" spans="2:4" ht="14" thickBot="1" x14ac:dyDescent="0.2">
      <c r="B1624" s="312">
        <v>43448</v>
      </c>
      <c r="C1624" s="321">
        <v>10805.45</v>
      </c>
      <c r="D1624" s="210">
        <f t="shared" si="25"/>
        <v>7.6720543799655427E-3</v>
      </c>
    </row>
    <row r="1625" spans="2:4" ht="14" thickBot="1" x14ac:dyDescent="0.2">
      <c r="B1625" s="312">
        <v>43447</v>
      </c>
      <c r="C1625" s="321">
        <v>10791.55</v>
      </c>
      <c r="D1625" s="209">
        <f t="shared" si="25"/>
        <v>1.2880448128398392E-3</v>
      </c>
    </row>
    <row r="1626" spans="2:4" ht="14" thickBot="1" x14ac:dyDescent="0.2">
      <c r="B1626" s="312">
        <v>43446</v>
      </c>
      <c r="C1626" s="321">
        <v>10737.6</v>
      </c>
      <c r="D1626" s="210">
        <f t="shared" si="25"/>
        <v>5.0244002384145503E-3</v>
      </c>
    </row>
    <row r="1627" spans="2:4" ht="14" thickBot="1" x14ac:dyDescent="0.2">
      <c r="B1627" s="312">
        <v>43445</v>
      </c>
      <c r="C1627" s="321">
        <v>10549.15</v>
      </c>
      <c r="D1627" s="210">
        <f t="shared" si="25"/>
        <v>1.7863998521207902E-2</v>
      </c>
    </row>
    <row r="1628" spans="2:4" ht="14" thickBot="1" x14ac:dyDescent="0.2">
      <c r="B1628" s="312">
        <v>43444</v>
      </c>
      <c r="C1628" s="321">
        <v>10488.45</v>
      </c>
      <c r="D1628" s="210">
        <f t="shared" si="25"/>
        <v>5.7873184312267067E-3</v>
      </c>
    </row>
    <row r="1629" spans="2:4" ht="14" thickBot="1" x14ac:dyDescent="0.2">
      <c r="B1629" s="312">
        <v>43441</v>
      </c>
      <c r="C1629" s="321">
        <v>10693.7</v>
      </c>
      <c r="D1629" s="210">
        <f t="shared" si="25"/>
        <v>-1.919354386227401E-2</v>
      </c>
    </row>
    <row r="1630" spans="2:4" ht="14" thickBot="1" x14ac:dyDescent="0.2">
      <c r="B1630" s="312">
        <v>43440</v>
      </c>
      <c r="C1630" s="321">
        <v>10601.15</v>
      </c>
      <c r="D1630" s="210">
        <f t="shared" si="25"/>
        <v>8.7301849327667824E-3</v>
      </c>
    </row>
    <row r="1631" spans="2:4" ht="14" thickBot="1" x14ac:dyDescent="0.2">
      <c r="B1631" s="312">
        <v>43439</v>
      </c>
      <c r="C1631" s="321">
        <v>10782.9</v>
      </c>
      <c r="D1631" s="210">
        <f t="shared" si="25"/>
        <v>-1.6855391406764397E-2</v>
      </c>
    </row>
    <row r="1632" spans="2:4" ht="14" thickBot="1" x14ac:dyDescent="0.2">
      <c r="B1632" s="312">
        <v>43438</v>
      </c>
      <c r="C1632" s="321">
        <v>10869.5</v>
      </c>
      <c r="D1632" s="210">
        <f t="shared" si="25"/>
        <v>-7.9672478034868988E-3</v>
      </c>
    </row>
    <row r="1633" spans="2:4" ht="14" thickBot="1" x14ac:dyDescent="0.2">
      <c r="B1633" s="312">
        <v>43437</v>
      </c>
      <c r="C1633" s="321">
        <v>10883.75</v>
      </c>
      <c r="D1633" s="209">
        <f t="shared" si="25"/>
        <v>-1.3092913747559942E-3</v>
      </c>
    </row>
    <row r="1634" spans="2:4" ht="14" thickBot="1" x14ac:dyDescent="0.2">
      <c r="B1634" s="312">
        <v>43434</v>
      </c>
      <c r="C1634" s="321">
        <v>10876.75</v>
      </c>
      <c r="D1634" s="209">
        <f t="shared" si="25"/>
        <v>6.4357459719133203E-4</v>
      </c>
    </row>
    <row r="1635" spans="2:4" ht="14" thickBot="1" x14ac:dyDescent="0.2">
      <c r="B1635" s="312">
        <v>43433</v>
      </c>
      <c r="C1635" s="321">
        <v>10858.7</v>
      </c>
      <c r="D1635" s="210">
        <f t="shared" si="25"/>
        <v>1.6622615966919163E-3</v>
      </c>
    </row>
    <row r="1636" spans="2:4" ht="14" thickBot="1" x14ac:dyDescent="0.2">
      <c r="B1636" s="312">
        <v>43432</v>
      </c>
      <c r="C1636" s="321">
        <v>10728.85</v>
      </c>
      <c r="D1636" s="210">
        <f t="shared" si="25"/>
        <v>1.21028814831039E-2</v>
      </c>
    </row>
    <row r="1637" spans="2:4" ht="14" thickBot="1" x14ac:dyDescent="0.2">
      <c r="B1637" s="312">
        <v>43431</v>
      </c>
      <c r="C1637" s="321">
        <v>10685.6</v>
      </c>
      <c r="D1637" s="210">
        <f t="shared" si="25"/>
        <v>4.0475031818523188E-3</v>
      </c>
    </row>
    <row r="1638" spans="2:4" ht="14" thickBot="1" x14ac:dyDescent="0.2">
      <c r="B1638" s="312">
        <v>43430</v>
      </c>
      <c r="C1638" s="321">
        <v>10628.6</v>
      </c>
      <c r="D1638" s="209">
        <f t="shared" si="25"/>
        <v>5.3628888094385818E-3</v>
      </c>
    </row>
    <row r="1639" spans="2:4" ht="14" thickBot="1" x14ac:dyDescent="0.2">
      <c r="B1639" s="312">
        <v>43426</v>
      </c>
      <c r="C1639" s="321">
        <v>10526.75</v>
      </c>
      <c r="D1639" s="209">
        <f t="shared" si="25"/>
        <v>9.6753508917757358E-3</v>
      </c>
    </row>
    <row r="1640" spans="2:4" ht="14" thickBot="1" x14ac:dyDescent="0.2">
      <c r="B1640" s="312">
        <v>43425</v>
      </c>
      <c r="C1640" s="321">
        <v>10600.05</v>
      </c>
      <c r="D1640" s="209">
        <f t="shared" si="25"/>
        <v>-6.9150617214068788E-3</v>
      </c>
    </row>
    <row r="1641" spans="2:4" ht="14" thickBot="1" x14ac:dyDescent="0.2">
      <c r="B1641" s="312">
        <v>43424</v>
      </c>
      <c r="C1641" s="321">
        <v>10656.2</v>
      </c>
      <c r="D1641" s="209">
        <f t="shared" si="25"/>
        <v>-5.2692329348174027E-3</v>
      </c>
    </row>
    <row r="1642" spans="2:4" ht="14" thickBot="1" x14ac:dyDescent="0.2">
      <c r="B1642" s="312">
        <v>43423</v>
      </c>
      <c r="C1642" s="321">
        <v>10763.4</v>
      </c>
      <c r="D1642" s="210">
        <f t="shared" si="25"/>
        <v>-9.9596781686083213E-3</v>
      </c>
    </row>
    <row r="1643" spans="2:4" ht="14" thickBot="1" x14ac:dyDescent="0.2">
      <c r="B1643" s="312">
        <v>43420</v>
      </c>
      <c r="C1643" s="321">
        <v>10682.2</v>
      </c>
      <c r="D1643" s="210">
        <f t="shared" si="25"/>
        <v>7.6014304169551572E-3</v>
      </c>
    </row>
    <row r="1644" spans="2:4" ht="14" thickBot="1" x14ac:dyDescent="0.2">
      <c r="B1644" s="312">
        <v>43419</v>
      </c>
      <c r="C1644" s="321">
        <v>10616.7</v>
      </c>
      <c r="D1644" s="209">
        <f t="shared" si="25"/>
        <v>6.1695253704070474E-3</v>
      </c>
    </row>
    <row r="1645" spans="2:4" ht="14" thickBot="1" x14ac:dyDescent="0.2">
      <c r="B1645" s="312">
        <v>43418</v>
      </c>
      <c r="C1645" s="321">
        <v>10576.3</v>
      </c>
      <c r="D1645" s="210">
        <f t="shared" si="25"/>
        <v>3.8198613881983423E-3</v>
      </c>
    </row>
    <row r="1646" spans="2:4" ht="14" thickBot="1" x14ac:dyDescent="0.2">
      <c r="B1646" s="312">
        <v>43417</v>
      </c>
      <c r="C1646" s="321">
        <v>10582.5</v>
      </c>
      <c r="D1646" s="210">
        <f t="shared" si="25"/>
        <v>-5.8587290337830389E-4</v>
      </c>
    </row>
    <row r="1647" spans="2:4" ht="14" thickBot="1" x14ac:dyDescent="0.2">
      <c r="B1647" s="312">
        <v>43416</v>
      </c>
      <c r="C1647" s="321">
        <v>10482.200000000001</v>
      </c>
      <c r="D1647" s="209">
        <f t="shared" si="25"/>
        <v>9.56860201102816E-3</v>
      </c>
    </row>
    <row r="1648" spans="2:4" ht="14" thickBot="1" x14ac:dyDescent="0.2">
      <c r="B1648" s="312">
        <v>43413</v>
      </c>
      <c r="C1648" s="321">
        <v>10585.2</v>
      </c>
      <c r="D1648" s="210">
        <f t="shared" si="25"/>
        <v>-9.7305672070437943E-3</v>
      </c>
    </row>
    <row r="1649" spans="2:4" ht="14" thickBot="1" x14ac:dyDescent="0.2">
      <c r="B1649" s="312">
        <v>43411</v>
      </c>
      <c r="C1649" s="321">
        <v>10598.4</v>
      </c>
      <c r="D1649" s="209">
        <f t="shared" si="25"/>
        <v>-1.2454710144926828E-3</v>
      </c>
    </row>
    <row r="1650" spans="2:4" ht="14" thickBot="1" x14ac:dyDescent="0.2">
      <c r="B1650" s="312">
        <v>43410</v>
      </c>
      <c r="C1650" s="321">
        <v>10530</v>
      </c>
      <c r="D1650" s="210">
        <f t="shared" si="25"/>
        <v>6.4957264957263838E-3</v>
      </c>
    </row>
    <row r="1651" spans="2:4" ht="14" thickBot="1" x14ac:dyDescent="0.2">
      <c r="B1651" s="312">
        <v>43409</v>
      </c>
      <c r="C1651" s="321">
        <v>10524</v>
      </c>
      <c r="D1651" s="209">
        <f t="shared" si="25"/>
        <v>5.7012542759404816E-4</v>
      </c>
    </row>
    <row r="1652" spans="2:4" ht="14" thickBot="1" x14ac:dyDescent="0.2">
      <c r="B1652" s="312">
        <v>43406</v>
      </c>
      <c r="C1652" s="321">
        <v>10553</v>
      </c>
      <c r="D1652" s="209">
        <f t="shared" si="25"/>
        <v>-2.7480337344830685E-3</v>
      </c>
    </row>
    <row r="1653" spans="2:4" ht="14" thickBot="1" x14ac:dyDescent="0.2">
      <c r="B1653" s="312">
        <v>43405</v>
      </c>
      <c r="C1653" s="321">
        <v>10380.450000000001</v>
      </c>
      <c r="D1653" s="210">
        <f t="shared" si="25"/>
        <v>1.6622593432847221E-2</v>
      </c>
    </row>
    <row r="1654" spans="2:4" ht="14" thickBot="1" x14ac:dyDescent="0.2">
      <c r="B1654" s="312">
        <v>43404</v>
      </c>
      <c r="C1654" s="321">
        <v>10386.6</v>
      </c>
      <c r="D1654" s="210">
        <f t="shared" si="25"/>
        <v>-5.921090636011872E-4</v>
      </c>
    </row>
    <row r="1655" spans="2:4" ht="14" thickBot="1" x14ac:dyDescent="0.2">
      <c r="B1655" s="312">
        <v>43403</v>
      </c>
      <c r="C1655" s="321">
        <v>10198.4</v>
      </c>
      <c r="D1655" s="209">
        <f t="shared" si="25"/>
        <v>1.8453875117665497E-2</v>
      </c>
    </row>
    <row r="1656" spans="2:4" ht="14" thickBot="1" x14ac:dyDescent="0.2">
      <c r="B1656" s="312">
        <v>43402</v>
      </c>
      <c r="C1656" s="321">
        <v>10250.85</v>
      </c>
      <c r="D1656" s="209">
        <f t="shared" si="25"/>
        <v>-5.1166488632650164E-3</v>
      </c>
    </row>
    <row r="1657" spans="2:4" ht="14" thickBot="1" x14ac:dyDescent="0.2">
      <c r="B1657" s="312">
        <v>43399</v>
      </c>
      <c r="C1657" s="321">
        <v>10030</v>
      </c>
      <c r="D1657" s="209">
        <f t="shared" si="25"/>
        <v>2.201894317048847E-2</v>
      </c>
    </row>
    <row r="1658" spans="2:4" ht="14" thickBot="1" x14ac:dyDescent="0.2">
      <c r="B1658" s="312">
        <v>43398</v>
      </c>
      <c r="C1658" s="321">
        <v>10124.9</v>
      </c>
      <c r="D1658" s="209">
        <f t="shared" si="25"/>
        <v>-9.3729320783414449E-3</v>
      </c>
    </row>
    <row r="1659" spans="2:4" ht="14" thickBot="1" x14ac:dyDescent="0.2">
      <c r="B1659" s="312">
        <v>43397</v>
      </c>
      <c r="C1659" s="321">
        <v>10224.75</v>
      </c>
      <c r="D1659" s="209">
        <f t="shared" si="25"/>
        <v>-9.76551993936281E-3</v>
      </c>
    </row>
    <row r="1660" spans="2:4" ht="14" thickBot="1" x14ac:dyDescent="0.2">
      <c r="B1660" s="312">
        <v>43396</v>
      </c>
      <c r="C1660" s="321">
        <v>10146.799999999999</v>
      </c>
      <c r="D1660" s="209">
        <f t="shared" si="25"/>
        <v>7.682224937911597E-3</v>
      </c>
    </row>
    <row r="1661" spans="2:4" ht="14" thickBot="1" x14ac:dyDescent="0.2">
      <c r="B1661" s="312">
        <v>43395</v>
      </c>
      <c r="C1661" s="321">
        <v>10245.25</v>
      </c>
      <c r="D1661" s="209">
        <f t="shared" si="25"/>
        <v>-9.609331153461409E-3</v>
      </c>
    </row>
    <row r="1662" spans="2:4" ht="14" thickBot="1" x14ac:dyDescent="0.2">
      <c r="B1662" s="312">
        <v>43392</v>
      </c>
      <c r="C1662" s="321">
        <v>10303.549999999999</v>
      </c>
      <c r="D1662" s="209">
        <f t="shared" si="25"/>
        <v>-5.6582440032802994E-3</v>
      </c>
    </row>
    <row r="1663" spans="2:4" ht="14" thickBot="1" x14ac:dyDescent="0.2">
      <c r="B1663" s="312">
        <v>43390</v>
      </c>
      <c r="C1663" s="321">
        <v>10453.049999999999</v>
      </c>
      <c r="D1663" s="210">
        <f t="shared" si="25"/>
        <v>-1.4302045814379549E-2</v>
      </c>
    </row>
    <row r="1664" spans="2:4" ht="14" thickBot="1" x14ac:dyDescent="0.2">
      <c r="B1664" s="312">
        <v>43389</v>
      </c>
      <c r="C1664" s="321">
        <v>10584.75</v>
      </c>
      <c r="D1664" s="209">
        <f t="shared" si="25"/>
        <v>-1.2442428966201402E-2</v>
      </c>
    </row>
    <row r="1665" spans="2:4" ht="14" thickBot="1" x14ac:dyDescent="0.2">
      <c r="B1665" s="312">
        <v>43388</v>
      </c>
      <c r="C1665" s="321">
        <v>10512.5</v>
      </c>
      <c r="D1665" s="209">
        <f t="shared" si="25"/>
        <v>6.8727705112960891E-3</v>
      </c>
    </row>
    <row r="1666" spans="2:4" ht="14" thickBot="1" x14ac:dyDescent="0.2">
      <c r="B1666" s="312">
        <v>43385</v>
      </c>
      <c r="C1666" s="321">
        <v>10472.5</v>
      </c>
      <c r="D1666" s="209">
        <f t="shared" si="25"/>
        <v>3.8195273334924451E-3</v>
      </c>
    </row>
    <row r="1667" spans="2:4" ht="14" thickBot="1" x14ac:dyDescent="0.2">
      <c r="B1667" s="312">
        <v>43384</v>
      </c>
      <c r="C1667" s="321">
        <v>10234.65</v>
      </c>
      <c r="D1667" s="209">
        <f t="shared" si="25"/>
        <v>2.323968088796402E-2</v>
      </c>
    </row>
    <row r="1668" spans="2:4" ht="14" thickBot="1" x14ac:dyDescent="0.2">
      <c r="B1668" s="312">
        <v>43383</v>
      </c>
      <c r="C1668" s="321">
        <v>10460.1</v>
      </c>
      <c r="D1668" s="209">
        <f t="shared" si="25"/>
        <v>-2.1553331230103057E-2</v>
      </c>
    </row>
    <row r="1669" spans="2:4" ht="14" thickBot="1" x14ac:dyDescent="0.2">
      <c r="B1669" s="312">
        <v>43382</v>
      </c>
      <c r="C1669" s="321">
        <v>10301.049999999999</v>
      </c>
      <c r="D1669" s="209">
        <f t="shared" si="25"/>
        <v>1.544017357453864E-2</v>
      </c>
    </row>
    <row r="1670" spans="2:4" ht="14" thickBot="1" x14ac:dyDescent="0.2">
      <c r="B1670" s="312">
        <v>43381</v>
      </c>
      <c r="C1670" s="321">
        <v>10348.049999999999</v>
      </c>
      <c r="D1670" s="210">
        <f t="shared" si="25"/>
        <v>-4.5419185257126182E-3</v>
      </c>
    </row>
    <row r="1671" spans="2:4" ht="14" thickBot="1" x14ac:dyDescent="0.2">
      <c r="B1671" s="312">
        <v>43378</v>
      </c>
      <c r="C1671" s="321">
        <v>10316.450000000001</v>
      </c>
      <c r="D1671" s="210">
        <f t="shared" si="25"/>
        <v>3.0630691759276907E-3</v>
      </c>
    </row>
    <row r="1672" spans="2:4" ht="14" thickBot="1" x14ac:dyDescent="0.2">
      <c r="B1672" s="312">
        <v>43377</v>
      </c>
      <c r="C1672" s="321">
        <v>10599.25</v>
      </c>
      <c r="D1672" s="209">
        <f t="shared" si="25"/>
        <v>-2.6681133099039966E-2</v>
      </c>
    </row>
    <row r="1673" spans="2:4" ht="14" thickBot="1" x14ac:dyDescent="0.2">
      <c r="B1673" s="312">
        <v>43376</v>
      </c>
      <c r="C1673" s="321">
        <v>10858.25</v>
      </c>
      <c r="D1673" s="209">
        <f t="shared" si="25"/>
        <v>-2.3852830796859514E-2</v>
      </c>
    </row>
    <row r="1674" spans="2:4" ht="14" thickBot="1" x14ac:dyDescent="0.2">
      <c r="B1674" s="312">
        <v>43374</v>
      </c>
      <c r="C1674" s="321">
        <v>11008.3</v>
      </c>
      <c r="D1674" s="209">
        <f t="shared" si="25"/>
        <v>-1.3630624165402394E-2</v>
      </c>
    </row>
    <row r="1675" spans="2:4" ht="14" thickBot="1" x14ac:dyDescent="0.2">
      <c r="B1675" s="312">
        <v>43371</v>
      </c>
      <c r="C1675" s="321">
        <v>10930.45</v>
      </c>
      <c r="D1675" s="209">
        <f t="shared" ref="D1675:D1738" si="26">C1674/C1675-1</f>
        <v>7.1223051201001475E-3</v>
      </c>
    </row>
    <row r="1676" spans="2:4" ht="14" thickBot="1" x14ac:dyDescent="0.2">
      <c r="B1676" s="312">
        <v>43370</v>
      </c>
      <c r="C1676" s="321">
        <v>10977.55</v>
      </c>
      <c r="D1676" s="209">
        <f t="shared" si="26"/>
        <v>-4.2905748550449152E-3</v>
      </c>
    </row>
    <row r="1677" spans="2:4" ht="14" thickBot="1" x14ac:dyDescent="0.2">
      <c r="B1677" s="312">
        <v>43369</v>
      </c>
      <c r="C1677" s="321">
        <v>11053.8</v>
      </c>
      <c r="D1677" s="209">
        <f t="shared" si="26"/>
        <v>-6.8980802981779554E-3</v>
      </c>
    </row>
    <row r="1678" spans="2:4" ht="14" thickBot="1" x14ac:dyDescent="0.2">
      <c r="B1678" s="312">
        <v>43368</v>
      </c>
      <c r="C1678" s="321">
        <v>11067.45</v>
      </c>
      <c r="D1678" s="210">
        <f t="shared" si="26"/>
        <v>-1.233346434815763E-3</v>
      </c>
    </row>
    <row r="1679" spans="2:4" ht="14" thickBot="1" x14ac:dyDescent="0.2">
      <c r="B1679" s="312">
        <v>43367</v>
      </c>
      <c r="C1679" s="321">
        <v>10967.4</v>
      </c>
      <c r="D1679" s="210">
        <f t="shared" si="26"/>
        <v>9.1224902894031512E-3</v>
      </c>
    </row>
    <row r="1680" spans="2:4" ht="14" thickBot="1" x14ac:dyDescent="0.2">
      <c r="B1680" s="312">
        <v>43364</v>
      </c>
      <c r="C1680" s="321">
        <v>11143.1</v>
      </c>
      <c r="D1680" s="210">
        <f t="shared" si="26"/>
        <v>-1.5767605065017842E-2</v>
      </c>
    </row>
    <row r="1681" spans="2:4" ht="14" thickBot="1" x14ac:dyDescent="0.2">
      <c r="B1681" s="312">
        <v>43362</v>
      </c>
      <c r="C1681" s="321">
        <v>11234.35</v>
      </c>
      <c r="D1681" s="210">
        <f t="shared" si="26"/>
        <v>-8.1224102863094449E-3</v>
      </c>
    </row>
    <row r="1682" spans="2:4" ht="14" thickBot="1" x14ac:dyDescent="0.2">
      <c r="B1682" s="312">
        <v>43361</v>
      </c>
      <c r="C1682" s="321">
        <v>11278.9</v>
      </c>
      <c r="D1682" s="209">
        <f t="shared" si="26"/>
        <v>-3.9498532658326369E-3</v>
      </c>
    </row>
    <row r="1683" spans="2:4" ht="14" thickBot="1" x14ac:dyDescent="0.2">
      <c r="B1683" s="312">
        <v>43360</v>
      </c>
      <c r="C1683" s="321">
        <v>11377.75</v>
      </c>
      <c r="D1683" s="209">
        <f t="shared" si="26"/>
        <v>-8.6880094922107132E-3</v>
      </c>
    </row>
    <row r="1684" spans="2:4" ht="14" thickBot="1" x14ac:dyDescent="0.2">
      <c r="B1684" s="312">
        <v>43357</v>
      </c>
      <c r="C1684" s="321">
        <v>11515.2</v>
      </c>
      <c r="D1684" s="209">
        <f t="shared" si="26"/>
        <v>-1.1936397109907015E-2</v>
      </c>
    </row>
    <row r="1685" spans="2:4" ht="14" thickBot="1" x14ac:dyDescent="0.2">
      <c r="B1685" s="312">
        <v>43355</v>
      </c>
      <c r="C1685" s="321">
        <v>11369.9</v>
      </c>
      <c r="D1685" s="210">
        <f t="shared" si="26"/>
        <v>1.2779356018962407E-2</v>
      </c>
    </row>
    <row r="1686" spans="2:4" ht="14" thickBot="1" x14ac:dyDescent="0.2">
      <c r="B1686" s="312">
        <v>43354</v>
      </c>
      <c r="C1686" s="321">
        <v>11287.5</v>
      </c>
      <c r="D1686" s="209">
        <f t="shared" si="26"/>
        <v>7.300110741971233E-3</v>
      </c>
    </row>
    <row r="1687" spans="2:4" ht="14" thickBot="1" x14ac:dyDescent="0.2">
      <c r="B1687" s="312">
        <v>43353</v>
      </c>
      <c r="C1687" s="321">
        <v>11438.1</v>
      </c>
      <c r="D1687" s="210">
        <f t="shared" si="26"/>
        <v>-1.3166522411939052E-2</v>
      </c>
    </row>
    <row r="1688" spans="2:4" ht="14" thickBot="1" x14ac:dyDescent="0.2">
      <c r="B1688" s="312">
        <v>43350</v>
      </c>
      <c r="C1688" s="321">
        <v>11589.1</v>
      </c>
      <c r="D1688" s="210">
        <f t="shared" si="26"/>
        <v>-1.3029484601910446E-2</v>
      </c>
    </row>
    <row r="1689" spans="2:4" ht="14" thickBot="1" x14ac:dyDescent="0.2">
      <c r="B1689" s="312">
        <v>43349</v>
      </c>
      <c r="C1689" s="321">
        <v>11536.9</v>
      </c>
      <c r="D1689" s="210">
        <f t="shared" si="26"/>
        <v>4.5246123308688713E-3</v>
      </c>
    </row>
    <row r="1690" spans="2:4" ht="14" thickBot="1" x14ac:dyDescent="0.2">
      <c r="B1690" s="312">
        <v>43348</v>
      </c>
      <c r="C1690" s="321">
        <v>11476.95</v>
      </c>
      <c r="D1690" s="209">
        <f t="shared" si="26"/>
        <v>5.2235132156190911E-3</v>
      </c>
    </row>
    <row r="1691" spans="2:4" ht="14" thickBot="1" x14ac:dyDescent="0.2">
      <c r="B1691" s="312">
        <v>43347</v>
      </c>
      <c r="C1691" s="321">
        <v>11520.3</v>
      </c>
      <c r="D1691" s="209">
        <f t="shared" si="26"/>
        <v>-3.7629228405509085E-3</v>
      </c>
    </row>
    <row r="1692" spans="2:4" ht="14" thickBot="1" x14ac:dyDescent="0.2">
      <c r="B1692" s="312">
        <v>43346</v>
      </c>
      <c r="C1692" s="321">
        <v>11582.35</v>
      </c>
      <c r="D1692" s="209">
        <f t="shared" si="26"/>
        <v>-5.3572893238419406E-3</v>
      </c>
    </row>
    <row r="1693" spans="2:4" ht="14" thickBot="1" x14ac:dyDescent="0.2">
      <c r="B1693" s="312">
        <v>43343</v>
      </c>
      <c r="C1693" s="321">
        <v>11680.5</v>
      </c>
      <c r="D1693" s="209">
        <f t="shared" si="26"/>
        <v>-8.4028937117417435E-3</v>
      </c>
    </row>
    <row r="1694" spans="2:4" ht="14" thickBot="1" x14ac:dyDescent="0.2">
      <c r="B1694" s="312">
        <v>43342</v>
      </c>
      <c r="C1694" s="321">
        <v>11676.8</v>
      </c>
      <c r="D1694" s="210">
        <f t="shared" si="26"/>
        <v>3.1686763496852066E-4</v>
      </c>
    </row>
    <row r="1695" spans="2:4" ht="14" thickBot="1" x14ac:dyDescent="0.2">
      <c r="B1695" s="312">
        <v>43341</v>
      </c>
      <c r="C1695" s="321">
        <v>11691.9</v>
      </c>
      <c r="D1695" s="209">
        <f t="shared" si="26"/>
        <v>-1.2914924007219053E-3</v>
      </c>
    </row>
    <row r="1696" spans="2:4" ht="14" thickBot="1" x14ac:dyDescent="0.2">
      <c r="B1696" s="312">
        <v>43340</v>
      </c>
      <c r="C1696" s="321">
        <v>11738.5</v>
      </c>
      <c r="D1696" s="209">
        <f t="shared" si="26"/>
        <v>-3.9698428248924333E-3</v>
      </c>
    </row>
    <row r="1697" spans="2:4" ht="14" thickBot="1" x14ac:dyDescent="0.2">
      <c r="B1697" s="312">
        <v>43339</v>
      </c>
      <c r="C1697" s="321">
        <v>11691.95</v>
      </c>
      <c r="D1697" s="210">
        <f t="shared" si="26"/>
        <v>3.9813717985450747E-3</v>
      </c>
    </row>
    <row r="1698" spans="2:4" ht="14" thickBot="1" x14ac:dyDescent="0.2">
      <c r="B1698" s="312">
        <v>43336</v>
      </c>
      <c r="C1698" s="321">
        <v>11557.1</v>
      </c>
      <c r="D1698" s="210">
        <f t="shared" si="26"/>
        <v>1.1668152045063218E-2</v>
      </c>
    </row>
    <row r="1699" spans="2:4" ht="14" thickBot="1" x14ac:dyDescent="0.2">
      <c r="B1699" s="312">
        <v>43335</v>
      </c>
      <c r="C1699" s="321">
        <v>11582.75</v>
      </c>
      <c r="D1699" s="210">
        <f t="shared" si="26"/>
        <v>-2.214500010791931E-3</v>
      </c>
    </row>
    <row r="1700" spans="2:4" ht="14" thickBot="1" x14ac:dyDescent="0.2">
      <c r="B1700" s="312">
        <v>43333</v>
      </c>
      <c r="C1700" s="321">
        <v>11570.9</v>
      </c>
      <c r="D1700" s="210">
        <f t="shared" si="26"/>
        <v>1.024120854903332E-3</v>
      </c>
    </row>
    <row r="1701" spans="2:4" ht="14" thickBot="1" x14ac:dyDescent="0.2">
      <c r="B1701" s="312">
        <v>43332</v>
      </c>
      <c r="C1701" s="321">
        <v>11551.75</v>
      </c>
      <c r="D1701" s="210">
        <f t="shared" si="26"/>
        <v>1.657757482632416E-3</v>
      </c>
    </row>
    <row r="1702" spans="2:4" ht="14" thickBot="1" x14ac:dyDescent="0.2">
      <c r="B1702" s="312">
        <v>43329</v>
      </c>
      <c r="C1702" s="321">
        <v>11470.75</v>
      </c>
      <c r="D1702" s="210">
        <f t="shared" si="26"/>
        <v>7.061438877143944E-3</v>
      </c>
    </row>
    <row r="1703" spans="2:4" ht="14" thickBot="1" x14ac:dyDescent="0.2">
      <c r="B1703" s="312">
        <v>43328</v>
      </c>
      <c r="C1703" s="321">
        <v>11385.05</v>
      </c>
      <c r="D1703" s="209">
        <f t="shared" si="26"/>
        <v>7.5274153385360698E-3</v>
      </c>
    </row>
    <row r="1704" spans="2:4" ht="14" thickBot="1" x14ac:dyDescent="0.2">
      <c r="B1704" s="312">
        <v>43326</v>
      </c>
      <c r="C1704" s="321">
        <v>11435.1</v>
      </c>
      <c r="D1704" s="210">
        <f t="shared" si="26"/>
        <v>-4.3768747103217764E-3</v>
      </c>
    </row>
    <row r="1705" spans="2:4" ht="14" thickBot="1" x14ac:dyDescent="0.2">
      <c r="B1705" s="312">
        <v>43325</v>
      </c>
      <c r="C1705" s="321">
        <v>11355.75</v>
      </c>
      <c r="D1705" s="210">
        <f t="shared" si="26"/>
        <v>6.9876494287035573E-3</v>
      </c>
    </row>
    <row r="1706" spans="2:4" ht="14" thickBot="1" x14ac:dyDescent="0.2">
      <c r="B1706" s="312">
        <v>43322</v>
      </c>
      <c r="C1706" s="321">
        <v>11429.5</v>
      </c>
      <c r="D1706" s="210">
        <f t="shared" si="26"/>
        <v>-6.4526007261910268E-3</v>
      </c>
    </row>
    <row r="1707" spans="2:4" ht="14" thickBot="1" x14ac:dyDescent="0.2">
      <c r="B1707" s="312">
        <v>43321</v>
      </c>
      <c r="C1707" s="321">
        <v>11470.7</v>
      </c>
      <c r="D1707" s="210">
        <f t="shared" si="26"/>
        <v>-3.5917598751602497E-3</v>
      </c>
    </row>
    <row r="1708" spans="2:4" ht="14" thickBot="1" x14ac:dyDescent="0.2">
      <c r="B1708" s="312">
        <v>43320</v>
      </c>
      <c r="C1708" s="321">
        <v>11450</v>
      </c>
      <c r="D1708" s="209">
        <f t="shared" si="26"/>
        <v>1.8078602620088535E-3</v>
      </c>
    </row>
    <row r="1709" spans="2:4" ht="14" thickBot="1" x14ac:dyDescent="0.2">
      <c r="B1709" s="312">
        <v>43319</v>
      </c>
      <c r="C1709" s="321">
        <v>11389.45</v>
      </c>
      <c r="D1709" s="210">
        <f t="shared" si="26"/>
        <v>5.3163234396744752E-3</v>
      </c>
    </row>
    <row r="1710" spans="2:4" ht="14" thickBot="1" x14ac:dyDescent="0.2">
      <c r="B1710" s="312">
        <v>43318</v>
      </c>
      <c r="C1710" s="321">
        <v>11387.1</v>
      </c>
      <c r="D1710" s="210">
        <f t="shared" si="26"/>
        <v>2.0637387921418338E-4</v>
      </c>
    </row>
    <row r="1711" spans="2:4" ht="14" thickBot="1" x14ac:dyDescent="0.2">
      <c r="B1711" s="312">
        <v>43315</v>
      </c>
      <c r="C1711" s="321">
        <v>11360.8</v>
      </c>
      <c r="D1711" s="209">
        <f t="shared" si="26"/>
        <v>2.3149778184636816E-3</v>
      </c>
    </row>
    <row r="1712" spans="2:4" ht="14" thickBot="1" x14ac:dyDescent="0.2">
      <c r="B1712" s="312">
        <v>43314</v>
      </c>
      <c r="C1712" s="321">
        <v>11244.7</v>
      </c>
      <c r="D1712" s="209">
        <f t="shared" si="26"/>
        <v>1.0324864158225422E-2</v>
      </c>
    </row>
    <row r="1713" spans="2:4" ht="14" thickBot="1" x14ac:dyDescent="0.2">
      <c r="B1713" s="312">
        <v>43313</v>
      </c>
      <c r="C1713" s="321">
        <v>11346.2</v>
      </c>
      <c r="D1713" s="209">
        <f t="shared" si="26"/>
        <v>-8.9457263224691497E-3</v>
      </c>
    </row>
    <row r="1714" spans="2:4" ht="14" thickBot="1" x14ac:dyDescent="0.2">
      <c r="B1714" s="312">
        <v>43312</v>
      </c>
      <c r="C1714" s="321">
        <v>11356.5</v>
      </c>
      <c r="D1714" s="210">
        <f t="shared" si="26"/>
        <v>-9.0696957689417879E-4</v>
      </c>
    </row>
    <row r="1715" spans="2:4" ht="14" thickBot="1" x14ac:dyDescent="0.2">
      <c r="B1715" s="312">
        <v>43311</v>
      </c>
      <c r="C1715" s="321">
        <v>11319.55</v>
      </c>
      <c r="D1715" s="210">
        <f t="shared" si="26"/>
        <v>3.2642640387647859E-3</v>
      </c>
    </row>
    <row r="1716" spans="2:4" ht="14" thickBot="1" x14ac:dyDescent="0.2">
      <c r="B1716" s="312">
        <v>43308</v>
      </c>
      <c r="C1716" s="321">
        <v>11278.35</v>
      </c>
      <c r="D1716" s="210">
        <f t="shared" si="26"/>
        <v>3.6530166203387893E-3</v>
      </c>
    </row>
    <row r="1717" spans="2:4" ht="14" thickBot="1" x14ac:dyDescent="0.2">
      <c r="B1717" s="312">
        <v>43307</v>
      </c>
      <c r="C1717" s="321">
        <v>11167.3</v>
      </c>
      <c r="D1717" s="209">
        <f t="shared" si="26"/>
        <v>9.9442121193127342E-3</v>
      </c>
    </row>
    <row r="1718" spans="2:4" ht="14" thickBot="1" x14ac:dyDescent="0.2">
      <c r="B1718" s="312">
        <v>43306</v>
      </c>
      <c r="C1718" s="321">
        <v>11132</v>
      </c>
      <c r="D1718" s="210">
        <f t="shared" si="26"/>
        <v>3.1710384477181552E-3</v>
      </c>
    </row>
    <row r="1719" spans="2:4" ht="14" thickBot="1" x14ac:dyDescent="0.2">
      <c r="B1719" s="312">
        <v>43305</v>
      </c>
      <c r="C1719" s="321">
        <v>11134.3</v>
      </c>
      <c r="D1719" s="210">
        <f t="shared" si="26"/>
        <v>-2.0656889072501183E-4</v>
      </c>
    </row>
    <row r="1720" spans="2:4" ht="14" thickBot="1" x14ac:dyDescent="0.2">
      <c r="B1720" s="312">
        <v>43304</v>
      </c>
      <c r="C1720" s="321">
        <v>11084.75</v>
      </c>
      <c r="D1720" s="209">
        <f t="shared" si="26"/>
        <v>4.4701053248832334E-3</v>
      </c>
    </row>
    <row r="1721" spans="2:4" ht="14" thickBot="1" x14ac:dyDescent="0.2">
      <c r="B1721" s="312">
        <v>43301</v>
      </c>
      <c r="C1721" s="321">
        <v>11010.2</v>
      </c>
      <c r="D1721" s="209">
        <f t="shared" si="26"/>
        <v>6.770994169043254E-3</v>
      </c>
    </row>
    <row r="1722" spans="2:4" ht="14" thickBot="1" x14ac:dyDescent="0.2">
      <c r="B1722" s="312">
        <v>43300</v>
      </c>
      <c r="C1722" s="321">
        <v>10957.1</v>
      </c>
      <c r="D1722" s="210">
        <f t="shared" si="26"/>
        <v>4.8461728011974792E-3</v>
      </c>
    </row>
    <row r="1723" spans="2:4" ht="14" thickBot="1" x14ac:dyDescent="0.2">
      <c r="B1723" s="312">
        <v>43299</v>
      </c>
      <c r="C1723" s="321">
        <v>10980.45</v>
      </c>
      <c r="D1723" s="210">
        <f t="shared" si="26"/>
        <v>-2.1265066550095746E-3</v>
      </c>
    </row>
    <row r="1724" spans="2:4" ht="14" thickBot="1" x14ac:dyDescent="0.2">
      <c r="B1724" s="312">
        <v>43298</v>
      </c>
      <c r="C1724" s="321">
        <v>11008.05</v>
      </c>
      <c r="D1724" s="210">
        <f t="shared" si="26"/>
        <v>-2.5072560535243094E-3</v>
      </c>
    </row>
    <row r="1725" spans="2:4" ht="14" thickBot="1" x14ac:dyDescent="0.2">
      <c r="B1725" s="312">
        <v>43297</v>
      </c>
      <c r="C1725" s="321">
        <v>10936.85</v>
      </c>
      <c r="D1725" s="210">
        <f t="shared" si="26"/>
        <v>6.5101011717265678E-3</v>
      </c>
    </row>
    <row r="1726" spans="2:4" ht="14" thickBot="1" x14ac:dyDescent="0.2">
      <c r="B1726" s="312">
        <v>43294</v>
      </c>
      <c r="C1726" s="321">
        <v>11018.9</v>
      </c>
      <c r="D1726" s="210">
        <f t="shared" si="26"/>
        <v>-7.4462968172865907E-3</v>
      </c>
    </row>
    <row r="1727" spans="2:4" ht="14" thickBot="1" x14ac:dyDescent="0.2">
      <c r="B1727" s="312">
        <v>43293</v>
      </c>
      <c r="C1727" s="321">
        <v>11023.2</v>
      </c>
      <c r="D1727" s="210">
        <f t="shared" si="26"/>
        <v>-3.9008636330661872E-4</v>
      </c>
    </row>
    <row r="1728" spans="2:4" ht="14" thickBot="1" x14ac:dyDescent="0.2">
      <c r="B1728" s="312">
        <v>43292</v>
      </c>
      <c r="C1728" s="321">
        <v>10948.3</v>
      </c>
      <c r="D1728" s="209">
        <f t="shared" si="26"/>
        <v>6.8412447594605741E-3</v>
      </c>
    </row>
    <row r="1729" spans="2:4" ht="14" thickBot="1" x14ac:dyDescent="0.2">
      <c r="B1729" s="312">
        <v>43291</v>
      </c>
      <c r="C1729" s="321">
        <v>10947.25</v>
      </c>
      <c r="D1729" s="210">
        <f t="shared" si="26"/>
        <v>9.591449907508931E-5</v>
      </c>
    </row>
    <row r="1730" spans="2:4" ht="14" thickBot="1" x14ac:dyDescent="0.2">
      <c r="B1730" s="312">
        <v>43290</v>
      </c>
      <c r="C1730" s="321">
        <v>10852.9</v>
      </c>
      <c r="D1730" s="210">
        <f t="shared" si="26"/>
        <v>8.6935289185379183E-3</v>
      </c>
    </row>
    <row r="1731" spans="2:4" ht="14" thickBot="1" x14ac:dyDescent="0.2">
      <c r="B1731" s="312">
        <v>43287</v>
      </c>
      <c r="C1731" s="321">
        <v>10772.65</v>
      </c>
      <c r="D1731" s="210">
        <f t="shared" si="26"/>
        <v>7.4494205232695787E-3</v>
      </c>
    </row>
    <row r="1732" spans="2:4" ht="14" thickBot="1" x14ac:dyDescent="0.2">
      <c r="B1732" s="312">
        <v>43286</v>
      </c>
      <c r="C1732" s="321">
        <v>10749.75</v>
      </c>
      <c r="D1732" s="209">
        <f t="shared" si="26"/>
        <v>2.130282099583658E-3</v>
      </c>
    </row>
    <row r="1733" spans="2:4" ht="14" thickBot="1" x14ac:dyDescent="0.2">
      <c r="B1733" s="312">
        <v>43285</v>
      </c>
      <c r="C1733" s="321">
        <v>10769.9</v>
      </c>
      <c r="D1733" s="210">
        <f t="shared" si="26"/>
        <v>-1.8709551620720299E-3</v>
      </c>
    </row>
    <row r="1734" spans="2:4" ht="14" thickBot="1" x14ac:dyDescent="0.2">
      <c r="B1734" s="312">
        <v>43284</v>
      </c>
      <c r="C1734" s="321">
        <v>10699.9</v>
      </c>
      <c r="D1734" s="209">
        <f t="shared" si="26"/>
        <v>6.5421172160486929E-3</v>
      </c>
    </row>
    <row r="1735" spans="2:4" ht="14" thickBot="1" x14ac:dyDescent="0.2">
      <c r="B1735" s="312">
        <v>43283</v>
      </c>
      <c r="C1735" s="321">
        <v>10657.3</v>
      </c>
      <c r="D1735" s="210">
        <f t="shared" si="26"/>
        <v>3.9972600940201275E-3</v>
      </c>
    </row>
    <row r="1736" spans="2:4" ht="14" thickBot="1" x14ac:dyDescent="0.2">
      <c r="B1736" s="312">
        <v>43280</v>
      </c>
      <c r="C1736" s="321">
        <v>10714.3</v>
      </c>
      <c r="D1736" s="210">
        <f t="shared" si="26"/>
        <v>-5.3199929066761742E-3</v>
      </c>
    </row>
    <row r="1737" spans="2:4" ht="14" thickBot="1" x14ac:dyDescent="0.2">
      <c r="B1737" s="312">
        <v>43279</v>
      </c>
      <c r="C1737" s="321">
        <v>10589.1</v>
      </c>
      <c r="D1737" s="209">
        <f t="shared" si="26"/>
        <v>1.1823478860337522E-2</v>
      </c>
    </row>
    <row r="1738" spans="2:4" ht="14" thickBot="1" x14ac:dyDescent="0.2">
      <c r="B1738" s="312">
        <v>43278</v>
      </c>
      <c r="C1738" s="321">
        <v>10671.4</v>
      </c>
      <c r="D1738" s="209">
        <f t="shared" si="26"/>
        <v>-7.7122027100473556E-3</v>
      </c>
    </row>
    <row r="1739" spans="2:4" ht="14" thickBot="1" x14ac:dyDescent="0.2">
      <c r="B1739" s="312">
        <v>43277</v>
      </c>
      <c r="C1739" s="321">
        <v>10769.15</v>
      </c>
      <c r="D1739" s="210">
        <f t="shared" ref="D1739:D1802" si="27">C1738/C1739-1</f>
        <v>-9.0768537906891211E-3</v>
      </c>
    </row>
    <row r="1740" spans="2:4" ht="14" thickBot="1" x14ac:dyDescent="0.2">
      <c r="B1740" s="312">
        <v>43276</v>
      </c>
      <c r="C1740" s="321">
        <v>10762.45</v>
      </c>
      <c r="D1740" s="210">
        <f t="shared" si="27"/>
        <v>6.2253483175278568E-4</v>
      </c>
    </row>
    <row r="1741" spans="2:4" ht="14" thickBot="1" x14ac:dyDescent="0.2">
      <c r="B1741" s="312">
        <v>43273</v>
      </c>
      <c r="C1741" s="321">
        <v>10821.85</v>
      </c>
      <c r="D1741" s="210">
        <f t="shared" si="27"/>
        <v>-5.4888951519379559E-3</v>
      </c>
    </row>
    <row r="1742" spans="2:4" ht="14" thickBot="1" x14ac:dyDescent="0.2">
      <c r="B1742" s="312">
        <v>43272</v>
      </c>
      <c r="C1742" s="321">
        <v>10741.1</v>
      </c>
      <c r="D1742" s="210">
        <f t="shared" si="27"/>
        <v>7.5178519890886086E-3</v>
      </c>
    </row>
    <row r="1743" spans="2:4" ht="14" thickBot="1" x14ac:dyDescent="0.2">
      <c r="B1743" s="312">
        <v>43271</v>
      </c>
      <c r="C1743" s="321">
        <v>10772.05</v>
      </c>
      <c r="D1743" s="210">
        <f t="shared" si="27"/>
        <v>-2.8731764148883787E-3</v>
      </c>
    </row>
    <row r="1744" spans="2:4" ht="14" thickBot="1" x14ac:dyDescent="0.2">
      <c r="B1744" s="312">
        <v>43270</v>
      </c>
      <c r="C1744" s="321">
        <v>10710.45</v>
      </c>
      <c r="D1744" s="209">
        <f t="shared" si="27"/>
        <v>5.7513923317880078E-3</v>
      </c>
    </row>
    <row r="1745" spans="2:4" ht="14" thickBot="1" x14ac:dyDescent="0.2">
      <c r="B1745" s="312">
        <v>43269</v>
      </c>
      <c r="C1745" s="321">
        <v>10799.85</v>
      </c>
      <c r="D1745" s="210">
        <f t="shared" si="27"/>
        <v>-8.2778927485103182E-3</v>
      </c>
    </row>
    <row r="1746" spans="2:4" ht="14" thickBot="1" x14ac:dyDescent="0.2">
      <c r="B1746" s="312">
        <v>43266</v>
      </c>
      <c r="C1746" s="321">
        <v>10817.7</v>
      </c>
      <c r="D1746" s="210">
        <f t="shared" si="27"/>
        <v>-1.6500734906681469E-3</v>
      </c>
    </row>
    <row r="1747" spans="2:4" ht="14" thickBot="1" x14ac:dyDescent="0.2">
      <c r="B1747" s="312">
        <v>43265</v>
      </c>
      <c r="C1747" s="321">
        <v>10808.05</v>
      </c>
      <c r="D1747" s="210">
        <f t="shared" si="27"/>
        <v>8.9285301233821279E-4</v>
      </c>
    </row>
    <row r="1748" spans="2:4" ht="14" thickBot="1" x14ac:dyDescent="0.2">
      <c r="B1748" s="312">
        <v>43264</v>
      </c>
      <c r="C1748" s="321">
        <v>10856.7</v>
      </c>
      <c r="D1748" s="209">
        <f t="shared" si="27"/>
        <v>-4.4811038344986232E-3</v>
      </c>
    </row>
    <row r="1749" spans="2:4" ht="14" thickBot="1" x14ac:dyDescent="0.2">
      <c r="B1749" s="312">
        <v>43263</v>
      </c>
      <c r="C1749" s="321">
        <v>10842.85</v>
      </c>
      <c r="D1749" s="209">
        <f t="shared" si="27"/>
        <v>1.2773394448877262E-3</v>
      </c>
    </row>
    <row r="1750" spans="2:4" ht="14" thickBot="1" x14ac:dyDescent="0.2">
      <c r="B1750" s="312">
        <v>43262</v>
      </c>
      <c r="C1750" s="321">
        <v>10786.95</v>
      </c>
      <c r="D1750" s="210">
        <f t="shared" si="27"/>
        <v>5.1821877361071245E-3</v>
      </c>
    </row>
    <row r="1751" spans="2:4" ht="14" thickBot="1" x14ac:dyDescent="0.2">
      <c r="B1751" s="312">
        <v>43259</v>
      </c>
      <c r="C1751" s="321">
        <v>10767.65</v>
      </c>
      <c r="D1751" s="209">
        <f t="shared" si="27"/>
        <v>1.7924059567315798E-3</v>
      </c>
    </row>
    <row r="1752" spans="2:4" ht="14" thickBot="1" x14ac:dyDescent="0.2">
      <c r="B1752" s="312">
        <v>43258</v>
      </c>
      <c r="C1752" s="321">
        <v>10768.35</v>
      </c>
      <c r="D1752" s="209">
        <f t="shared" si="27"/>
        <v>-6.5005316506328015E-5</v>
      </c>
    </row>
    <row r="1753" spans="2:4" ht="14" thickBot="1" x14ac:dyDescent="0.2">
      <c r="B1753" s="312">
        <v>43257</v>
      </c>
      <c r="C1753" s="321">
        <v>10684.65</v>
      </c>
      <c r="D1753" s="209">
        <f t="shared" si="27"/>
        <v>7.833667925482013E-3</v>
      </c>
    </row>
    <row r="1754" spans="2:4" ht="14" thickBot="1" x14ac:dyDescent="0.2">
      <c r="B1754" s="312">
        <v>43256</v>
      </c>
      <c r="C1754" s="321">
        <v>10593.15</v>
      </c>
      <c r="D1754" s="210">
        <f t="shared" si="27"/>
        <v>8.6376573540447588E-3</v>
      </c>
    </row>
    <row r="1755" spans="2:4" ht="14" thickBot="1" x14ac:dyDescent="0.2">
      <c r="B1755" s="312">
        <v>43255</v>
      </c>
      <c r="C1755" s="321">
        <v>10628.5</v>
      </c>
      <c r="D1755" s="210">
        <f t="shared" si="27"/>
        <v>-3.3259632121184213E-3</v>
      </c>
    </row>
    <row r="1756" spans="2:4" ht="14" thickBot="1" x14ac:dyDescent="0.2">
      <c r="B1756" s="312">
        <v>43252</v>
      </c>
      <c r="C1756" s="321">
        <v>10696.2</v>
      </c>
      <c r="D1756" s="210">
        <f t="shared" si="27"/>
        <v>-6.3293506104972197E-3</v>
      </c>
    </row>
    <row r="1757" spans="2:4" ht="14" thickBot="1" x14ac:dyDescent="0.2">
      <c r="B1757" s="312">
        <v>43251</v>
      </c>
      <c r="C1757" s="321">
        <v>10736.15</v>
      </c>
      <c r="D1757" s="209">
        <f t="shared" si="27"/>
        <v>-3.7210731966299537E-3</v>
      </c>
    </row>
    <row r="1758" spans="2:4" ht="14" thickBot="1" x14ac:dyDescent="0.2">
      <c r="B1758" s="312">
        <v>43250</v>
      </c>
      <c r="C1758" s="321">
        <v>10614.35</v>
      </c>
      <c r="D1758" s="210">
        <f t="shared" si="27"/>
        <v>1.147503144328188E-2</v>
      </c>
    </row>
    <row r="1759" spans="2:4" ht="14" thickBot="1" x14ac:dyDescent="0.2">
      <c r="B1759" s="312">
        <v>43249</v>
      </c>
      <c r="C1759" s="321">
        <v>10633.3</v>
      </c>
      <c r="D1759" s="209">
        <f t="shared" si="27"/>
        <v>-1.7821372480790743E-3</v>
      </c>
    </row>
    <row r="1760" spans="2:4" ht="14" thickBot="1" x14ac:dyDescent="0.2">
      <c r="B1760" s="312">
        <v>43248</v>
      </c>
      <c r="C1760" s="321">
        <v>10688.65</v>
      </c>
      <c r="D1760" s="209">
        <f t="shared" si="27"/>
        <v>-5.1783901615265471E-3</v>
      </c>
    </row>
    <row r="1761" spans="2:4" ht="14" thickBot="1" x14ac:dyDescent="0.2">
      <c r="B1761" s="312">
        <v>43245</v>
      </c>
      <c r="C1761" s="321">
        <v>10605.15</v>
      </c>
      <c r="D1761" s="210">
        <f t="shared" si="27"/>
        <v>7.8735331419168553E-3</v>
      </c>
    </row>
    <row r="1762" spans="2:4" ht="14" thickBot="1" x14ac:dyDescent="0.2">
      <c r="B1762" s="312">
        <v>43244</v>
      </c>
      <c r="C1762" s="321">
        <v>10513.85</v>
      </c>
      <c r="D1762" s="209">
        <f t="shared" si="27"/>
        <v>8.6837837709305976E-3</v>
      </c>
    </row>
    <row r="1763" spans="2:4" ht="14" thickBot="1" x14ac:dyDescent="0.2">
      <c r="B1763" s="312">
        <v>43243</v>
      </c>
      <c r="C1763" s="321">
        <v>10430.35</v>
      </c>
      <c r="D1763" s="209">
        <f t="shared" si="27"/>
        <v>8.0054839962224733E-3</v>
      </c>
    </row>
    <row r="1764" spans="2:4" ht="14" thickBot="1" x14ac:dyDescent="0.2">
      <c r="B1764" s="312">
        <v>43242</v>
      </c>
      <c r="C1764" s="321">
        <v>10536.7</v>
      </c>
      <c r="D1764" s="209">
        <f t="shared" si="27"/>
        <v>-1.0093292966488643E-2</v>
      </c>
    </row>
    <row r="1765" spans="2:4" ht="14" thickBot="1" x14ac:dyDescent="0.2">
      <c r="B1765" s="312">
        <v>43241</v>
      </c>
      <c r="C1765" s="321">
        <v>10516.7</v>
      </c>
      <c r="D1765" s="209">
        <f t="shared" si="27"/>
        <v>1.9017372369660723E-3</v>
      </c>
    </row>
    <row r="1766" spans="2:4" ht="14" thickBot="1" x14ac:dyDescent="0.2">
      <c r="B1766" s="312">
        <v>43238</v>
      </c>
      <c r="C1766" s="321">
        <v>10596.4</v>
      </c>
      <c r="D1766" s="209">
        <f t="shared" si="27"/>
        <v>-7.5214223698613081E-3</v>
      </c>
    </row>
    <row r="1767" spans="2:4" ht="14" thickBot="1" x14ac:dyDescent="0.2">
      <c r="B1767" s="312">
        <v>43237</v>
      </c>
      <c r="C1767" s="321">
        <v>10682.7</v>
      </c>
      <c r="D1767" s="210">
        <f t="shared" si="27"/>
        <v>-8.0784820316962547E-3</v>
      </c>
    </row>
    <row r="1768" spans="2:4" ht="14" thickBot="1" x14ac:dyDescent="0.2">
      <c r="B1768" s="312">
        <v>43236</v>
      </c>
      <c r="C1768" s="321">
        <v>10741.1</v>
      </c>
      <c r="D1768" s="210">
        <f t="shared" si="27"/>
        <v>-5.4370595190436077E-3</v>
      </c>
    </row>
    <row r="1769" spans="2:4" ht="14" thickBot="1" x14ac:dyDescent="0.2">
      <c r="B1769" s="312">
        <v>43235</v>
      </c>
      <c r="C1769" s="321">
        <v>10801.85</v>
      </c>
      <c r="D1769" s="210">
        <f t="shared" si="27"/>
        <v>-5.6240366233561989E-3</v>
      </c>
    </row>
    <row r="1770" spans="2:4" ht="14" thickBot="1" x14ac:dyDescent="0.2">
      <c r="B1770" s="312">
        <v>43234</v>
      </c>
      <c r="C1770" s="321">
        <v>10806.6</v>
      </c>
      <c r="D1770" s="210">
        <f t="shared" si="27"/>
        <v>-4.3954620324615501E-4</v>
      </c>
    </row>
    <row r="1771" spans="2:4" ht="14" thickBot="1" x14ac:dyDescent="0.2">
      <c r="B1771" s="312">
        <v>43231</v>
      </c>
      <c r="C1771" s="321">
        <v>10806.5</v>
      </c>
      <c r="D1771" s="209">
        <f t="shared" si="27"/>
        <v>9.2536899087836133E-6</v>
      </c>
    </row>
    <row r="1772" spans="2:4" ht="14" thickBot="1" x14ac:dyDescent="0.2">
      <c r="B1772" s="312">
        <v>43230</v>
      </c>
      <c r="C1772" s="321">
        <v>10716.55</v>
      </c>
      <c r="D1772" s="209">
        <f t="shared" si="27"/>
        <v>8.3935594944268832E-3</v>
      </c>
    </row>
    <row r="1773" spans="2:4" ht="14" thickBot="1" x14ac:dyDescent="0.2">
      <c r="B1773" s="312">
        <v>43229</v>
      </c>
      <c r="C1773" s="321">
        <v>10741.7</v>
      </c>
      <c r="D1773" s="210">
        <f t="shared" si="27"/>
        <v>-2.3413426180214358E-3</v>
      </c>
    </row>
    <row r="1774" spans="2:4" ht="14" thickBot="1" x14ac:dyDescent="0.2">
      <c r="B1774" s="312">
        <v>43228</v>
      </c>
      <c r="C1774" s="321">
        <v>10717.8</v>
      </c>
      <c r="D1774" s="210">
        <f t="shared" si="27"/>
        <v>2.2299352479053791E-3</v>
      </c>
    </row>
    <row r="1775" spans="2:4" ht="14" thickBot="1" x14ac:dyDescent="0.2">
      <c r="B1775" s="312">
        <v>43227</v>
      </c>
      <c r="C1775" s="321">
        <v>10715.5</v>
      </c>
      <c r="D1775" s="210">
        <f t="shared" si="27"/>
        <v>2.1464234053469866E-4</v>
      </c>
    </row>
    <row r="1776" spans="2:4" ht="14" thickBot="1" x14ac:dyDescent="0.2">
      <c r="B1776" s="312">
        <v>43224</v>
      </c>
      <c r="C1776" s="321">
        <v>10618.25</v>
      </c>
      <c r="D1776" s="210">
        <f t="shared" si="27"/>
        <v>9.1587596826219198E-3</v>
      </c>
    </row>
    <row r="1777" spans="2:4" ht="14" thickBot="1" x14ac:dyDescent="0.2">
      <c r="B1777" s="312">
        <v>43223</v>
      </c>
      <c r="C1777" s="321">
        <v>10679.65</v>
      </c>
      <c r="D1777" s="210">
        <f t="shared" si="27"/>
        <v>-5.7492520822310933E-3</v>
      </c>
    </row>
    <row r="1778" spans="2:4" ht="14" thickBot="1" x14ac:dyDescent="0.2">
      <c r="B1778" s="312">
        <v>43222</v>
      </c>
      <c r="C1778" s="321">
        <v>10718.05</v>
      </c>
      <c r="D1778" s="210">
        <f t="shared" si="27"/>
        <v>-3.5827412635693889E-3</v>
      </c>
    </row>
    <row r="1779" spans="2:4" ht="14" thickBot="1" x14ac:dyDescent="0.2">
      <c r="B1779" s="312">
        <v>43220</v>
      </c>
      <c r="C1779" s="321">
        <v>10739.35</v>
      </c>
      <c r="D1779" s="210">
        <f t="shared" si="27"/>
        <v>-1.9833602592336241E-3</v>
      </c>
    </row>
    <row r="1780" spans="2:4" ht="14" thickBot="1" x14ac:dyDescent="0.2">
      <c r="B1780" s="312">
        <v>43217</v>
      </c>
      <c r="C1780" s="321">
        <v>10692.3</v>
      </c>
      <c r="D1780" s="209">
        <f t="shared" si="27"/>
        <v>4.4003628779589743E-3</v>
      </c>
    </row>
    <row r="1781" spans="2:4" ht="14" thickBot="1" x14ac:dyDescent="0.2">
      <c r="B1781" s="312">
        <v>43216</v>
      </c>
      <c r="C1781" s="321">
        <v>10617.8</v>
      </c>
      <c r="D1781" s="210">
        <f t="shared" si="27"/>
        <v>7.0165194296369915E-3</v>
      </c>
    </row>
    <row r="1782" spans="2:4" ht="14" thickBot="1" x14ac:dyDescent="0.2">
      <c r="B1782" s="312">
        <v>43215</v>
      </c>
      <c r="C1782" s="321">
        <v>10570.55</v>
      </c>
      <c r="D1782" s="210">
        <f t="shared" si="27"/>
        <v>4.4699660850191503E-3</v>
      </c>
    </row>
    <row r="1783" spans="2:4" ht="14" thickBot="1" x14ac:dyDescent="0.2">
      <c r="B1783" s="312">
        <v>43214</v>
      </c>
      <c r="C1783" s="321">
        <v>10614.35</v>
      </c>
      <c r="D1783" s="209">
        <f t="shared" si="27"/>
        <v>-4.1264891397024828E-3</v>
      </c>
    </row>
    <row r="1784" spans="2:4" ht="14" thickBot="1" x14ac:dyDescent="0.2">
      <c r="B1784" s="312">
        <v>43213</v>
      </c>
      <c r="C1784" s="321">
        <v>10584.7</v>
      </c>
      <c r="D1784" s="209">
        <f t="shared" si="27"/>
        <v>2.8012130716978945E-3</v>
      </c>
    </row>
    <row r="1785" spans="2:4" ht="14" thickBot="1" x14ac:dyDescent="0.2">
      <c r="B1785" s="312">
        <v>43210</v>
      </c>
      <c r="C1785" s="321">
        <v>10564.05</v>
      </c>
      <c r="D1785" s="209">
        <f t="shared" si="27"/>
        <v>1.9547427359773994E-3</v>
      </c>
    </row>
    <row r="1786" spans="2:4" ht="14" thickBot="1" x14ac:dyDescent="0.2">
      <c r="B1786" s="312">
        <v>43209</v>
      </c>
      <c r="C1786" s="321">
        <v>10565.3</v>
      </c>
      <c r="D1786" s="210">
        <f t="shared" si="27"/>
        <v>-1.1831183212973606E-4</v>
      </c>
    </row>
    <row r="1787" spans="2:4" ht="14" thickBot="1" x14ac:dyDescent="0.2">
      <c r="B1787" s="312">
        <v>43208</v>
      </c>
      <c r="C1787" s="321">
        <v>10526.2</v>
      </c>
      <c r="D1787" s="210">
        <f t="shared" si="27"/>
        <v>3.7145408599492669E-3</v>
      </c>
    </row>
    <row r="1788" spans="2:4" ht="14" thickBot="1" x14ac:dyDescent="0.2">
      <c r="B1788" s="312">
        <v>43207</v>
      </c>
      <c r="C1788" s="321">
        <v>10548.7</v>
      </c>
      <c r="D1788" s="210">
        <f t="shared" si="27"/>
        <v>-2.1329642515190983E-3</v>
      </c>
    </row>
    <row r="1789" spans="2:4" ht="14" thickBot="1" x14ac:dyDescent="0.2">
      <c r="B1789" s="312">
        <v>43206</v>
      </c>
      <c r="C1789" s="321">
        <v>10528.35</v>
      </c>
      <c r="D1789" s="209">
        <f t="shared" si="27"/>
        <v>1.9328764716219915E-3</v>
      </c>
    </row>
    <row r="1790" spans="2:4" ht="14" thickBot="1" x14ac:dyDescent="0.2">
      <c r="B1790" s="312">
        <v>43203</v>
      </c>
      <c r="C1790" s="321">
        <v>10480.6</v>
      </c>
      <c r="D1790" s="209">
        <f t="shared" si="27"/>
        <v>4.5560368681183405E-3</v>
      </c>
    </row>
    <row r="1791" spans="2:4" ht="14" thickBot="1" x14ac:dyDescent="0.2">
      <c r="B1791" s="312">
        <v>43202</v>
      </c>
      <c r="C1791" s="321">
        <v>10458.65</v>
      </c>
      <c r="D1791" s="209">
        <f t="shared" si="27"/>
        <v>2.0987412333333122E-3</v>
      </c>
    </row>
    <row r="1792" spans="2:4" ht="14" thickBot="1" x14ac:dyDescent="0.2">
      <c r="B1792" s="312">
        <v>43201</v>
      </c>
      <c r="C1792" s="321">
        <v>10417.15</v>
      </c>
      <c r="D1792" s="210">
        <f t="shared" si="27"/>
        <v>3.9838151509770103E-3</v>
      </c>
    </row>
    <row r="1793" spans="2:4" ht="14" thickBot="1" x14ac:dyDescent="0.2">
      <c r="B1793" s="312">
        <v>43200</v>
      </c>
      <c r="C1793" s="321">
        <v>10402.25</v>
      </c>
      <c r="D1793" s="210">
        <f t="shared" si="27"/>
        <v>1.4323824172655097E-3</v>
      </c>
    </row>
    <row r="1794" spans="2:4" ht="14" thickBot="1" x14ac:dyDescent="0.2">
      <c r="B1794" s="312">
        <v>43199</v>
      </c>
      <c r="C1794" s="321">
        <v>10379.35</v>
      </c>
      <c r="D1794" s="209">
        <f t="shared" si="27"/>
        <v>2.206303862958725E-3</v>
      </c>
    </row>
    <row r="1795" spans="2:4" ht="14" thickBot="1" x14ac:dyDescent="0.2">
      <c r="B1795" s="312">
        <v>43196</v>
      </c>
      <c r="C1795" s="321">
        <v>10331.6</v>
      </c>
      <c r="D1795" s="210">
        <f t="shared" si="27"/>
        <v>4.6217430020518702E-3</v>
      </c>
    </row>
    <row r="1796" spans="2:4" ht="14" thickBot="1" x14ac:dyDescent="0.2">
      <c r="B1796" s="312">
        <v>43195</v>
      </c>
      <c r="C1796" s="321">
        <v>10325.15</v>
      </c>
      <c r="D1796" s="210">
        <f t="shared" si="27"/>
        <v>6.2468826118755594E-4</v>
      </c>
    </row>
    <row r="1797" spans="2:4" ht="14" thickBot="1" x14ac:dyDescent="0.2">
      <c r="B1797" s="312">
        <v>43194</v>
      </c>
      <c r="C1797" s="321">
        <v>10128.4</v>
      </c>
      <c r="D1797" s="210">
        <f t="shared" si="27"/>
        <v>1.9425575609178125E-2</v>
      </c>
    </row>
    <row r="1798" spans="2:4" ht="14" thickBot="1" x14ac:dyDescent="0.2">
      <c r="B1798" s="312">
        <v>43193</v>
      </c>
      <c r="C1798" s="321">
        <v>10245</v>
      </c>
      <c r="D1798" s="210">
        <f t="shared" si="27"/>
        <v>-1.1381161542215801E-2</v>
      </c>
    </row>
    <row r="1799" spans="2:4" ht="14" thickBot="1" x14ac:dyDescent="0.2">
      <c r="B1799" s="312">
        <v>43192</v>
      </c>
      <c r="C1799" s="321">
        <v>10211.799999999999</v>
      </c>
      <c r="D1799" s="210">
        <f t="shared" si="27"/>
        <v>3.2511408370710093E-3</v>
      </c>
    </row>
    <row r="1800" spans="2:4" ht="14" thickBot="1" x14ac:dyDescent="0.2">
      <c r="B1800" s="312">
        <v>43187</v>
      </c>
      <c r="C1800" s="321">
        <v>10113.700000000001</v>
      </c>
      <c r="D1800" s="209">
        <f t="shared" si="27"/>
        <v>9.6997142489887445E-3</v>
      </c>
    </row>
    <row r="1801" spans="2:4" ht="14" thickBot="1" x14ac:dyDescent="0.2">
      <c r="B1801" s="312">
        <v>43186</v>
      </c>
      <c r="C1801" s="321">
        <v>10184.15</v>
      </c>
      <c r="D1801" s="210">
        <f t="shared" si="27"/>
        <v>-6.9176121718551586E-3</v>
      </c>
    </row>
    <row r="1802" spans="2:4" ht="14" thickBot="1" x14ac:dyDescent="0.2">
      <c r="B1802" s="312">
        <v>43185</v>
      </c>
      <c r="C1802" s="321">
        <v>10130.65</v>
      </c>
      <c r="D1802" s="209">
        <f t="shared" si="27"/>
        <v>5.2810036868315979E-3</v>
      </c>
    </row>
    <row r="1803" spans="2:4" ht="14" thickBot="1" x14ac:dyDescent="0.2">
      <c r="B1803" s="312">
        <v>43182</v>
      </c>
      <c r="C1803" s="321">
        <v>9998.0499999999993</v>
      </c>
      <c r="D1803" s="209">
        <f t="shared" ref="D1803:D1866" si="28">C1802/C1803-1</f>
        <v>1.3262586204309867E-2</v>
      </c>
    </row>
    <row r="1804" spans="2:4" ht="14" thickBot="1" x14ac:dyDescent="0.2">
      <c r="B1804" s="312">
        <v>43181</v>
      </c>
      <c r="C1804" s="321">
        <v>10114.75</v>
      </c>
      <c r="D1804" s="209">
        <f t="shared" si="28"/>
        <v>-1.1537605971477349E-2</v>
      </c>
    </row>
    <row r="1805" spans="2:4" ht="14" thickBot="1" x14ac:dyDescent="0.2">
      <c r="B1805" s="312">
        <v>43180</v>
      </c>
      <c r="C1805" s="321">
        <v>10155.25</v>
      </c>
      <c r="D1805" s="209">
        <f t="shared" si="28"/>
        <v>-3.988084980675044E-3</v>
      </c>
    </row>
    <row r="1806" spans="2:4" ht="14" thickBot="1" x14ac:dyDescent="0.2">
      <c r="B1806" s="312">
        <v>43179</v>
      </c>
      <c r="C1806" s="321">
        <v>10124.35</v>
      </c>
      <c r="D1806" s="209">
        <f t="shared" si="28"/>
        <v>3.0520477857838291E-3</v>
      </c>
    </row>
    <row r="1807" spans="2:4" ht="14" thickBot="1" x14ac:dyDescent="0.2">
      <c r="B1807" s="312">
        <v>43178</v>
      </c>
      <c r="C1807" s="321">
        <v>10094.25</v>
      </c>
      <c r="D1807" s="210">
        <f t="shared" si="28"/>
        <v>2.9818956336529201E-3</v>
      </c>
    </row>
    <row r="1808" spans="2:4" ht="14" thickBot="1" x14ac:dyDescent="0.2">
      <c r="B1808" s="312">
        <v>43175</v>
      </c>
      <c r="C1808" s="321">
        <v>10195.15</v>
      </c>
      <c r="D1808" s="209">
        <f t="shared" si="28"/>
        <v>-9.8968627239421902E-3</v>
      </c>
    </row>
    <row r="1809" spans="2:4" ht="14" thickBot="1" x14ac:dyDescent="0.2">
      <c r="B1809" s="312">
        <v>43174</v>
      </c>
      <c r="C1809" s="321">
        <v>10360.15</v>
      </c>
      <c r="D1809" s="209">
        <f t="shared" si="28"/>
        <v>-1.592641033189679E-2</v>
      </c>
    </row>
    <row r="1810" spans="2:4" ht="14" thickBot="1" x14ac:dyDescent="0.2">
      <c r="B1810" s="312">
        <v>43173</v>
      </c>
      <c r="C1810" s="321">
        <v>10410.9</v>
      </c>
      <c r="D1810" s="209">
        <f t="shared" si="28"/>
        <v>-4.8746986331633657E-3</v>
      </c>
    </row>
    <row r="1811" spans="2:4" ht="14" thickBot="1" x14ac:dyDescent="0.2">
      <c r="B1811" s="312">
        <v>43172</v>
      </c>
      <c r="C1811" s="321">
        <v>10426.85</v>
      </c>
      <c r="D1811" s="209">
        <f t="shared" si="28"/>
        <v>-1.5297045608214654E-3</v>
      </c>
    </row>
    <row r="1812" spans="2:4" ht="14" thickBot="1" x14ac:dyDescent="0.2">
      <c r="B1812" s="312">
        <v>43171</v>
      </c>
      <c r="C1812" s="321">
        <v>10421.4</v>
      </c>
      <c r="D1812" s="210">
        <f t="shared" si="28"/>
        <v>5.229623659011029E-4</v>
      </c>
    </row>
    <row r="1813" spans="2:4" ht="14" thickBot="1" x14ac:dyDescent="0.2">
      <c r="B1813" s="312">
        <v>43168</v>
      </c>
      <c r="C1813" s="321">
        <v>10226.85</v>
      </c>
      <c r="D1813" s="210">
        <f t="shared" si="28"/>
        <v>1.9023452969389343E-2</v>
      </c>
    </row>
    <row r="1814" spans="2:4" ht="14" thickBot="1" x14ac:dyDescent="0.2">
      <c r="B1814" s="312">
        <v>43167</v>
      </c>
      <c r="C1814" s="321">
        <v>10242.65</v>
      </c>
      <c r="D1814" s="209">
        <f t="shared" si="28"/>
        <v>-1.542569549872308E-3</v>
      </c>
    </row>
    <row r="1815" spans="2:4" ht="14" thickBot="1" x14ac:dyDescent="0.2">
      <c r="B1815" s="312">
        <v>43166</v>
      </c>
      <c r="C1815" s="321">
        <v>10154.200000000001</v>
      </c>
      <c r="D1815" s="209">
        <f t="shared" si="28"/>
        <v>8.7106812944395262E-3</v>
      </c>
    </row>
    <row r="1816" spans="2:4" ht="14" thickBot="1" x14ac:dyDescent="0.2">
      <c r="B1816" s="312">
        <v>43165</v>
      </c>
      <c r="C1816" s="321">
        <v>10249.25</v>
      </c>
      <c r="D1816" s="210">
        <f t="shared" si="28"/>
        <v>-9.2738493060466887E-3</v>
      </c>
    </row>
    <row r="1817" spans="2:4" ht="14" thickBot="1" x14ac:dyDescent="0.2">
      <c r="B1817" s="312">
        <v>43164</v>
      </c>
      <c r="C1817" s="321">
        <v>10358.85</v>
      </c>
      <c r="D1817" s="209">
        <f t="shared" si="28"/>
        <v>-1.0580325036080307E-2</v>
      </c>
    </row>
    <row r="1818" spans="2:4" ht="14" thickBot="1" x14ac:dyDescent="0.2">
      <c r="B1818" s="312">
        <v>43160</v>
      </c>
      <c r="C1818" s="321">
        <v>10458.35</v>
      </c>
      <c r="D1818" s="209">
        <f t="shared" si="28"/>
        <v>-9.5139290614676408E-3</v>
      </c>
    </row>
    <row r="1819" spans="2:4" ht="14" thickBot="1" x14ac:dyDescent="0.2">
      <c r="B1819" s="312">
        <v>43159</v>
      </c>
      <c r="C1819" s="321">
        <v>10492.85</v>
      </c>
      <c r="D1819" s="209">
        <f t="shared" si="28"/>
        <v>-3.2879532252915178E-3</v>
      </c>
    </row>
    <row r="1820" spans="2:4" ht="14" thickBot="1" x14ac:dyDescent="0.2">
      <c r="B1820" s="312">
        <v>43158</v>
      </c>
      <c r="C1820" s="321">
        <v>10554.3</v>
      </c>
      <c r="D1820" s="210">
        <f t="shared" si="28"/>
        <v>-5.8222714912404827E-3</v>
      </c>
    </row>
    <row r="1821" spans="2:4" ht="14" thickBot="1" x14ac:dyDescent="0.2">
      <c r="B1821" s="312">
        <v>43157</v>
      </c>
      <c r="C1821" s="321">
        <v>10582.6</v>
      </c>
      <c r="D1821" s="210">
        <f t="shared" si="28"/>
        <v>-2.6742010470017785E-3</v>
      </c>
    </row>
    <row r="1822" spans="2:4" ht="14" thickBot="1" x14ac:dyDescent="0.2">
      <c r="B1822" s="312">
        <v>43154</v>
      </c>
      <c r="C1822" s="321">
        <v>10491.05</v>
      </c>
      <c r="D1822" s="209">
        <f t="shared" si="28"/>
        <v>8.7264859094180469E-3</v>
      </c>
    </row>
    <row r="1823" spans="2:4" ht="14" thickBot="1" x14ac:dyDescent="0.2">
      <c r="B1823" s="312">
        <v>43153</v>
      </c>
      <c r="C1823" s="321">
        <v>10382.700000000001</v>
      </c>
      <c r="D1823" s="210">
        <f t="shared" si="28"/>
        <v>1.0435628497404092E-2</v>
      </c>
    </row>
    <row r="1824" spans="2:4" ht="14" thickBot="1" x14ac:dyDescent="0.2">
      <c r="B1824" s="312">
        <v>43152</v>
      </c>
      <c r="C1824" s="321">
        <v>10397.450000000001</v>
      </c>
      <c r="D1824" s="210">
        <f t="shared" si="28"/>
        <v>-1.4186170647610963E-3</v>
      </c>
    </row>
    <row r="1825" spans="2:4" ht="14" thickBot="1" x14ac:dyDescent="0.2">
      <c r="B1825" s="312">
        <v>43151</v>
      </c>
      <c r="C1825" s="321">
        <v>10360.4</v>
      </c>
      <c r="D1825" s="210">
        <f t="shared" si="28"/>
        <v>3.5761167522490034E-3</v>
      </c>
    </row>
    <row r="1826" spans="2:4" ht="14" thickBot="1" x14ac:dyDescent="0.2">
      <c r="B1826" s="312">
        <v>43150</v>
      </c>
      <c r="C1826" s="321">
        <v>10378.4</v>
      </c>
      <c r="D1826" s="210">
        <f t="shared" si="28"/>
        <v>-1.7343713867262744E-3</v>
      </c>
    </row>
    <row r="1827" spans="2:4" ht="14" thickBot="1" x14ac:dyDescent="0.2">
      <c r="B1827" s="312">
        <v>43147</v>
      </c>
      <c r="C1827" s="321">
        <v>10452.299999999999</v>
      </c>
      <c r="D1827" s="209">
        <f t="shared" si="28"/>
        <v>-7.0702142112262223E-3</v>
      </c>
    </row>
    <row r="1828" spans="2:4" ht="14" thickBot="1" x14ac:dyDescent="0.2">
      <c r="B1828" s="312">
        <v>43146</v>
      </c>
      <c r="C1828" s="321">
        <v>10545.5</v>
      </c>
      <c r="D1828" s="209">
        <f t="shared" si="28"/>
        <v>-8.8378929401167206E-3</v>
      </c>
    </row>
    <row r="1829" spans="2:4" ht="14" thickBot="1" x14ac:dyDescent="0.2">
      <c r="B1829" s="312">
        <v>43145</v>
      </c>
      <c r="C1829" s="321">
        <v>10500.9</v>
      </c>
      <c r="D1829" s="209">
        <f t="shared" si="28"/>
        <v>4.247254997190808E-3</v>
      </c>
    </row>
    <row r="1830" spans="2:4" ht="14" thickBot="1" x14ac:dyDescent="0.2">
      <c r="B1830" s="312">
        <v>43143</v>
      </c>
      <c r="C1830" s="321">
        <v>10539.75</v>
      </c>
      <c r="D1830" s="210">
        <f t="shared" si="28"/>
        <v>-3.6860456841956157E-3</v>
      </c>
    </row>
    <row r="1831" spans="2:4" ht="14" thickBot="1" x14ac:dyDescent="0.2">
      <c r="B1831" s="312">
        <v>43140</v>
      </c>
      <c r="C1831" s="321">
        <v>10454.950000000001</v>
      </c>
      <c r="D1831" s="210">
        <f t="shared" si="28"/>
        <v>8.1109904877592065E-3</v>
      </c>
    </row>
    <row r="1832" spans="2:4" ht="14" thickBot="1" x14ac:dyDescent="0.2">
      <c r="B1832" s="312">
        <v>43139</v>
      </c>
      <c r="C1832" s="321">
        <v>10576.85</v>
      </c>
      <c r="D1832" s="209">
        <f t="shared" si="28"/>
        <v>-1.1525170537541873E-2</v>
      </c>
    </row>
    <row r="1833" spans="2:4" ht="14" thickBot="1" x14ac:dyDescent="0.2">
      <c r="B1833" s="312">
        <v>43138</v>
      </c>
      <c r="C1833" s="321">
        <v>10476.700000000001</v>
      </c>
      <c r="D1833" s="209">
        <f t="shared" si="28"/>
        <v>9.5593077973026297E-3</v>
      </c>
    </row>
    <row r="1834" spans="2:4" ht="14" thickBot="1" x14ac:dyDescent="0.2">
      <c r="B1834" s="312">
        <v>43137</v>
      </c>
      <c r="C1834" s="321">
        <v>10498.25</v>
      </c>
      <c r="D1834" s="210">
        <f t="shared" si="28"/>
        <v>-2.052723072893059E-3</v>
      </c>
    </row>
    <row r="1835" spans="2:4" ht="14" thickBot="1" x14ac:dyDescent="0.2">
      <c r="B1835" s="312">
        <v>43136</v>
      </c>
      <c r="C1835" s="321">
        <v>10666.55</v>
      </c>
      <c r="D1835" s="209">
        <f t="shared" si="28"/>
        <v>-1.5778297575129607E-2</v>
      </c>
    </row>
    <row r="1836" spans="2:4" ht="14" thickBot="1" x14ac:dyDescent="0.2">
      <c r="B1836" s="312">
        <v>43133</v>
      </c>
      <c r="C1836" s="321">
        <v>10760.6</v>
      </c>
      <c r="D1836" s="210">
        <f t="shared" si="28"/>
        <v>-8.7402189468990255E-3</v>
      </c>
    </row>
    <row r="1837" spans="2:4" ht="14" thickBot="1" x14ac:dyDescent="0.2">
      <c r="B1837" s="312">
        <v>43132</v>
      </c>
      <c r="C1837" s="321">
        <v>11016.9</v>
      </c>
      <c r="D1837" s="209">
        <f t="shared" si="28"/>
        <v>-2.326425764053397E-2</v>
      </c>
    </row>
    <row r="1838" spans="2:4" ht="14" thickBot="1" x14ac:dyDescent="0.2">
      <c r="B1838" s="312">
        <v>43131</v>
      </c>
      <c r="C1838" s="321">
        <v>11027.7</v>
      </c>
      <c r="D1838" s="210">
        <f t="shared" si="28"/>
        <v>-9.7935199542975582E-4</v>
      </c>
    </row>
    <row r="1839" spans="2:4" ht="14" thickBot="1" x14ac:dyDescent="0.2">
      <c r="B1839" s="312">
        <v>43130</v>
      </c>
      <c r="C1839" s="321">
        <v>11049.65</v>
      </c>
      <c r="D1839" s="209">
        <f t="shared" si="28"/>
        <v>-1.9864882598090716E-3</v>
      </c>
    </row>
    <row r="1840" spans="2:4" ht="14" thickBot="1" x14ac:dyDescent="0.2">
      <c r="B1840" s="312">
        <v>43129</v>
      </c>
      <c r="C1840" s="321">
        <v>11130.4</v>
      </c>
      <c r="D1840" s="210">
        <f t="shared" si="28"/>
        <v>-7.2549054840795879E-3</v>
      </c>
    </row>
    <row r="1841" spans="2:4" ht="14" thickBot="1" x14ac:dyDescent="0.2">
      <c r="B1841" s="312">
        <v>43125</v>
      </c>
      <c r="C1841" s="321">
        <v>11069.65</v>
      </c>
      <c r="D1841" s="210">
        <f t="shared" si="28"/>
        <v>5.4879783913674984E-3</v>
      </c>
    </row>
    <row r="1842" spans="2:4" ht="14" thickBot="1" x14ac:dyDescent="0.2">
      <c r="B1842" s="312">
        <v>43124</v>
      </c>
      <c r="C1842" s="321">
        <v>11086</v>
      </c>
      <c r="D1842" s="210">
        <f t="shared" si="28"/>
        <v>-1.4748331228576772E-3</v>
      </c>
    </row>
    <row r="1843" spans="2:4" ht="14" thickBot="1" x14ac:dyDescent="0.2">
      <c r="B1843" s="312">
        <v>43123</v>
      </c>
      <c r="C1843" s="321">
        <v>11083.7</v>
      </c>
      <c r="D1843" s="210">
        <f t="shared" si="28"/>
        <v>2.0751193193602191E-4</v>
      </c>
    </row>
    <row r="1844" spans="2:4" ht="14" thickBot="1" x14ac:dyDescent="0.2">
      <c r="B1844" s="312">
        <v>43122</v>
      </c>
      <c r="C1844" s="321">
        <v>10966.2</v>
      </c>
      <c r="D1844" s="209">
        <f t="shared" si="28"/>
        <v>1.071474166073938E-2</v>
      </c>
    </row>
    <row r="1845" spans="2:4" ht="14" thickBot="1" x14ac:dyDescent="0.2">
      <c r="B1845" s="312">
        <v>43119</v>
      </c>
      <c r="C1845" s="321">
        <v>10894.7</v>
      </c>
      <c r="D1845" s="209">
        <f t="shared" si="28"/>
        <v>6.5628241254922504E-3</v>
      </c>
    </row>
    <row r="1846" spans="2:4" ht="14" thickBot="1" x14ac:dyDescent="0.2">
      <c r="B1846" s="312">
        <v>43118</v>
      </c>
      <c r="C1846" s="321">
        <v>10817</v>
      </c>
      <c r="D1846" s="210">
        <f t="shared" si="28"/>
        <v>7.1831376536932723E-3</v>
      </c>
    </row>
    <row r="1847" spans="2:4" ht="14" thickBot="1" x14ac:dyDescent="0.2">
      <c r="B1847" s="312">
        <v>43117</v>
      </c>
      <c r="C1847" s="321">
        <v>10788.55</v>
      </c>
      <c r="D1847" s="210">
        <f t="shared" si="28"/>
        <v>2.6370550259302572E-3</v>
      </c>
    </row>
    <row r="1848" spans="2:4" ht="14" thickBot="1" x14ac:dyDescent="0.2">
      <c r="B1848" s="312">
        <v>43116</v>
      </c>
      <c r="C1848" s="321">
        <v>10700.45</v>
      </c>
      <c r="D1848" s="210">
        <f t="shared" si="28"/>
        <v>8.2332985995914321E-3</v>
      </c>
    </row>
    <row r="1849" spans="2:4" ht="14" thickBot="1" x14ac:dyDescent="0.2">
      <c r="B1849" s="312">
        <v>43115</v>
      </c>
      <c r="C1849" s="321">
        <v>10741.55</v>
      </c>
      <c r="D1849" s="209">
        <f t="shared" si="28"/>
        <v>-3.8262634349789382E-3</v>
      </c>
    </row>
    <row r="1850" spans="2:4" ht="14" thickBot="1" x14ac:dyDescent="0.2">
      <c r="B1850" s="312">
        <v>43112</v>
      </c>
      <c r="C1850" s="321">
        <v>10681.25</v>
      </c>
      <c r="D1850" s="209">
        <f t="shared" si="28"/>
        <v>5.6454066705675654E-3</v>
      </c>
    </row>
    <row r="1851" spans="2:4" ht="14" thickBot="1" x14ac:dyDescent="0.2">
      <c r="B1851" s="312">
        <v>43111</v>
      </c>
      <c r="C1851" s="321">
        <v>10651.2</v>
      </c>
      <c r="D1851" s="210">
        <f t="shared" si="28"/>
        <v>2.8212783536125663E-3</v>
      </c>
    </row>
    <row r="1852" spans="2:4" ht="14" thickBot="1" x14ac:dyDescent="0.2">
      <c r="B1852" s="312">
        <v>43110</v>
      </c>
      <c r="C1852" s="321">
        <v>10632.2</v>
      </c>
      <c r="D1852" s="210">
        <f t="shared" si="28"/>
        <v>1.7870243223414572E-3</v>
      </c>
    </row>
    <row r="1853" spans="2:4" ht="14" thickBot="1" x14ac:dyDescent="0.2">
      <c r="B1853" s="312">
        <v>43109</v>
      </c>
      <c r="C1853" s="321">
        <v>10637</v>
      </c>
      <c r="D1853" s="209">
        <f t="shared" si="28"/>
        <v>-4.5125505311638392E-4</v>
      </c>
    </row>
    <row r="1854" spans="2:4" ht="14" thickBot="1" x14ac:dyDescent="0.2">
      <c r="B1854" s="312">
        <v>43108</v>
      </c>
      <c r="C1854" s="321">
        <v>10623.6</v>
      </c>
      <c r="D1854" s="210">
        <f t="shared" si="28"/>
        <v>1.2613426710341713E-3</v>
      </c>
    </row>
    <row r="1855" spans="2:4" ht="14" thickBot="1" x14ac:dyDescent="0.2">
      <c r="B1855" s="312">
        <v>43105</v>
      </c>
      <c r="C1855" s="321">
        <v>10558.85</v>
      </c>
      <c r="D1855" s="210">
        <f t="shared" si="28"/>
        <v>6.132296604270282E-3</v>
      </c>
    </row>
    <row r="1856" spans="2:4" ht="14" thickBot="1" x14ac:dyDescent="0.2">
      <c r="B1856" s="312">
        <v>43104</v>
      </c>
      <c r="C1856" s="321">
        <v>10504.8</v>
      </c>
      <c r="D1856" s="210">
        <f t="shared" si="28"/>
        <v>5.1452669255960259E-3</v>
      </c>
    </row>
    <row r="1857" spans="2:4" ht="14" thickBot="1" x14ac:dyDescent="0.2">
      <c r="B1857" s="312">
        <v>43103</v>
      </c>
      <c r="C1857" s="321">
        <v>10443.200000000001</v>
      </c>
      <c r="D1857" s="209">
        <f t="shared" si="28"/>
        <v>5.8985751493794147E-3</v>
      </c>
    </row>
    <row r="1858" spans="2:4" ht="14" thickBot="1" x14ac:dyDescent="0.2">
      <c r="B1858" s="312">
        <v>43102</v>
      </c>
      <c r="C1858" s="321">
        <v>10442.200000000001</v>
      </c>
      <c r="D1858" s="209">
        <f t="shared" si="28"/>
        <v>9.5765260194280444E-5</v>
      </c>
    </row>
    <row r="1859" spans="2:4" ht="14" thickBot="1" x14ac:dyDescent="0.2">
      <c r="B1859" s="312">
        <v>43101</v>
      </c>
      <c r="C1859" s="321">
        <v>10435.549999999999</v>
      </c>
      <c r="D1859" s="210">
        <f t="shared" si="28"/>
        <v>6.3724480262195016E-4</v>
      </c>
    </row>
    <row r="1860" spans="2:4" ht="14" thickBot="1" x14ac:dyDescent="0.2">
      <c r="B1860" s="312">
        <v>43098</v>
      </c>
      <c r="C1860" s="321">
        <v>10530.7</v>
      </c>
      <c r="D1860" s="210">
        <f t="shared" si="28"/>
        <v>-9.0354867197813826E-3</v>
      </c>
    </row>
    <row r="1861" spans="2:4" ht="14" thickBot="1" x14ac:dyDescent="0.2">
      <c r="B1861" s="312">
        <v>43097</v>
      </c>
      <c r="C1861" s="321">
        <v>10477.9</v>
      </c>
      <c r="D1861" s="210">
        <f t="shared" si="28"/>
        <v>5.03917769782114E-3</v>
      </c>
    </row>
    <row r="1862" spans="2:4" ht="14" thickBot="1" x14ac:dyDescent="0.2">
      <c r="B1862" s="312">
        <v>43096</v>
      </c>
      <c r="C1862" s="321">
        <v>10490.75</v>
      </c>
      <c r="D1862" s="210">
        <f t="shared" si="28"/>
        <v>-1.2248885923313857E-3</v>
      </c>
    </row>
    <row r="1863" spans="2:4" ht="14" thickBot="1" x14ac:dyDescent="0.2">
      <c r="B1863" s="312">
        <v>43095</v>
      </c>
      <c r="C1863" s="321">
        <v>10531.5</v>
      </c>
      <c r="D1863" s="209">
        <f t="shared" si="28"/>
        <v>-3.8693443479086431E-3</v>
      </c>
    </row>
    <row r="1864" spans="2:4" ht="14" thickBot="1" x14ac:dyDescent="0.2">
      <c r="B1864" s="312">
        <v>43091</v>
      </c>
      <c r="C1864" s="321">
        <v>10493</v>
      </c>
      <c r="D1864" s="209">
        <f t="shared" si="28"/>
        <v>3.6691127418277958E-3</v>
      </c>
    </row>
    <row r="1865" spans="2:4" ht="14" thickBot="1" x14ac:dyDescent="0.2">
      <c r="B1865" s="312">
        <v>43090</v>
      </c>
      <c r="C1865" s="321">
        <v>10440.299999999999</v>
      </c>
      <c r="D1865" s="209">
        <f t="shared" si="28"/>
        <v>5.047747670086089E-3</v>
      </c>
    </row>
    <row r="1866" spans="2:4" ht="14" thickBot="1" x14ac:dyDescent="0.2">
      <c r="B1866" s="312">
        <v>43089</v>
      </c>
      <c r="C1866" s="321">
        <v>10444.200000000001</v>
      </c>
      <c r="D1866" s="209">
        <f t="shared" si="28"/>
        <v>-3.7341299477233747E-4</v>
      </c>
    </row>
    <row r="1867" spans="2:4" ht="14" thickBot="1" x14ac:dyDescent="0.2">
      <c r="B1867" s="312">
        <v>43088</v>
      </c>
      <c r="C1867" s="321">
        <v>10463.200000000001</v>
      </c>
      <c r="D1867" s="209">
        <f t="shared" ref="D1867:D1930" si="29">C1866/C1867-1</f>
        <v>-1.8158880648367903E-3</v>
      </c>
    </row>
    <row r="1868" spans="2:4" ht="14" thickBot="1" x14ac:dyDescent="0.2">
      <c r="B1868" s="312">
        <v>43087</v>
      </c>
      <c r="C1868" s="321">
        <v>10388.75</v>
      </c>
      <c r="D1868" s="209">
        <f t="shared" si="29"/>
        <v>7.1664059679943382E-3</v>
      </c>
    </row>
    <row r="1869" spans="2:4" ht="14" thickBot="1" x14ac:dyDescent="0.2">
      <c r="B1869" s="312">
        <v>43084</v>
      </c>
      <c r="C1869" s="321">
        <v>10333.25</v>
      </c>
      <c r="D1869" s="209">
        <f t="shared" si="29"/>
        <v>5.3710110565408087E-3</v>
      </c>
    </row>
    <row r="1870" spans="2:4" ht="14" thickBot="1" x14ac:dyDescent="0.2">
      <c r="B1870" s="312">
        <v>43083</v>
      </c>
      <c r="C1870" s="321">
        <v>10252.1</v>
      </c>
      <c r="D1870" s="210">
        <f t="shared" si="29"/>
        <v>7.9154514684796062E-3</v>
      </c>
    </row>
    <row r="1871" spans="2:4" ht="14" thickBot="1" x14ac:dyDescent="0.2">
      <c r="B1871" s="312">
        <v>43082</v>
      </c>
      <c r="C1871" s="321">
        <v>10192.950000000001</v>
      </c>
      <c r="D1871" s="209">
        <f t="shared" si="29"/>
        <v>5.8030305260008408E-3</v>
      </c>
    </row>
    <row r="1872" spans="2:4" ht="14" thickBot="1" x14ac:dyDescent="0.2">
      <c r="B1872" s="312">
        <v>43081</v>
      </c>
      <c r="C1872" s="321">
        <v>10240.15</v>
      </c>
      <c r="D1872" s="209">
        <f t="shared" si="29"/>
        <v>-4.6093074808473133E-3</v>
      </c>
    </row>
    <row r="1873" spans="2:4" ht="14" thickBot="1" x14ac:dyDescent="0.2">
      <c r="B1873" s="312">
        <v>43080</v>
      </c>
      <c r="C1873" s="321">
        <v>10322.25</v>
      </c>
      <c r="D1873" s="210">
        <f t="shared" si="29"/>
        <v>-7.9536922667055032E-3</v>
      </c>
    </row>
    <row r="1874" spans="2:4" ht="14" thickBot="1" x14ac:dyDescent="0.2">
      <c r="B1874" s="312">
        <v>43077</v>
      </c>
      <c r="C1874" s="321">
        <v>10265.65</v>
      </c>
      <c r="D1874" s="210">
        <f t="shared" si="29"/>
        <v>5.5135329959623558E-3</v>
      </c>
    </row>
    <row r="1875" spans="2:4" ht="14" thickBot="1" x14ac:dyDescent="0.2">
      <c r="B1875" s="312">
        <v>43076</v>
      </c>
      <c r="C1875" s="321">
        <v>10166.700000000001</v>
      </c>
      <c r="D1875" s="210">
        <f t="shared" si="29"/>
        <v>9.7327549745738207E-3</v>
      </c>
    </row>
    <row r="1876" spans="2:4" ht="14" thickBot="1" x14ac:dyDescent="0.2">
      <c r="B1876" s="312">
        <v>43075</v>
      </c>
      <c r="C1876" s="321">
        <v>10044.1</v>
      </c>
      <c r="D1876" s="210">
        <f t="shared" si="29"/>
        <v>1.2206170786830173E-2</v>
      </c>
    </row>
    <row r="1877" spans="2:4" ht="14" thickBot="1" x14ac:dyDescent="0.2">
      <c r="B1877" s="312">
        <v>43074</v>
      </c>
      <c r="C1877" s="321">
        <v>10118.25</v>
      </c>
      <c r="D1877" s="209">
        <f t="shared" si="29"/>
        <v>-7.3283423516912194E-3</v>
      </c>
    </row>
    <row r="1878" spans="2:4" ht="14" thickBot="1" x14ac:dyDescent="0.2">
      <c r="B1878" s="312">
        <v>43073</v>
      </c>
      <c r="C1878" s="321">
        <v>10127.75</v>
      </c>
      <c r="D1878" s="209">
        <f t="shared" si="29"/>
        <v>-9.3801683493377475E-4</v>
      </c>
    </row>
    <row r="1879" spans="2:4" ht="14" thickBot="1" x14ac:dyDescent="0.2">
      <c r="B1879" s="312">
        <v>43070</v>
      </c>
      <c r="C1879" s="321">
        <v>10121.799999999999</v>
      </c>
      <c r="D1879" s="209">
        <f t="shared" si="29"/>
        <v>5.8784010749080018E-4</v>
      </c>
    </row>
    <row r="1880" spans="2:4" ht="14" thickBot="1" x14ac:dyDescent="0.2">
      <c r="B1880" s="312">
        <v>43069</v>
      </c>
      <c r="C1880" s="321">
        <v>10226.549999999999</v>
      </c>
      <c r="D1880" s="210">
        <f t="shared" si="29"/>
        <v>-1.0242946057076874E-2</v>
      </c>
    </row>
    <row r="1881" spans="2:4" ht="14" thickBot="1" x14ac:dyDescent="0.2">
      <c r="B1881" s="312">
        <v>43068</v>
      </c>
      <c r="C1881" s="321">
        <v>10361.299999999999</v>
      </c>
      <c r="D1881" s="209">
        <f t="shared" si="29"/>
        <v>-1.3005124839547189E-2</v>
      </c>
    </row>
    <row r="1882" spans="2:4" ht="14" thickBot="1" x14ac:dyDescent="0.2">
      <c r="B1882" s="312">
        <v>43067</v>
      </c>
      <c r="C1882" s="321">
        <v>10370.25</v>
      </c>
      <c r="D1882" s="210">
        <f t="shared" si="29"/>
        <v>-8.6304573178086486E-4</v>
      </c>
    </row>
    <row r="1883" spans="2:4" ht="14" thickBot="1" x14ac:dyDescent="0.2">
      <c r="B1883" s="312">
        <v>43066</v>
      </c>
      <c r="C1883" s="321">
        <v>10399.549999999999</v>
      </c>
      <c r="D1883" s="210">
        <f t="shared" si="29"/>
        <v>-2.8174296003191657E-3</v>
      </c>
    </row>
    <row r="1884" spans="2:4" ht="14" thickBot="1" x14ac:dyDescent="0.2">
      <c r="B1884" s="312">
        <v>43063</v>
      </c>
      <c r="C1884" s="321">
        <v>10389.700000000001</v>
      </c>
      <c r="D1884" s="209">
        <f t="shared" si="29"/>
        <v>9.4805432303135539E-4</v>
      </c>
    </row>
    <row r="1885" spans="2:4" ht="14" thickBot="1" x14ac:dyDescent="0.2">
      <c r="B1885" s="312">
        <v>43062</v>
      </c>
      <c r="C1885" s="321">
        <v>10348.75</v>
      </c>
      <c r="D1885" s="209">
        <f t="shared" si="29"/>
        <v>3.9569996376374039E-3</v>
      </c>
    </row>
    <row r="1886" spans="2:4" ht="14" thickBot="1" x14ac:dyDescent="0.2">
      <c r="B1886" s="312">
        <v>43061</v>
      </c>
      <c r="C1886" s="321">
        <v>10342.299999999999</v>
      </c>
      <c r="D1886" s="209">
        <f t="shared" si="29"/>
        <v>6.2365237906458759E-4</v>
      </c>
    </row>
    <row r="1887" spans="2:4" ht="14" thickBot="1" x14ac:dyDescent="0.2">
      <c r="B1887" s="312">
        <v>43060</v>
      </c>
      <c r="C1887" s="321">
        <v>10326.9</v>
      </c>
      <c r="D1887" s="210">
        <f t="shared" si="29"/>
        <v>1.4912510046576344E-3</v>
      </c>
    </row>
    <row r="1888" spans="2:4" ht="14" thickBot="1" x14ac:dyDescent="0.2">
      <c r="B1888" s="312">
        <v>43059</v>
      </c>
      <c r="C1888" s="321">
        <v>10298.75</v>
      </c>
      <c r="D1888" s="209">
        <f t="shared" si="29"/>
        <v>2.7333414249302024E-3</v>
      </c>
    </row>
    <row r="1889" spans="2:4" ht="14" thickBot="1" x14ac:dyDescent="0.2">
      <c r="B1889" s="312">
        <v>43056</v>
      </c>
      <c r="C1889" s="321">
        <v>10283.6</v>
      </c>
      <c r="D1889" s="210">
        <f t="shared" si="29"/>
        <v>1.4732194951183608E-3</v>
      </c>
    </row>
    <row r="1890" spans="2:4" ht="14" thickBot="1" x14ac:dyDescent="0.2">
      <c r="B1890" s="312">
        <v>43055</v>
      </c>
      <c r="C1890" s="321">
        <v>10214.75</v>
      </c>
      <c r="D1890" s="210">
        <f t="shared" si="29"/>
        <v>6.7402530654201431E-3</v>
      </c>
    </row>
    <row r="1891" spans="2:4" ht="14" thickBot="1" x14ac:dyDescent="0.2">
      <c r="B1891" s="312">
        <v>43054</v>
      </c>
      <c r="C1891" s="321">
        <v>10118.049999999999</v>
      </c>
      <c r="D1891" s="209">
        <f t="shared" si="29"/>
        <v>9.557177519383675E-3</v>
      </c>
    </row>
    <row r="1892" spans="2:4" ht="14" thickBot="1" x14ac:dyDescent="0.2">
      <c r="B1892" s="312">
        <v>43053</v>
      </c>
      <c r="C1892" s="321">
        <v>10186.6</v>
      </c>
      <c r="D1892" s="209">
        <f t="shared" si="29"/>
        <v>-6.7294288575188155E-3</v>
      </c>
    </row>
    <row r="1893" spans="2:4" ht="14" thickBot="1" x14ac:dyDescent="0.2">
      <c r="B1893" s="312">
        <v>43052</v>
      </c>
      <c r="C1893" s="321">
        <v>10224.950000000001</v>
      </c>
      <c r="D1893" s="209">
        <f t="shared" si="29"/>
        <v>-3.750629587430776E-3</v>
      </c>
    </row>
    <row r="1894" spans="2:4" ht="14" thickBot="1" x14ac:dyDescent="0.2">
      <c r="B1894" s="312">
        <v>43049</v>
      </c>
      <c r="C1894" s="321">
        <v>10321.75</v>
      </c>
      <c r="D1894" s="210">
        <f t="shared" si="29"/>
        <v>-9.3782546564292746E-3</v>
      </c>
    </row>
    <row r="1895" spans="2:4" ht="14" thickBot="1" x14ac:dyDescent="0.2">
      <c r="B1895" s="312">
        <v>43048</v>
      </c>
      <c r="C1895" s="321">
        <v>10308.950000000001</v>
      </c>
      <c r="D1895" s="209">
        <f t="shared" si="29"/>
        <v>1.2416395462195862E-3</v>
      </c>
    </row>
    <row r="1896" spans="2:4" ht="14" thickBot="1" x14ac:dyDescent="0.2">
      <c r="B1896" s="312">
        <v>43047</v>
      </c>
      <c r="C1896" s="321">
        <v>10303.15</v>
      </c>
      <c r="D1896" s="209">
        <f t="shared" si="29"/>
        <v>5.6293463649481623E-4</v>
      </c>
    </row>
    <row r="1897" spans="2:4" ht="14" thickBot="1" x14ac:dyDescent="0.2">
      <c r="B1897" s="312">
        <v>43046</v>
      </c>
      <c r="C1897" s="321">
        <v>10350.15</v>
      </c>
      <c r="D1897" s="209">
        <f t="shared" si="29"/>
        <v>-4.5409969903817959E-3</v>
      </c>
    </row>
    <row r="1898" spans="2:4" ht="14" thickBot="1" x14ac:dyDescent="0.2">
      <c r="B1898" s="312">
        <v>43045</v>
      </c>
      <c r="C1898" s="321">
        <v>10451.799999999999</v>
      </c>
      <c r="D1898" s="209">
        <f t="shared" si="29"/>
        <v>-9.7255975047360055E-3</v>
      </c>
    </row>
    <row r="1899" spans="2:4" ht="14" thickBot="1" x14ac:dyDescent="0.2">
      <c r="B1899" s="312">
        <v>43042</v>
      </c>
      <c r="C1899" s="321">
        <v>10452.5</v>
      </c>
      <c r="D1899" s="209">
        <f t="shared" si="29"/>
        <v>-6.6969624491819424E-5</v>
      </c>
    </row>
    <row r="1900" spans="2:4" ht="14" thickBot="1" x14ac:dyDescent="0.2">
      <c r="B1900" s="312">
        <v>43041</v>
      </c>
      <c r="C1900" s="321">
        <v>10423.799999999999</v>
      </c>
      <c r="D1900" s="209">
        <f t="shared" si="29"/>
        <v>2.7533145302098827E-3</v>
      </c>
    </row>
    <row r="1901" spans="2:4" ht="14" thickBot="1" x14ac:dyDescent="0.2">
      <c r="B1901" s="312">
        <v>43040</v>
      </c>
      <c r="C1901" s="321">
        <v>10440.5</v>
      </c>
      <c r="D1901" s="209">
        <f t="shared" si="29"/>
        <v>-1.599540251903675E-3</v>
      </c>
    </row>
    <row r="1902" spans="2:4" ht="14" thickBot="1" x14ac:dyDescent="0.2">
      <c r="B1902" s="312">
        <v>43039</v>
      </c>
      <c r="C1902" s="321">
        <v>10335.299999999999</v>
      </c>
      <c r="D1902" s="210">
        <f t="shared" si="29"/>
        <v>1.0178707923330865E-2</v>
      </c>
    </row>
    <row r="1903" spans="2:4" ht="14" thickBot="1" x14ac:dyDescent="0.2">
      <c r="B1903" s="312">
        <v>43038</v>
      </c>
      <c r="C1903" s="321">
        <v>10363.65</v>
      </c>
      <c r="D1903" s="210">
        <f t="shared" si="29"/>
        <v>-2.7355227164175266E-3</v>
      </c>
    </row>
    <row r="1904" spans="2:4" ht="14" thickBot="1" x14ac:dyDescent="0.2">
      <c r="B1904" s="312">
        <v>43035</v>
      </c>
      <c r="C1904" s="321">
        <v>10323.049999999999</v>
      </c>
      <c r="D1904" s="209">
        <f t="shared" si="29"/>
        <v>3.9329461738537574E-3</v>
      </c>
    </row>
    <row r="1905" spans="2:4" ht="14" thickBot="1" x14ac:dyDescent="0.2">
      <c r="B1905" s="312">
        <v>43034</v>
      </c>
      <c r="C1905" s="321">
        <v>10343.799999999999</v>
      </c>
      <c r="D1905" s="209">
        <f t="shared" si="29"/>
        <v>-2.00603259923815E-3</v>
      </c>
    </row>
    <row r="1906" spans="2:4" ht="14" thickBot="1" x14ac:dyDescent="0.2">
      <c r="B1906" s="312">
        <v>43033</v>
      </c>
      <c r="C1906" s="321">
        <v>10295.35</v>
      </c>
      <c r="D1906" s="209">
        <f t="shared" si="29"/>
        <v>4.7060080521788006E-3</v>
      </c>
    </row>
    <row r="1907" spans="2:4" ht="14" thickBot="1" x14ac:dyDescent="0.2">
      <c r="B1907" s="312">
        <v>43032</v>
      </c>
      <c r="C1907" s="321">
        <v>10207.700000000001</v>
      </c>
      <c r="D1907" s="209">
        <f t="shared" si="29"/>
        <v>8.5866551720759077E-3</v>
      </c>
    </row>
    <row r="1908" spans="2:4" ht="14" thickBot="1" x14ac:dyDescent="0.2">
      <c r="B1908" s="312">
        <v>43031</v>
      </c>
      <c r="C1908" s="321">
        <v>10184.85</v>
      </c>
      <c r="D1908" s="209">
        <f t="shared" si="29"/>
        <v>2.2435283779338455E-3</v>
      </c>
    </row>
    <row r="1909" spans="2:4" ht="14" thickBot="1" x14ac:dyDescent="0.2">
      <c r="B1909" s="312">
        <v>43027</v>
      </c>
      <c r="C1909" s="321">
        <v>10146.549999999999</v>
      </c>
      <c r="D1909" s="209">
        <f t="shared" si="29"/>
        <v>3.7746820347803745E-3</v>
      </c>
    </row>
    <row r="1910" spans="2:4" ht="14" thickBot="1" x14ac:dyDescent="0.2">
      <c r="B1910" s="312">
        <v>43026</v>
      </c>
      <c r="C1910" s="321">
        <v>10210.85</v>
      </c>
      <c r="D1910" s="209">
        <f t="shared" si="29"/>
        <v>-6.2972230519497963E-3</v>
      </c>
    </row>
    <row r="1911" spans="2:4" ht="14" thickBot="1" x14ac:dyDescent="0.2">
      <c r="B1911" s="312">
        <v>43025</v>
      </c>
      <c r="C1911" s="321">
        <v>10234.450000000001</v>
      </c>
      <c r="D1911" s="210">
        <f t="shared" si="29"/>
        <v>-2.3059373000015038E-3</v>
      </c>
    </row>
    <row r="1912" spans="2:4" ht="14" thickBot="1" x14ac:dyDescent="0.2">
      <c r="B1912" s="312">
        <v>43024</v>
      </c>
      <c r="C1912" s="321">
        <v>10230.85</v>
      </c>
      <c r="D1912" s="209">
        <f t="shared" si="29"/>
        <v>3.5187692127247594E-4</v>
      </c>
    </row>
    <row r="1913" spans="2:4" ht="14" thickBot="1" x14ac:dyDescent="0.2">
      <c r="B1913" s="312">
        <v>43021</v>
      </c>
      <c r="C1913" s="321">
        <v>10167.450000000001</v>
      </c>
      <c r="D1913" s="209">
        <f t="shared" si="29"/>
        <v>6.2355851270474716E-3</v>
      </c>
    </row>
    <row r="1914" spans="2:4" ht="14" thickBot="1" x14ac:dyDescent="0.2">
      <c r="B1914" s="312">
        <v>43020</v>
      </c>
      <c r="C1914" s="321">
        <v>10096.4</v>
      </c>
      <c r="D1914" s="209">
        <f t="shared" si="29"/>
        <v>7.0371617606277415E-3</v>
      </c>
    </row>
    <row r="1915" spans="2:4" ht="14" thickBot="1" x14ac:dyDescent="0.2">
      <c r="B1915" s="312">
        <v>43019</v>
      </c>
      <c r="C1915" s="321">
        <v>9984.7999999999993</v>
      </c>
      <c r="D1915" s="209">
        <f t="shared" si="29"/>
        <v>1.1176989023315542E-2</v>
      </c>
    </row>
    <row r="1916" spans="2:4" ht="14" thickBot="1" x14ac:dyDescent="0.2">
      <c r="B1916" s="312">
        <v>43018</v>
      </c>
      <c r="C1916" s="321">
        <v>10016.950000000001</v>
      </c>
      <c r="D1916" s="210">
        <f t="shared" si="29"/>
        <v>-3.2095597961456779E-3</v>
      </c>
    </row>
    <row r="1917" spans="2:4" ht="14" thickBot="1" x14ac:dyDescent="0.2">
      <c r="B1917" s="312">
        <v>43017</v>
      </c>
      <c r="C1917" s="321">
        <v>9988.75</v>
      </c>
      <c r="D1917" s="209">
        <f t="shared" si="29"/>
        <v>2.8231760730823563E-3</v>
      </c>
    </row>
    <row r="1918" spans="2:4" ht="14" thickBot="1" x14ac:dyDescent="0.2">
      <c r="B1918" s="312">
        <v>43014</v>
      </c>
      <c r="C1918" s="321">
        <v>9979.7000000000007</v>
      </c>
      <c r="D1918" s="210">
        <f t="shared" si="29"/>
        <v>9.0684088700054843E-4</v>
      </c>
    </row>
    <row r="1919" spans="2:4" ht="14" thickBot="1" x14ac:dyDescent="0.2">
      <c r="B1919" s="312">
        <v>43013</v>
      </c>
      <c r="C1919" s="321">
        <v>9888.7000000000007</v>
      </c>
      <c r="D1919" s="210">
        <f t="shared" si="29"/>
        <v>9.202422967629742E-3</v>
      </c>
    </row>
    <row r="1920" spans="2:4" ht="14" thickBot="1" x14ac:dyDescent="0.2">
      <c r="B1920" s="312">
        <v>43012</v>
      </c>
      <c r="C1920" s="321">
        <v>9914.9</v>
      </c>
      <c r="D1920" s="210">
        <f t="shared" si="29"/>
        <v>-2.6424875692139249E-3</v>
      </c>
    </row>
    <row r="1921" spans="2:4" ht="14" thickBot="1" x14ac:dyDescent="0.2">
      <c r="B1921" s="312">
        <v>43011</v>
      </c>
      <c r="C1921" s="321">
        <v>9859.5</v>
      </c>
      <c r="D1921" s="209">
        <f t="shared" si="29"/>
        <v>5.61894619402592E-3</v>
      </c>
    </row>
    <row r="1922" spans="2:4" ht="14" thickBot="1" x14ac:dyDescent="0.2">
      <c r="B1922" s="312">
        <v>43007</v>
      </c>
      <c r="C1922" s="321">
        <v>9788.6</v>
      </c>
      <c r="D1922" s="209">
        <f t="shared" si="29"/>
        <v>7.2431195472284493E-3</v>
      </c>
    </row>
    <row r="1923" spans="2:4" ht="14" thickBot="1" x14ac:dyDescent="0.2">
      <c r="B1923" s="312">
        <v>43006</v>
      </c>
      <c r="C1923" s="321">
        <v>9768.9500000000007</v>
      </c>
      <c r="D1923" s="210">
        <f t="shared" si="29"/>
        <v>2.0114751329467495E-3</v>
      </c>
    </row>
    <row r="1924" spans="2:4" ht="14" thickBot="1" x14ac:dyDescent="0.2">
      <c r="B1924" s="312">
        <v>43005</v>
      </c>
      <c r="C1924" s="321">
        <v>9735.75</v>
      </c>
      <c r="D1924" s="210">
        <f t="shared" si="29"/>
        <v>3.4101122152891961E-3</v>
      </c>
    </row>
    <row r="1925" spans="2:4" ht="14" thickBot="1" x14ac:dyDescent="0.2">
      <c r="B1925" s="312">
        <v>43004</v>
      </c>
      <c r="C1925" s="321">
        <v>9871.5</v>
      </c>
      <c r="D1925" s="210">
        <f t="shared" si="29"/>
        <v>-1.3751709466646389E-2</v>
      </c>
    </row>
    <row r="1926" spans="2:4" ht="14" thickBot="1" x14ac:dyDescent="0.2">
      <c r="B1926" s="312">
        <v>43003</v>
      </c>
      <c r="C1926" s="321">
        <v>9872.6</v>
      </c>
      <c r="D1926" s="209">
        <f t="shared" si="29"/>
        <v>-1.1141948422910275E-4</v>
      </c>
    </row>
    <row r="1927" spans="2:4" ht="14" thickBot="1" x14ac:dyDescent="0.2">
      <c r="B1927" s="312">
        <v>43000</v>
      </c>
      <c r="C1927" s="321">
        <v>9964.4</v>
      </c>
      <c r="D1927" s="209">
        <f t="shared" si="29"/>
        <v>-9.2127975593110367E-3</v>
      </c>
    </row>
    <row r="1928" spans="2:4" ht="14" thickBot="1" x14ac:dyDescent="0.2">
      <c r="B1928" s="312">
        <v>42999</v>
      </c>
      <c r="C1928" s="321">
        <v>10121.9</v>
      </c>
      <c r="D1928" s="209">
        <f t="shared" si="29"/>
        <v>-1.5560319702822567E-2</v>
      </c>
    </row>
    <row r="1929" spans="2:4" ht="14" thickBot="1" x14ac:dyDescent="0.2">
      <c r="B1929" s="312">
        <v>42998</v>
      </c>
      <c r="C1929" s="321">
        <v>10141.15</v>
      </c>
      <c r="D1929" s="209">
        <f t="shared" si="29"/>
        <v>-1.8982068108646111E-3</v>
      </c>
    </row>
    <row r="1930" spans="2:4" ht="14" thickBot="1" x14ac:dyDescent="0.2">
      <c r="B1930" s="312">
        <v>42997</v>
      </c>
      <c r="C1930" s="321">
        <v>10147.549999999999</v>
      </c>
      <c r="D1930" s="210">
        <f t="shared" si="29"/>
        <v>-6.3069410843008544E-4</v>
      </c>
    </row>
    <row r="1931" spans="2:4" ht="14" thickBot="1" x14ac:dyDescent="0.2">
      <c r="B1931" s="312">
        <v>42996</v>
      </c>
      <c r="C1931" s="321">
        <v>10153.1</v>
      </c>
      <c r="D1931" s="210">
        <f t="shared" ref="D1931:D1994" si="30">C1930/C1931-1</f>
        <v>-5.4663107819297174E-4</v>
      </c>
    </row>
    <row r="1932" spans="2:4" ht="14" thickBot="1" x14ac:dyDescent="0.2">
      <c r="B1932" s="312">
        <v>42993</v>
      </c>
      <c r="C1932" s="321">
        <v>10085.4</v>
      </c>
      <c r="D1932" s="209">
        <f t="shared" si="30"/>
        <v>6.7126737660381242E-3</v>
      </c>
    </row>
    <row r="1933" spans="2:4" ht="14" thickBot="1" x14ac:dyDescent="0.2">
      <c r="B1933" s="312">
        <v>42992</v>
      </c>
      <c r="C1933" s="321">
        <v>10086.6</v>
      </c>
      <c r="D1933" s="210">
        <f t="shared" si="30"/>
        <v>-1.1896972220581947E-4</v>
      </c>
    </row>
    <row r="1934" spans="2:4" ht="14" thickBot="1" x14ac:dyDescent="0.2">
      <c r="B1934" s="312">
        <v>42991</v>
      </c>
      <c r="C1934" s="321">
        <v>10079.299999999999</v>
      </c>
      <c r="D1934" s="209">
        <f t="shared" si="30"/>
        <v>7.2425664480668672E-4</v>
      </c>
    </row>
    <row r="1935" spans="2:4" ht="14" thickBot="1" x14ac:dyDescent="0.2">
      <c r="B1935" s="312">
        <v>42990</v>
      </c>
      <c r="C1935" s="321">
        <v>10093.049999999999</v>
      </c>
      <c r="D1935" s="209">
        <f t="shared" si="30"/>
        <v>-1.3623235790964916E-3</v>
      </c>
    </row>
    <row r="1936" spans="2:4" ht="14" thickBot="1" x14ac:dyDescent="0.2">
      <c r="B1936" s="312">
        <v>42989</v>
      </c>
      <c r="C1936" s="321">
        <v>10006.049999999999</v>
      </c>
      <c r="D1936" s="210">
        <f t="shared" si="30"/>
        <v>8.6947396824921253E-3</v>
      </c>
    </row>
    <row r="1937" spans="2:4" ht="14" thickBot="1" x14ac:dyDescent="0.2">
      <c r="B1937" s="312">
        <v>42986</v>
      </c>
      <c r="C1937" s="321">
        <v>9934.7999999999993</v>
      </c>
      <c r="D1937" s="210">
        <f t="shared" si="30"/>
        <v>7.1717598743810118E-3</v>
      </c>
    </row>
    <row r="1938" spans="2:4" ht="14" thickBot="1" x14ac:dyDescent="0.2">
      <c r="B1938" s="312">
        <v>42985</v>
      </c>
      <c r="C1938" s="321">
        <v>9929.9</v>
      </c>
      <c r="D1938" s="210">
        <f t="shared" si="30"/>
        <v>4.9345914863185847E-4</v>
      </c>
    </row>
    <row r="1939" spans="2:4" ht="14" thickBot="1" x14ac:dyDescent="0.2">
      <c r="B1939" s="312">
        <v>42984</v>
      </c>
      <c r="C1939" s="321">
        <v>9916.2000000000007</v>
      </c>
      <c r="D1939" s="210">
        <f t="shared" si="30"/>
        <v>1.3815776204593178E-3</v>
      </c>
    </row>
    <row r="1940" spans="2:4" ht="14" thickBot="1" x14ac:dyDescent="0.2">
      <c r="B1940" s="312">
        <v>42983</v>
      </c>
      <c r="C1940" s="321">
        <v>9952.2000000000007</v>
      </c>
      <c r="D1940" s="209">
        <f t="shared" si="30"/>
        <v>-3.6172906493037171E-3</v>
      </c>
    </row>
    <row r="1941" spans="2:4" ht="14" thickBot="1" x14ac:dyDescent="0.2">
      <c r="B1941" s="312">
        <v>42982</v>
      </c>
      <c r="C1941" s="321">
        <v>9912.85</v>
      </c>
      <c r="D1941" s="209">
        <f t="shared" si="30"/>
        <v>3.9695950206046771E-3</v>
      </c>
    </row>
    <row r="1942" spans="2:4" ht="14" thickBot="1" x14ac:dyDescent="0.2">
      <c r="B1942" s="312">
        <v>42979</v>
      </c>
      <c r="C1942" s="321">
        <v>9974.4</v>
      </c>
      <c r="D1942" s="210">
        <f t="shared" si="30"/>
        <v>-6.1707972409367207E-3</v>
      </c>
    </row>
    <row r="1943" spans="2:4" ht="14" thickBot="1" x14ac:dyDescent="0.2">
      <c r="B1943" s="312">
        <v>42978</v>
      </c>
      <c r="C1943" s="321">
        <v>9917.9</v>
      </c>
      <c r="D1943" s="209">
        <f t="shared" si="30"/>
        <v>5.6967704856873969E-3</v>
      </c>
    </row>
    <row r="1944" spans="2:4" ht="14" thickBot="1" x14ac:dyDescent="0.2">
      <c r="B1944" s="312">
        <v>42977</v>
      </c>
      <c r="C1944" s="321">
        <v>9884.4</v>
      </c>
      <c r="D1944" s="209">
        <f t="shared" si="30"/>
        <v>3.3891789081785806E-3</v>
      </c>
    </row>
    <row r="1945" spans="2:4" ht="14" thickBot="1" x14ac:dyDescent="0.2">
      <c r="B1945" s="312">
        <v>42976</v>
      </c>
      <c r="C1945" s="321">
        <v>9796.0499999999993</v>
      </c>
      <c r="D1945" s="210">
        <f t="shared" si="30"/>
        <v>9.0189413079762026E-3</v>
      </c>
    </row>
    <row r="1946" spans="2:4" ht="14" thickBot="1" x14ac:dyDescent="0.2">
      <c r="B1946" s="312">
        <v>42975</v>
      </c>
      <c r="C1946" s="321">
        <v>9912.7999999999993</v>
      </c>
      <c r="D1946" s="210">
        <f t="shared" si="30"/>
        <v>-1.1777701557582065E-2</v>
      </c>
    </row>
    <row r="1947" spans="2:4" ht="14" thickBot="1" x14ac:dyDescent="0.2">
      <c r="B1947" s="312">
        <v>42971</v>
      </c>
      <c r="C1947" s="321">
        <v>9857.0499999999993</v>
      </c>
      <c r="D1947" s="210">
        <f t="shared" si="30"/>
        <v>5.6558503811992011E-3</v>
      </c>
    </row>
    <row r="1948" spans="2:4" ht="14" thickBot="1" x14ac:dyDescent="0.2">
      <c r="B1948" s="312">
        <v>42970</v>
      </c>
      <c r="C1948" s="321">
        <v>9852.5</v>
      </c>
      <c r="D1948" s="209">
        <f t="shared" si="30"/>
        <v>4.6181172291293038E-4</v>
      </c>
    </row>
    <row r="1949" spans="2:4" ht="14" thickBot="1" x14ac:dyDescent="0.2">
      <c r="B1949" s="312">
        <v>42969</v>
      </c>
      <c r="C1949" s="321">
        <v>9765.5499999999993</v>
      </c>
      <c r="D1949" s="209">
        <f t="shared" si="30"/>
        <v>8.9037483807876683E-3</v>
      </c>
    </row>
    <row r="1950" spans="2:4" ht="14" thickBot="1" x14ac:dyDescent="0.2">
      <c r="B1950" s="312">
        <v>42968</v>
      </c>
      <c r="C1950" s="321">
        <v>9754.35</v>
      </c>
      <c r="D1950" s="209">
        <f t="shared" si="30"/>
        <v>1.1482056723408629E-3</v>
      </c>
    </row>
    <row r="1951" spans="2:4" ht="14" thickBot="1" x14ac:dyDescent="0.2">
      <c r="B1951" s="312">
        <v>42965</v>
      </c>
      <c r="C1951" s="321">
        <v>9837.4</v>
      </c>
      <c r="D1951" s="209">
        <f t="shared" si="30"/>
        <v>-8.4422713318559328E-3</v>
      </c>
    </row>
    <row r="1952" spans="2:4" ht="14" thickBot="1" x14ac:dyDescent="0.2">
      <c r="B1952" s="312">
        <v>42964</v>
      </c>
      <c r="C1952" s="321">
        <v>9904.15</v>
      </c>
      <c r="D1952" s="210">
        <f t="shared" si="30"/>
        <v>-6.7395990569609765E-3</v>
      </c>
    </row>
    <row r="1953" spans="2:4" ht="14" thickBot="1" x14ac:dyDescent="0.2">
      <c r="B1953" s="312">
        <v>42963</v>
      </c>
      <c r="C1953" s="321">
        <v>9897.2999999999993</v>
      </c>
      <c r="D1953" s="210">
        <f t="shared" si="30"/>
        <v>6.9210794863239222E-4</v>
      </c>
    </row>
    <row r="1954" spans="2:4" ht="14" thickBot="1" x14ac:dyDescent="0.2">
      <c r="B1954" s="312">
        <v>42961</v>
      </c>
      <c r="C1954" s="321">
        <v>9794.15</v>
      </c>
      <c r="D1954" s="209">
        <f t="shared" si="30"/>
        <v>1.0531797042111934E-2</v>
      </c>
    </row>
    <row r="1955" spans="2:4" ht="14" thickBot="1" x14ac:dyDescent="0.2">
      <c r="B1955" s="312">
        <v>42958</v>
      </c>
      <c r="C1955" s="321">
        <v>9710.7999999999993</v>
      </c>
      <c r="D1955" s="210">
        <f t="shared" si="30"/>
        <v>8.5832269226016056E-3</v>
      </c>
    </row>
    <row r="1956" spans="2:4" ht="14" thickBot="1" x14ac:dyDescent="0.2">
      <c r="B1956" s="312">
        <v>42957</v>
      </c>
      <c r="C1956" s="321">
        <v>9820.25</v>
      </c>
      <c r="D1956" s="209">
        <f t="shared" si="30"/>
        <v>-1.1145337440492953E-2</v>
      </c>
    </row>
    <row r="1957" spans="2:4" ht="14" thickBot="1" x14ac:dyDescent="0.2">
      <c r="B1957" s="312">
        <v>42956</v>
      </c>
      <c r="C1957" s="321">
        <v>9908.0499999999993</v>
      </c>
      <c r="D1957" s="209">
        <f t="shared" si="30"/>
        <v>-8.8614813207441578E-3</v>
      </c>
    </row>
    <row r="1958" spans="2:4" ht="14" thickBot="1" x14ac:dyDescent="0.2">
      <c r="B1958" s="312">
        <v>42955</v>
      </c>
      <c r="C1958" s="321">
        <v>9978.5499999999993</v>
      </c>
      <c r="D1958" s="210">
        <f t="shared" si="30"/>
        <v>-7.0651547569536843E-3</v>
      </c>
    </row>
    <row r="1959" spans="2:4" ht="14" thickBot="1" x14ac:dyDescent="0.2">
      <c r="B1959" s="312">
        <v>42954</v>
      </c>
      <c r="C1959" s="321">
        <v>10057.4</v>
      </c>
      <c r="D1959" s="209">
        <f t="shared" si="30"/>
        <v>-7.8399984091316322E-3</v>
      </c>
    </row>
    <row r="1960" spans="2:4" ht="14" thickBot="1" x14ac:dyDescent="0.2">
      <c r="B1960" s="312">
        <v>42951</v>
      </c>
      <c r="C1960" s="321">
        <v>10066.4</v>
      </c>
      <c r="D1960" s="209">
        <f t="shared" si="30"/>
        <v>-8.9406341889852747E-4</v>
      </c>
    </row>
    <row r="1961" spans="2:4" ht="14" thickBot="1" x14ac:dyDescent="0.2">
      <c r="B1961" s="312">
        <v>42950</v>
      </c>
      <c r="C1961" s="321">
        <v>10013.65</v>
      </c>
      <c r="D1961" s="209">
        <f t="shared" si="30"/>
        <v>5.2678094401141795E-3</v>
      </c>
    </row>
    <row r="1962" spans="2:4" ht="14" thickBot="1" x14ac:dyDescent="0.2">
      <c r="B1962" s="312">
        <v>42949</v>
      </c>
      <c r="C1962" s="321">
        <v>10081.5</v>
      </c>
      <c r="D1962" s="209">
        <f t="shared" si="30"/>
        <v>-6.7301492833408139E-3</v>
      </c>
    </row>
    <row r="1963" spans="2:4" ht="14" thickBot="1" x14ac:dyDescent="0.2">
      <c r="B1963" s="312">
        <v>42948</v>
      </c>
      <c r="C1963" s="321">
        <v>10114.65</v>
      </c>
      <c r="D1963" s="209">
        <f t="shared" si="30"/>
        <v>-3.2774243300558448E-3</v>
      </c>
    </row>
    <row r="1964" spans="2:4" ht="14" thickBot="1" x14ac:dyDescent="0.2">
      <c r="B1964" s="312">
        <v>42947</v>
      </c>
      <c r="C1964" s="321">
        <v>10077.1</v>
      </c>
      <c r="D1964" s="209">
        <f t="shared" si="30"/>
        <v>3.7262704547935677E-3</v>
      </c>
    </row>
    <row r="1965" spans="2:4" ht="14" thickBot="1" x14ac:dyDescent="0.2">
      <c r="B1965" s="312">
        <v>42944</v>
      </c>
      <c r="C1965" s="321">
        <v>10014.5</v>
      </c>
      <c r="D1965" s="209">
        <f t="shared" si="30"/>
        <v>6.2509361425933108E-3</v>
      </c>
    </row>
    <row r="1966" spans="2:4" ht="14" thickBot="1" x14ac:dyDescent="0.2">
      <c r="B1966" s="312">
        <v>42943</v>
      </c>
      <c r="C1966" s="321">
        <v>10020.549999999999</v>
      </c>
      <c r="D1966" s="210">
        <f t="shared" si="30"/>
        <v>-6.0375927469047408E-4</v>
      </c>
    </row>
    <row r="1967" spans="2:4" ht="14" thickBot="1" x14ac:dyDescent="0.2">
      <c r="B1967" s="312">
        <v>42942</v>
      </c>
      <c r="C1967" s="321">
        <v>10020.65</v>
      </c>
      <c r="D1967" s="210">
        <f t="shared" si="30"/>
        <v>-9.9793925544267026E-6</v>
      </c>
    </row>
    <row r="1968" spans="2:4" ht="14" thickBot="1" x14ac:dyDescent="0.2">
      <c r="B1968" s="312">
        <v>42941</v>
      </c>
      <c r="C1968" s="321">
        <v>9964.5499999999993</v>
      </c>
      <c r="D1968" s="209">
        <f t="shared" si="30"/>
        <v>5.6299582018255467E-3</v>
      </c>
    </row>
    <row r="1969" spans="2:4" ht="14" thickBot="1" x14ac:dyDescent="0.2">
      <c r="B1969" s="312">
        <v>42940</v>
      </c>
      <c r="C1969" s="321">
        <v>9966.4</v>
      </c>
      <c r="D1969" s="209">
        <f t="shared" si="30"/>
        <v>-1.8562369561736514E-4</v>
      </c>
    </row>
    <row r="1970" spans="2:4" ht="14" thickBot="1" x14ac:dyDescent="0.2">
      <c r="B1970" s="312">
        <v>42937</v>
      </c>
      <c r="C1970" s="321">
        <v>9915.25</v>
      </c>
      <c r="D1970" s="210">
        <f t="shared" si="30"/>
        <v>5.1587201532992122E-3</v>
      </c>
    </row>
    <row r="1971" spans="2:4" ht="14" thickBot="1" x14ac:dyDescent="0.2">
      <c r="B1971" s="312">
        <v>42936</v>
      </c>
      <c r="C1971" s="321">
        <v>9873.2999999999993</v>
      </c>
      <c r="D1971" s="210">
        <f t="shared" si="30"/>
        <v>4.2488327104412971E-3</v>
      </c>
    </row>
    <row r="1972" spans="2:4" ht="14" thickBot="1" x14ac:dyDescent="0.2">
      <c r="B1972" s="312">
        <v>42935</v>
      </c>
      <c r="C1972" s="321">
        <v>9899.6</v>
      </c>
      <c r="D1972" s="210">
        <f t="shared" si="30"/>
        <v>-2.6566729968888758E-3</v>
      </c>
    </row>
    <row r="1973" spans="2:4" ht="14" thickBot="1" x14ac:dyDescent="0.2">
      <c r="B1973" s="312">
        <v>42934</v>
      </c>
      <c r="C1973" s="321">
        <v>9827.15</v>
      </c>
      <c r="D1973" s="209">
        <f t="shared" si="30"/>
        <v>7.372432495688086E-3</v>
      </c>
    </row>
    <row r="1974" spans="2:4" ht="14" thickBot="1" x14ac:dyDescent="0.2">
      <c r="B1974" s="312">
        <v>42933</v>
      </c>
      <c r="C1974" s="321">
        <v>9915.9500000000007</v>
      </c>
      <c r="D1974" s="209">
        <f t="shared" si="30"/>
        <v>-8.9552690362497689E-3</v>
      </c>
    </row>
    <row r="1975" spans="2:4" ht="14" thickBot="1" x14ac:dyDescent="0.2">
      <c r="B1975" s="312">
        <v>42930</v>
      </c>
      <c r="C1975" s="321">
        <v>9886.35</v>
      </c>
      <c r="D1975" s="209">
        <f t="shared" si="30"/>
        <v>2.9940271181982947E-3</v>
      </c>
    </row>
    <row r="1976" spans="2:4" ht="14" thickBot="1" x14ac:dyDescent="0.2">
      <c r="B1976" s="312">
        <v>42929</v>
      </c>
      <c r="C1976" s="321">
        <v>9891.7000000000007</v>
      </c>
      <c r="D1976" s="209">
        <f t="shared" si="30"/>
        <v>-5.4085748657972665E-4</v>
      </c>
    </row>
    <row r="1977" spans="2:4" ht="14" thickBot="1" x14ac:dyDescent="0.2">
      <c r="B1977" s="312">
        <v>42928</v>
      </c>
      <c r="C1977" s="321">
        <v>9816.1</v>
      </c>
      <c r="D1977" s="210">
        <f t="shared" si="30"/>
        <v>7.7016330314483294E-3</v>
      </c>
    </row>
    <row r="1978" spans="2:4" ht="14" thickBot="1" x14ac:dyDescent="0.2">
      <c r="B1978" s="312">
        <v>42927</v>
      </c>
      <c r="C1978" s="321">
        <v>9786.0499999999993</v>
      </c>
      <c r="D1978" s="209">
        <f t="shared" si="30"/>
        <v>3.0706975746088716E-3</v>
      </c>
    </row>
    <row r="1979" spans="2:4" ht="14" thickBot="1" x14ac:dyDescent="0.2">
      <c r="B1979" s="312">
        <v>42926</v>
      </c>
      <c r="C1979" s="321">
        <v>9771.0499999999993</v>
      </c>
      <c r="D1979" s="210">
        <f t="shared" si="30"/>
        <v>1.5351471950302287E-3</v>
      </c>
    </row>
    <row r="1980" spans="2:4" ht="14" thickBot="1" x14ac:dyDescent="0.2">
      <c r="B1980" s="312">
        <v>42923</v>
      </c>
      <c r="C1980" s="321">
        <v>9665.7999999999993</v>
      </c>
      <c r="D1980" s="209">
        <f t="shared" si="30"/>
        <v>1.0888907281342508E-2</v>
      </c>
    </row>
    <row r="1981" spans="2:4" ht="14" thickBot="1" x14ac:dyDescent="0.2">
      <c r="B1981" s="312">
        <v>42922</v>
      </c>
      <c r="C1981" s="321">
        <v>9674.5499999999993</v>
      </c>
      <c r="D1981" s="209">
        <f t="shared" si="30"/>
        <v>-9.0443483159419191E-4</v>
      </c>
    </row>
    <row r="1982" spans="2:4" ht="14" thickBot="1" x14ac:dyDescent="0.2">
      <c r="B1982" s="312">
        <v>42921</v>
      </c>
      <c r="C1982" s="321">
        <v>9637.6</v>
      </c>
      <c r="D1982" s="209">
        <f t="shared" si="30"/>
        <v>3.833942060263773E-3</v>
      </c>
    </row>
    <row r="1983" spans="2:4" ht="14" thickBot="1" x14ac:dyDescent="0.2">
      <c r="B1983" s="312">
        <v>42920</v>
      </c>
      <c r="C1983" s="321">
        <v>9613.2999999999993</v>
      </c>
      <c r="D1983" s="209">
        <f t="shared" si="30"/>
        <v>2.5277480157699372E-3</v>
      </c>
    </row>
    <row r="1984" spans="2:4" ht="14" thickBot="1" x14ac:dyDescent="0.2">
      <c r="B1984" s="312">
        <v>42919</v>
      </c>
      <c r="C1984" s="321">
        <v>9615</v>
      </c>
      <c r="D1984" s="210">
        <f t="shared" si="30"/>
        <v>-1.7680707228295844E-4</v>
      </c>
    </row>
    <row r="1985" spans="2:4" ht="14" thickBot="1" x14ac:dyDescent="0.2">
      <c r="B1985" s="312">
        <v>42916</v>
      </c>
      <c r="C1985" s="321">
        <v>9520.9</v>
      </c>
      <c r="D1985" s="209">
        <f t="shared" si="30"/>
        <v>9.8835194151813965E-3</v>
      </c>
    </row>
    <row r="1986" spans="2:4" ht="14" thickBot="1" x14ac:dyDescent="0.2">
      <c r="B1986" s="312">
        <v>42915</v>
      </c>
      <c r="C1986" s="321">
        <v>9504.1</v>
      </c>
      <c r="D1986" s="210">
        <f t="shared" si="30"/>
        <v>1.767658168579711E-3</v>
      </c>
    </row>
    <row r="1987" spans="2:4" ht="14" thickBot="1" x14ac:dyDescent="0.2">
      <c r="B1987" s="312">
        <v>42914</v>
      </c>
      <c r="C1987" s="321">
        <v>9491.25</v>
      </c>
      <c r="D1987" s="210">
        <f t="shared" si="30"/>
        <v>1.3538785723692381E-3</v>
      </c>
    </row>
    <row r="1988" spans="2:4" ht="14" thickBot="1" x14ac:dyDescent="0.2">
      <c r="B1988" s="312">
        <v>42913</v>
      </c>
      <c r="C1988" s="321">
        <v>9511.4</v>
      </c>
      <c r="D1988" s="209">
        <f t="shared" si="30"/>
        <v>-2.1185104190760695E-3</v>
      </c>
    </row>
    <row r="1989" spans="2:4" ht="14" thickBot="1" x14ac:dyDescent="0.2">
      <c r="B1989" s="312">
        <v>42909</v>
      </c>
      <c r="C1989" s="321">
        <v>9574.9500000000007</v>
      </c>
      <c r="D1989" s="209">
        <f t="shared" si="30"/>
        <v>-6.6371103765555661E-3</v>
      </c>
    </row>
    <row r="1990" spans="2:4" ht="14" thickBot="1" x14ac:dyDescent="0.2">
      <c r="B1990" s="312">
        <v>42908</v>
      </c>
      <c r="C1990" s="321">
        <v>9630</v>
      </c>
      <c r="D1990" s="209">
        <f t="shared" si="30"/>
        <v>-5.7165109034267303E-3</v>
      </c>
    </row>
    <row r="1991" spans="2:4" ht="14" thickBot="1" x14ac:dyDescent="0.2">
      <c r="B1991" s="312">
        <v>42907</v>
      </c>
      <c r="C1991" s="321">
        <v>9633.6</v>
      </c>
      <c r="D1991" s="210">
        <f t="shared" si="30"/>
        <v>-3.7369207772797175E-4</v>
      </c>
    </row>
    <row r="1992" spans="2:4" ht="14" thickBot="1" x14ac:dyDescent="0.2">
      <c r="B1992" s="312">
        <v>42906</v>
      </c>
      <c r="C1992" s="321">
        <v>9653.5</v>
      </c>
      <c r="D1992" s="210">
        <f t="shared" si="30"/>
        <v>-2.0614284974361796E-3</v>
      </c>
    </row>
    <row r="1993" spans="2:4" ht="14" thickBot="1" x14ac:dyDescent="0.2">
      <c r="B1993" s="312">
        <v>42905</v>
      </c>
      <c r="C1993" s="321">
        <v>9657.5499999999993</v>
      </c>
      <c r="D1993" s="209">
        <f t="shared" si="30"/>
        <v>-4.1936101806350212E-4</v>
      </c>
    </row>
    <row r="1994" spans="2:4" ht="14" thickBot="1" x14ac:dyDescent="0.2">
      <c r="B1994" s="312">
        <v>42902</v>
      </c>
      <c r="C1994" s="321">
        <v>9588.0499999999993</v>
      </c>
      <c r="D1994" s="209">
        <f t="shared" si="30"/>
        <v>7.2486063380978738E-3</v>
      </c>
    </row>
    <row r="1995" spans="2:4" ht="14" thickBot="1" x14ac:dyDescent="0.2">
      <c r="B1995" s="312">
        <v>42901</v>
      </c>
      <c r="C1995" s="321">
        <v>9578.0499999999993</v>
      </c>
      <c r="D1995" s="209">
        <f t="shared" ref="D1995:D2058" si="31">C1994/C1995-1</f>
        <v>1.0440538522977771E-3</v>
      </c>
    </row>
    <row r="1996" spans="2:4" ht="14" thickBot="1" x14ac:dyDescent="0.2">
      <c r="B1996" s="312">
        <v>42900</v>
      </c>
      <c r="C1996" s="321">
        <v>9618.15</v>
      </c>
      <c r="D1996" s="210">
        <f t="shared" si="31"/>
        <v>-4.1692009378103689E-3</v>
      </c>
    </row>
    <row r="1997" spans="2:4" ht="14" thickBot="1" x14ac:dyDescent="0.2">
      <c r="B1997" s="312">
        <v>42899</v>
      </c>
      <c r="C1997" s="321">
        <v>9606.9</v>
      </c>
      <c r="D1997" s="209">
        <f t="shared" si="31"/>
        <v>1.1710333198013956E-3</v>
      </c>
    </row>
    <row r="1998" spans="2:4" ht="14" thickBot="1" x14ac:dyDescent="0.2">
      <c r="B1998" s="312">
        <v>42898</v>
      </c>
      <c r="C1998" s="321">
        <v>9616.4</v>
      </c>
      <c r="D1998" s="210">
        <f t="shared" si="31"/>
        <v>-9.8789567821633284E-4</v>
      </c>
    </row>
    <row r="1999" spans="2:4" ht="14" thickBot="1" x14ac:dyDescent="0.2">
      <c r="B1999" s="312">
        <v>42895</v>
      </c>
      <c r="C1999" s="321">
        <v>9668.25</v>
      </c>
      <c r="D1999" s="209">
        <f t="shared" si="31"/>
        <v>-5.3629146950069373E-3</v>
      </c>
    </row>
    <row r="2000" spans="2:4" ht="14" thickBot="1" x14ac:dyDescent="0.2">
      <c r="B2000" s="312">
        <v>42894</v>
      </c>
      <c r="C2000" s="321">
        <v>9647.25</v>
      </c>
      <c r="D2000" s="209">
        <f t="shared" si="31"/>
        <v>2.1767861307626646E-3</v>
      </c>
    </row>
    <row r="2001" spans="2:4" ht="14" thickBot="1" x14ac:dyDescent="0.2">
      <c r="B2001" s="312">
        <v>42893</v>
      </c>
      <c r="C2001" s="321">
        <v>9663.9</v>
      </c>
      <c r="D2001" s="210">
        <f t="shared" si="31"/>
        <v>-1.7229069009405684E-3</v>
      </c>
    </row>
    <row r="2002" spans="2:4" ht="14" thickBot="1" x14ac:dyDescent="0.2">
      <c r="B2002" s="312">
        <v>42892</v>
      </c>
      <c r="C2002" s="321">
        <v>9637.15</v>
      </c>
      <c r="D2002" s="210">
        <f t="shared" si="31"/>
        <v>2.7757168872539761E-3</v>
      </c>
    </row>
    <row r="2003" spans="2:4" ht="14" thickBot="1" x14ac:dyDescent="0.2">
      <c r="B2003" s="312">
        <v>42891</v>
      </c>
      <c r="C2003" s="321">
        <v>9675.1</v>
      </c>
      <c r="D2003" s="209">
        <f t="shared" si="31"/>
        <v>-3.9224400781388002E-3</v>
      </c>
    </row>
    <row r="2004" spans="2:4" ht="14" thickBot="1" x14ac:dyDescent="0.2">
      <c r="B2004" s="312">
        <v>42888</v>
      </c>
      <c r="C2004" s="321">
        <v>9653.5</v>
      </c>
      <c r="D2004" s="210">
        <f t="shared" si="31"/>
        <v>2.2375304293780207E-3</v>
      </c>
    </row>
    <row r="2005" spans="2:4" ht="14" thickBot="1" x14ac:dyDescent="0.2">
      <c r="B2005" s="312">
        <v>42887</v>
      </c>
      <c r="C2005" s="321">
        <v>9616.1</v>
      </c>
      <c r="D2005" s="209">
        <f t="shared" si="31"/>
        <v>3.8893106352886342E-3</v>
      </c>
    </row>
    <row r="2006" spans="2:4" ht="14" thickBot="1" x14ac:dyDescent="0.2">
      <c r="B2006" s="312">
        <v>42886</v>
      </c>
      <c r="C2006" s="321">
        <v>9621.25</v>
      </c>
      <c r="D2006" s="210">
        <f t="shared" si="31"/>
        <v>-5.3527348317528034E-4</v>
      </c>
    </row>
    <row r="2007" spans="2:4" ht="14" thickBot="1" x14ac:dyDescent="0.2">
      <c r="B2007" s="312">
        <v>42885</v>
      </c>
      <c r="C2007" s="321">
        <v>9624.5499999999993</v>
      </c>
      <c r="D2007" s="210">
        <f t="shared" si="31"/>
        <v>-3.428731732911805E-4</v>
      </c>
    </row>
    <row r="2008" spans="2:4" ht="14" thickBot="1" x14ac:dyDescent="0.2">
      <c r="B2008" s="312">
        <v>42884</v>
      </c>
      <c r="C2008" s="321">
        <v>9604.9</v>
      </c>
      <c r="D2008" s="210">
        <f t="shared" si="31"/>
        <v>2.0458307738757675E-3</v>
      </c>
    </row>
    <row r="2009" spans="2:4" ht="14" thickBot="1" x14ac:dyDescent="0.2">
      <c r="B2009" s="312">
        <v>42881</v>
      </c>
      <c r="C2009" s="321">
        <v>9595.1</v>
      </c>
      <c r="D2009" s="210">
        <f t="shared" si="31"/>
        <v>1.0213546497690462E-3</v>
      </c>
    </row>
    <row r="2010" spans="2:4" ht="14" thickBot="1" x14ac:dyDescent="0.2">
      <c r="B2010" s="312">
        <v>42880</v>
      </c>
      <c r="C2010" s="321">
        <v>9509.75</v>
      </c>
      <c r="D2010" s="210">
        <f t="shared" si="31"/>
        <v>8.9749993427798991E-3</v>
      </c>
    </row>
    <row r="2011" spans="2:4" ht="14" thickBot="1" x14ac:dyDescent="0.2">
      <c r="B2011" s="312">
        <v>42879</v>
      </c>
      <c r="C2011" s="321">
        <v>9360.5499999999993</v>
      </c>
      <c r="D2011" s="209">
        <f t="shared" si="31"/>
        <v>1.5939234339862551E-2</v>
      </c>
    </row>
    <row r="2012" spans="2:4" ht="14" thickBot="1" x14ac:dyDescent="0.2">
      <c r="B2012" s="312">
        <v>42878</v>
      </c>
      <c r="C2012" s="321">
        <v>9386.15</v>
      </c>
      <c r="D2012" s="209">
        <f t="shared" si="31"/>
        <v>-2.7274228517549792E-3</v>
      </c>
    </row>
    <row r="2013" spans="2:4" ht="14" thickBot="1" x14ac:dyDescent="0.2">
      <c r="B2013" s="312">
        <v>42877</v>
      </c>
      <c r="C2013" s="321">
        <v>9438.25</v>
      </c>
      <c r="D2013" s="209">
        <f t="shared" si="31"/>
        <v>-5.5200911185866453E-3</v>
      </c>
    </row>
    <row r="2014" spans="2:4" ht="14" thickBot="1" x14ac:dyDescent="0.2">
      <c r="B2014" s="312">
        <v>42874</v>
      </c>
      <c r="C2014" s="321">
        <v>9427.9</v>
      </c>
      <c r="D2014" s="210">
        <f t="shared" si="31"/>
        <v>1.0978054497821077E-3</v>
      </c>
    </row>
    <row r="2015" spans="2:4" ht="14" thickBot="1" x14ac:dyDescent="0.2">
      <c r="B2015" s="312">
        <v>42873</v>
      </c>
      <c r="C2015" s="321">
        <v>9429.4500000000007</v>
      </c>
      <c r="D2015" s="210">
        <f t="shared" si="31"/>
        <v>-1.643786222951249E-4</v>
      </c>
    </row>
    <row r="2016" spans="2:4" ht="14" thickBot="1" x14ac:dyDescent="0.2">
      <c r="B2016" s="312">
        <v>42872</v>
      </c>
      <c r="C2016" s="321">
        <v>9525.75</v>
      </c>
      <c r="D2016" s="209">
        <f t="shared" si="31"/>
        <v>-1.0109440201558906E-2</v>
      </c>
    </row>
    <row r="2017" spans="2:4" ht="14" thickBot="1" x14ac:dyDescent="0.2">
      <c r="B2017" s="312">
        <v>42871</v>
      </c>
      <c r="C2017" s="321">
        <v>9512.25</v>
      </c>
      <c r="D2017" s="209">
        <f t="shared" si="31"/>
        <v>1.4192225814082526E-3</v>
      </c>
    </row>
    <row r="2018" spans="2:4" ht="14" thickBot="1" x14ac:dyDescent="0.2">
      <c r="B2018" s="312">
        <v>42870</v>
      </c>
      <c r="C2018" s="321">
        <v>9445.4</v>
      </c>
      <c r="D2018" s="209">
        <f t="shared" si="31"/>
        <v>7.0775192157028766E-3</v>
      </c>
    </row>
    <row r="2019" spans="2:4" ht="14" thickBot="1" x14ac:dyDescent="0.2">
      <c r="B2019" s="312">
        <v>42867</v>
      </c>
      <c r="C2019" s="321">
        <v>9400.9</v>
      </c>
      <c r="D2019" s="210">
        <f t="shared" si="31"/>
        <v>4.7335893371911464E-3</v>
      </c>
    </row>
    <row r="2020" spans="2:4" ht="14" thickBot="1" x14ac:dyDescent="0.2">
      <c r="B2020" s="312">
        <v>42866</v>
      </c>
      <c r="C2020" s="321">
        <v>9422.4</v>
      </c>
      <c r="D2020" s="209">
        <f t="shared" si="31"/>
        <v>-2.2817965698760379E-3</v>
      </c>
    </row>
    <row r="2021" spans="2:4" ht="14" thickBot="1" x14ac:dyDescent="0.2">
      <c r="B2021" s="312">
        <v>42865</v>
      </c>
      <c r="C2021" s="321">
        <v>9407.2999999999993</v>
      </c>
      <c r="D2021" s="209">
        <f t="shared" si="31"/>
        <v>1.6051364365972098E-3</v>
      </c>
    </row>
    <row r="2022" spans="2:4" ht="14" thickBot="1" x14ac:dyDescent="0.2">
      <c r="B2022" s="312">
        <v>42864</v>
      </c>
      <c r="C2022" s="321">
        <v>9316.85</v>
      </c>
      <c r="D2022" s="209">
        <f t="shared" si="31"/>
        <v>9.708216832942318E-3</v>
      </c>
    </row>
    <row r="2023" spans="2:4" ht="14" thickBot="1" x14ac:dyDescent="0.2">
      <c r="B2023" s="312">
        <v>42863</v>
      </c>
      <c r="C2023" s="321">
        <v>9314.0499999999993</v>
      </c>
      <c r="D2023" s="210">
        <f t="shared" si="31"/>
        <v>3.0062110467521386E-4</v>
      </c>
    </row>
    <row r="2024" spans="2:4" ht="14" thickBot="1" x14ac:dyDescent="0.2">
      <c r="B2024" s="312">
        <v>42860</v>
      </c>
      <c r="C2024" s="321">
        <v>9285.2999999999993</v>
      </c>
      <c r="D2024" s="210">
        <f t="shared" si="31"/>
        <v>3.0962919884118811E-3</v>
      </c>
    </row>
    <row r="2025" spans="2:4" ht="14" thickBot="1" x14ac:dyDescent="0.2">
      <c r="B2025" s="312">
        <v>42859</v>
      </c>
      <c r="C2025" s="321">
        <v>9359.9</v>
      </c>
      <c r="D2025" s="210">
        <f t="shared" si="31"/>
        <v>-7.9701706214810875E-3</v>
      </c>
    </row>
    <row r="2026" spans="2:4" ht="14" thickBot="1" x14ac:dyDescent="0.2">
      <c r="B2026" s="312">
        <v>42858</v>
      </c>
      <c r="C2026" s="321">
        <v>9311.9500000000007</v>
      </c>
      <c r="D2026" s="210">
        <f t="shared" si="31"/>
        <v>5.1492974081690512E-3</v>
      </c>
    </row>
    <row r="2027" spans="2:4" ht="14" thickBot="1" x14ac:dyDescent="0.2">
      <c r="B2027" s="312">
        <v>42857</v>
      </c>
      <c r="C2027" s="321">
        <v>9313.7999999999993</v>
      </c>
      <c r="D2027" s="210">
        <f t="shared" si="31"/>
        <v>-1.9862998990727299E-4</v>
      </c>
    </row>
    <row r="2028" spans="2:4" ht="14" thickBot="1" x14ac:dyDescent="0.2">
      <c r="B2028" s="312">
        <v>42853</v>
      </c>
      <c r="C2028" s="321">
        <v>9304.0499999999993</v>
      </c>
      <c r="D2028" s="209">
        <f t="shared" si="31"/>
        <v>1.0479307398389981E-3</v>
      </c>
    </row>
    <row r="2029" spans="2:4" ht="14" thickBot="1" x14ac:dyDescent="0.2">
      <c r="B2029" s="312">
        <v>42852</v>
      </c>
      <c r="C2029" s="321">
        <v>9342.15</v>
      </c>
      <c r="D2029" s="210">
        <f t="shared" si="31"/>
        <v>-4.0782903293139494E-3</v>
      </c>
    </row>
    <row r="2030" spans="2:4" ht="14" thickBot="1" x14ac:dyDescent="0.2">
      <c r="B2030" s="312">
        <v>42851</v>
      </c>
      <c r="C2030" s="321">
        <v>9351.85</v>
      </c>
      <c r="D2030" s="209">
        <f t="shared" si="31"/>
        <v>-1.0372279281640751E-3</v>
      </c>
    </row>
    <row r="2031" spans="2:4" ht="14" thickBot="1" x14ac:dyDescent="0.2">
      <c r="B2031" s="312">
        <v>42850</v>
      </c>
      <c r="C2031" s="321">
        <v>9306.6</v>
      </c>
      <c r="D2031" s="210">
        <f t="shared" si="31"/>
        <v>4.8621408462812266E-3</v>
      </c>
    </row>
    <row r="2032" spans="2:4" ht="14" thickBot="1" x14ac:dyDescent="0.2">
      <c r="B2032" s="312">
        <v>42849</v>
      </c>
      <c r="C2032" s="321">
        <v>9217.9500000000007</v>
      </c>
      <c r="D2032" s="210">
        <f t="shared" si="31"/>
        <v>9.6171057556180273E-3</v>
      </c>
    </row>
    <row r="2033" spans="2:4" ht="14" thickBot="1" x14ac:dyDescent="0.2">
      <c r="B2033" s="312">
        <v>42846</v>
      </c>
      <c r="C2033" s="321">
        <v>9119.4</v>
      </c>
      <c r="D2033" s="209">
        <f t="shared" si="31"/>
        <v>1.0806632015264217E-2</v>
      </c>
    </row>
    <row r="2034" spans="2:4" ht="14" thickBot="1" x14ac:dyDescent="0.2">
      <c r="B2034" s="312">
        <v>42845</v>
      </c>
      <c r="C2034" s="321">
        <v>9136.4</v>
      </c>
      <c r="D2034" s="209">
        <f t="shared" si="31"/>
        <v>-1.8606891116851321E-3</v>
      </c>
    </row>
    <row r="2035" spans="2:4" ht="14" thickBot="1" x14ac:dyDescent="0.2">
      <c r="B2035" s="312">
        <v>42844</v>
      </c>
      <c r="C2035" s="321">
        <v>9103.5</v>
      </c>
      <c r="D2035" s="209">
        <f t="shared" si="31"/>
        <v>3.6139946174547077E-3</v>
      </c>
    </row>
    <row r="2036" spans="2:4" ht="14" thickBot="1" x14ac:dyDescent="0.2">
      <c r="B2036" s="312">
        <v>42843</v>
      </c>
      <c r="C2036" s="321">
        <v>9105.15</v>
      </c>
      <c r="D2036" s="209">
        <f t="shared" si="31"/>
        <v>-1.812161249402644E-4</v>
      </c>
    </row>
    <row r="2037" spans="2:4" ht="14" thickBot="1" x14ac:dyDescent="0.2">
      <c r="B2037" s="312">
        <v>42842</v>
      </c>
      <c r="C2037" s="321">
        <v>9139.2999999999993</v>
      </c>
      <c r="D2037" s="209">
        <f t="shared" si="31"/>
        <v>-3.7366100248377165E-3</v>
      </c>
    </row>
    <row r="2038" spans="2:4" ht="14" thickBot="1" x14ac:dyDescent="0.2">
      <c r="B2038" s="312">
        <v>42838</v>
      </c>
      <c r="C2038" s="321">
        <v>9150.7999999999993</v>
      </c>
      <c r="D2038" s="209">
        <f t="shared" si="31"/>
        <v>-1.2567207238711742E-3</v>
      </c>
    </row>
    <row r="2039" spans="2:4" ht="14" thickBot="1" x14ac:dyDescent="0.2">
      <c r="B2039" s="312">
        <v>42837</v>
      </c>
      <c r="C2039" s="321">
        <v>9203.4500000000007</v>
      </c>
      <c r="D2039" s="210">
        <f t="shared" si="31"/>
        <v>-5.7206808316447866E-3</v>
      </c>
    </row>
    <row r="2040" spans="2:4" ht="14" thickBot="1" x14ac:dyDescent="0.2">
      <c r="B2040" s="312">
        <v>42836</v>
      </c>
      <c r="C2040" s="321">
        <v>9237</v>
      </c>
      <c r="D2040" s="210">
        <f t="shared" si="31"/>
        <v>-3.6321316444731799E-3</v>
      </c>
    </row>
    <row r="2041" spans="2:4" ht="14" thickBot="1" x14ac:dyDescent="0.2">
      <c r="B2041" s="312">
        <v>42835</v>
      </c>
      <c r="C2041" s="321">
        <v>9181.4500000000007</v>
      </c>
      <c r="D2041" s="210">
        <f t="shared" si="31"/>
        <v>6.0502426087380989E-3</v>
      </c>
    </row>
    <row r="2042" spans="2:4" ht="14" thickBot="1" x14ac:dyDescent="0.2">
      <c r="B2042" s="312">
        <v>42832</v>
      </c>
      <c r="C2042" s="321">
        <v>9198.2999999999993</v>
      </c>
      <c r="D2042" s="210">
        <f t="shared" si="31"/>
        <v>-1.8318602350432256E-3</v>
      </c>
    </row>
    <row r="2043" spans="2:4" ht="14" thickBot="1" x14ac:dyDescent="0.2">
      <c r="B2043" s="312">
        <v>42831</v>
      </c>
      <c r="C2043" s="321">
        <v>9261.9500000000007</v>
      </c>
      <c r="D2043" s="210">
        <f t="shared" si="31"/>
        <v>-6.8722029378264216E-3</v>
      </c>
    </row>
    <row r="2044" spans="2:4" ht="14" thickBot="1" x14ac:dyDescent="0.2">
      <c r="B2044" s="312">
        <v>42830</v>
      </c>
      <c r="C2044" s="321">
        <v>9265.15</v>
      </c>
      <c r="D2044" s="210">
        <f t="shared" si="31"/>
        <v>-3.453802690727148E-4</v>
      </c>
    </row>
    <row r="2045" spans="2:4" ht="14" thickBot="1" x14ac:dyDescent="0.2">
      <c r="B2045" s="312">
        <v>42828</v>
      </c>
      <c r="C2045" s="321">
        <v>9237.85</v>
      </c>
      <c r="D2045" s="209">
        <f t="shared" si="31"/>
        <v>2.9552330899504931E-3</v>
      </c>
    </row>
    <row r="2046" spans="2:4" ht="14" thickBot="1" x14ac:dyDescent="0.2">
      <c r="B2046" s="312">
        <v>42825</v>
      </c>
      <c r="C2046" s="321">
        <v>9173.75</v>
      </c>
      <c r="D2046" s="209">
        <f t="shared" si="31"/>
        <v>6.9873279738383864E-3</v>
      </c>
    </row>
    <row r="2047" spans="2:4" ht="14" thickBot="1" x14ac:dyDescent="0.2">
      <c r="B2047" s="312">
        <v>42824</v>
      </c>
      <c r="C2047" s="321">
        <v>9173.75</v>
      </c>
      <c r="D2047" s="210">
        <f t="shared" si="31"/>
        <v>0</v>
      </c>
    </row>
    <row r="2048" spans="2:4" ht="14" thickBot="1" x14ac:dyDescent="0.2">
      <c r="B2048" s="312">
        <v>42823</v>
      </c>
      <c r="C2048" s="321">
        <v>9143.7999999999993</v>
      </c>
      <c r="D2048" s="210">
        <f t="shared" si="31"/>
        <v>3.2754434698922807E-3</v>
      </c>
    </row>
    <row r="2049" spans="2:4" ht="14" thickBot="1" x14ac:dyDescent="0.2">
      <c r="B2049" s="312">
        <v>42822</v>
      </c>
      <c r="C2049" s="321">
        <v>9100.7999999999993</v>
      </c>
      <c r="D2049" s="209">
        <f t="shared" si="31"/>
        <v>4.7248593530238026E-3</v>
      </c>
    </row>
    <row r="2050" spans="2:4" ht="14" thickBot="1" x14ac:dyDescent="0.2">
      <c r="B2050" s="312">
        <v>42821</v>
      </c>
      <c r="C2050" s="321">
        <v>9045.2000000000007</v>
      </c>
      <c r="D2050" s="209">
        <f t="shared" si="31"/>
        <v>6.1469066466190991E-3</v>
      </c>
    </row>
    <row r="2051" spans="2:4" ht="14" thickBot="1" x14ac:dyDescent="0.2">
      <c r="B2051" s="312">
        <v>42818</v>
      </c>
      <c r="C2051" s="321">
        <v>9108</v>
      </c>
      <c r="D2051" s="209">
        <f t="shared" si="31"/>
        <v>-6.8950373298198864E-3</v>
      </c>
    </row>
    <row r="2052" spans="2:4" ht="14" thickBot="1" x14ac:dyDescent="0.2">
      <c r="B2052" s="312">
        <v>42817</v>
      </c>
      <c r="C2052" s="321">
        <v>9086.2999999999993</v>
      </c>
      <c r="D2052" s="209">
        <f t="shared" si="31"/>
        <v>2.3882108228872045E-3</v>
      </c>
    </row>
    <row r="2053" spans="2:4" ht="14" thickBot="1" x14ac:dyDescent="0.2">
      <c r="B2053" s="312">
        <v>42816</v>
      </c>
      <c r="C2053" s="321">
        <v>9030.4500000000007</v>
      </c>
      <c r="D2053" s="209">
        <f t="shared" si="31"/>
        <v>6.1846308877187006E-3</v>
      </c>
    </row>
    <row r="2054" spans="2:4" ht="14" thickBot="1" x14ac:dyDescent="0.2">
      <c r="B2054" s="312">
        <v>42815</v>
      </c>
      <c r="C2054" s="321">
        <v>9121.5</v>
      </c>
      <c r="D2054" s="210">
        <f t="shared" si="31"/>
        <v>-9.9819108699226167E-3</v>
      </c>
    </row>
    <row r="2055" spans="2:4" ht="14" thickBot="1" x14ac:dyDescent="0.2">
      <c r="B2055" s="312">
        <v>42814</v>
      </c>
      <c r="C2055" s="321">
        <v>9126.85</v>
      </c>
      <c r="D2055" s="210">
        <f t="shared" si="31"/>
        <v>-5.861825273780763E-4</v>
      </c>
    </row>
    <row r="2056" spans="2:4" ht="14" thickBot="1" x14ac:dyDescent="0.2">
      <c r="B2056" s="312">
        <v>42811</v>
      </c>
      <c r="C2056" s="321">
        <v>9160.0499999999993</v>
      </c>
      <c r="D2056" s="209">
        <f t="shared" si="31"/>
        <v>-3.6244343644411536E-3</v>
      </c>
    </row>
    <row r="2057" spans="2:4" ht="14" thickBot="1" x14ac:dyDescent="0.2">
      <c r="B2057" s="312">
        <v>42810</v>
      </c>
      <c r="C2057" s="321">
        <v>9153.7000000000007</v>
      </c>
      <c r="D2057" s="209">
        <f t="shared" si="31"/>
        <v>6.9370855501027506E-4</v>
      </c>
    </row>
    <row r="2058" spans="2:4" ht="14" thickBot="1" x14ac:dyDescent="0.2">
      <c r="B2058" s="312">
        <v>42809</v>
      </c>
      <c r="C2058" s="321">
        <v>9084.7999999999993</v>
      </c>
      <c r="D2058" s="209">
        <f t="shared" si="31"/>
        <v>7.5840965128568527E-3</v>
      </c>
    </row>
    <row r="2059" spans="2:4" ht="14" thickBot="1" x14ac:dyDescent="0.2">
      <c r="B2059" s="312">
        <v>42808</v>
      </c>
      <c r="C2059" s="321">
        <v>9087</v>
      </c>
      <c r="D2059" s="210">
        <f t="shared" ref="D2059:D2122" si="32">C2058/C2059-1</f>
        <v>-2.4210410476510624E-4</v>
      </c>
    </row>
    <row r="2060" spans="2:4" ht="14" thickBot="1" x14ac:dyDescent="0.2">
      <c r="B2060" s="312">
        <v>42804</v>
      </c>
      <c r="C2060" s="321">
        <v>8934.5499999999993</v>
      </c>
      <c r="D2060" s="209">
        <f t="shared" si="32"/>
        <v>1.7062974632186423E-2</v>
      </c>
    </row>
    <row r="2061" spans="2:4" ht="14" thickBot="1" x14ac:dyDescent="0.2">
      <c r="B2061" s="312">
        <v>42803</v>
      </c>
      <c r="C2061" s="321">
        <v>8927</v>
      </c>
      <c r="D2061" s="209">
        <f t="shared" si="32"/>
        <v>8.457488517978895E-4</v>
      </c>
    </row>
    <row r="2062" spans="2:4" ht="14" thickBot="1" x14ac:dyDescent="0.2">
      <c r="B2062" s="312">
        <v>42802</v>
      </c>
      <c r="C2062" s="321">
        <v>8924.2999999999993</v>
      </c>
      <c r="D2062" s="209">
        <f t="shared" si="32"/>
        <v>3.0254473740254362E-4</v>
      </c>
    </row>
    <row r="2063" spans="2:4" ht="14" thickBot="1" x14ac:dyDescent="0.2">
      <c r="B2063" s="312">
        <v>42801</v>
      </c>
      <c r="C2063" s="321">
        <v>8946.9</v>
      </c>
      <c r="D2063" s="209">
        <f t="shared" si="32"/>
        <v>-2.5260145972347825E-3</v>
      </c>
    </row>
    <row r="2064" spans="2:4" ht="14" thickBot="1" x14ac:dyDescent="0.2">
      <c r="B2064" s="312">
        <v>42800</v>
      </c>
      <c r="C2064" s="321">
        <v>8963.4500000000007</v>
      </c>
      <c r="D2064" s="209">
        <f t="shared" si="32"/>
        <v>-1.8463872727577657E-3</v>
      </c>
    </row>
    <row r="2065" spans="2:4" ht="14" thickBot="1" x14ac:dyDescent="0.2">
      <c r="B2065" s="312">
        <v>42797</v>
      </c>
      <c r="C2065" s="321">
        <v>8897.5499999999993</v>
      </c>
      <c r="D2065" s="209">
        <f t="shared" si="32"/>
        <v>7.4065332591557453E-3</v>
      </c>
    </row>
    <row r="2066" spans="2:4" ht="14" thickBot="1" x14ac:dyDescent="0.2">
      <c r="B2066" s="312">
        <v>42796</v>
      </c>
      <c r="C2066" s="321">
        <v>8899.75</v>
      </c>
      <c r="D2066" s="210">
        <f t="shared" si="32"/>
        <v>-2.4719795499883457E-4</v>
      </c>
    </row>
    <row r="2067" spans="2:4" ht="14" thickBot="1" x14ac:dyDescent="0.2">
      <c r="B2067" s="312">
        <v>42795</v>
      </c>
      <c r="C2067" s="321">
        <v>8945.7999999999993</v>
      </c>
      <c r="D2067" s="209">
        <f t="shared" si="32"/>
        <v>-5.1476670616378284E-3</v>
      </c>
    </row>
    <row r="2068" spans="2:4" ht="14" thickBot="1" x14ac:dyDescent="0.2">
      <c r="B2068" s="312">
        <v>42794</v>
      </c>
      <c r="C2068" s="321">
        <v>8879.6</v>
      </c>
      <c r="D2068" s="209">
        <f t="shared" si="32"/>
        <v>7.4552907788638656E-3</v>
      </c>
    </row>
    <row r="2069" spans="2:4" ht="14" thickBot="1" x14ac:dyDescent="0.2">
      <c r="B2069" s="312">
        <v>42793</v>
      </c>
      <c r="C2069" s="321">
        <v>8896.7000000000007</v>
      </c>
      <c r="D2069" s="209">
        <f t="shared" si="32"/>
        <v>-1.9220609889060158E-3</v>
      </c>
    </row>
    <row r="2070" spans="2:4" ht="14" thickBot="1" x14ac:dyDescent="0.2">
      <c r="B2070" s="312">
        <v>42789</v>
      </c>
      <c r="C2070" s="321">
        <v>8939.5</v>
      </c>
      <c r="D2070" s="209">
        <f t="shared" si="32"/>
        <v>-4.7877398064768428E-3</v>
      </c>
    </row>
    <row r="2071" spans="2:4" ht="14" thickBot="1" x14ac:dyDescent="0.2">
      <c r="B2071" s="312">
        <v>42788</v>
      </c>
      <c r="C2071" s="321">
        <v>8926.9</v>
      </c>
      <c r="D2071" s="209">
        <f t="shared" si="32"/>
        <v>1.4114642261031651E-3</v>
      </c>
    </row>
    <row r="2072" spans="2:4" ht="14" thickBot="1" x14ac:dyDescent="0.2">
      <c r="B2072" s="312">
        <v>42787</v>
      </c>
      <c r="C2072" s="321">
        <v>8907.85</v>
      </c>
      <c r="D2072" s="209">
        <f t="shared" si="32"/>
        <v>2.1385631774220037E-3</v>
      </c>
    </row>
    <row r="2073" spans="2:4" ht="14" thickBot="1" x14ac:dyDescent="0.2">
      <c r="B2073" s="312">
        <v>42786</v>
      </c>
      <c r="C2073" s="321">
        <v>8879.2000000000007</v>
      </c>
      <c r="D2073" s="210">
        <f t="shared" si="32"/>
        <v>3.2266420398232576E-3</v>
      </c>
    </row>
    <row r="2074" spans="2:4" ht="14" thickBot="1" x14ac:dyDescent="0.2">
      <c r="B2074" s="312">
        <v>42783</v>
      </c>
      <c r="C2074" s="321">
        <v>8821.7000000000007</v>
      </c>
      <c r="D2074" s="209">
        <f t="shared" si="32"/>
        <v>6.5180180690795897E-3</v>
      </c>
    </row>
    <row r="2075" spans="2:4" ht="14" thickBot="1" x14ac:dyDescent="0.2">
      <c r="B2075" s="312">
        <v>42782</v>
      </c>
      <c r="C2075" s="321">
        <v>8778</v>
      </c>
      <c r="D2075" s="209">
        <f t="shared" si="32"/>
        <v>4.9783549783550818E-3</v>
      </c>
    </row>
    <row r="2076" spans="2:4" ht="14" thickBot="1" x14ac:dyDescent="0.2">
      <c r="B2076" s="312">
        <v>42781</v>
      </c>
      <c r="C2076" s="321">
        <v>8724.7000000000007</v>
      </c>
      <c r="D2076" s="209">
        <f t="shared" si="32"/>
        <v>6.1090925762490311E-3</v>
      </c>
    </row>
    <row r="2077" spans="2:4" ht="14" thickBot="1" x14ac:dyDescent="0.2">
      <c r="B2077" s="312">
        <v>42780</v>
      </c>
      <c r="C2077" s="321">
        <v>8792.2999999999993</v>
      </c>
      <c r="D2077" s="209">
        <f t="shared" si="32"/>
        <v>-7.6885456592699075E-3</v>
      </c>
    </row>
    <row r="2078" spans="2:4" ht="14" thickBot="1" x14ac:dyDescent="0.2">
      <c r="B2078" s="312">
        <v>42779</v>
      </c>
      <c r="C2078" s="321">
        <v>8805.0499999999993</v>
      </c>
      <c r="D2078" s="209">
        <f t="shared" si="32"/>
        <v>-1.4480326630740281E-3</v>
      </c>
    </row>
    <row r="2079" spans="2:4" ht="14" thickBot="1" x14ac:dyDescent="0.2">
      <c r="B2079" s="312">
        <v>42776</v>
      </c>
      <c r="C2079" s="321">
        <v>8793.5499999999993</v>
      </c>
      <c r="D2079" s="209">
        <f t="shared" si="32"/>
        <v>1.307776722711429E-3</v>
      </c>
    </row>
    <row r="2080" spans="2:4" ht="14" thickBot="1" x14ac:dyDescent="0.2">
      <c r="B2080" s="312">
        <v>42775</v>
      </c>
      <c r="C2080" s="321">
        <v>8778.4</v>
      </c>
      <c r="D2080" s="209">
        <f t="shared" si="32"/>
        <v>1.7258270299826961E-3</v>
      </c>
    </row>
    <row r="2081" spans="2:4" ht="14" thickBot="1" x14ac:dyDescent="0.2">
      <c r="B2081" s="312">
        <v>42774</v>
      </c>
      <c r="C2081" s="321">
        <v>8769.0499999999993</v>
      </c>
      <c r="D2081" s="210">
        <f t="shared" si="32"/>
        <v>1.0662500498914707E-3</v>
      </c>
    </row>
    <row r="2082" spans="2:4" ht="14" thickBot="1" x14ac:dyDescent="0.2">
      <c r="B2082" s="312">
        <v>42773</v>
      </c>
      <c r="C2082" s="321">
        <v>8768.2999999999993</v>
      </c>
      <c r="D2082" s="209">
        <f t="shared" si="32"/>
        <v>8.5535394546365495E-5</v>
      </c>
    </row>
    <row r="2083" spans="2:4" ht="14" thickBot="1" x14ac:dyDescent="0.2">
      <c r="B2083" s="312">
        <v>42772</v>
      </c>
      <c r="C2083" s="321">
        <v>8801.0499999999993</v>
      </c>
      <c r="D2083" s="210">
        <f t="shared" si="32"/>
        <v>-3.7211469086074755E-3</v>
      </c>
    </row>
    <row r="2084" spans="2:4" ht="14" thickBot="1" x14ac:dyDescent="0.2">
      <c r="B2084" s="312">
        <v>42769</v>
      </c>
      <c r="C2084" s="321">
        <v>8740.9500000000007</v>
      </c>
      <c r="D2084" s="209">
        <f t="shared" si="32"/>
        <v>6.8756828491181032E-3</v>
      </c>
    </row>
    <row r="2085" spans="2:4" ht="14" thickBot="1" x14ac:dyDescent="0.2">
      <c r="B2085" s="312">
        <v>42768</v>
      </c>
      <c r="C2085" s="321">
        <v>8734.25</v>
      </c>
      <c r="D2085" s="209">
        <f t="shared" si="32"/>
        <v>7.6709505681660239E-4</v>
      </c>
    </row>
    <row r="2086" spans="2:4" ht="14" thickBot="1" x14ac:dyDescent="0.2">
      <c r="B2086" s="312">
        <v>42767</v>
      </c>
      <c r="C2086" s="321">
        <v>8716.4</v>
      </c>
      <c r="D2086" s="209">
        <f t="shared" si="32"/>
        <v>2.0478637969805202E-3</v>
      </c>
    </row>
    <row r="2087" spans="2:4" ht="14" thickBot="1" x14ac:dyDescent="0.2">
      <c r="B2087" s="312">
        <v>42766</v>
      </c>
      <c r="C2087" s="321">
        <v>8561.2999999999993</v>
      </c>
      <c r="D2087" s="210">
        <f t="shared" si="32"/>
        <v>1.8116407554927383E-2</v>
      </c>
    </row>
    <row r="2088" spans="2:4" ht="14" thickBot="1" x14ac:dyDescent="0.2">
      <c r="B2088" s="312">
        <v>42765</v>
      </c>
      <c r="C2088" s="321">
        <v>8632.75</v>
      </c>
      <c r="D2088" s="209">
        <f t="shared" si="32"/>
        <v>-8.2766210072110491E-3</v>
      </c>
    </row>
    <row r="2089" spans="2:4" ht="14" thickBot="1" x14ac:dyDescent="0.2">
      <c r="B2089" s="312">
        <v>42762</v>
      </c>
      <c r="C2089" s="321">
        <v>8641.25</v>
      </c>
      <c r="D2089" s="209">
        <f t="shared" si="32"/>
        <v>-9.8365398524513648E-4</v>
      </c>
    </row>
    <row r="2090" spans="2:4" ht="14" thickBot="1" x14ac:dyDescent="0.2">
      <c r="B2090" s="312">
        <v>42760</v>
      </c>
      <c r="C2090" s="321">
        <v>8602.75</v>
      </c>
      <c r="D2090" s="209">
        <f t="shared" si="32"/>
        <v>4.4753131266164203E-3</v>
      </c>
    </row>
    <row r="2091" spans="2:4" ht="14" thickBot="1" x14ac:dyDescent="0.2">
      <c r="B2091" s="312">
        <v>42759</v>
      </c>
      <c r="C2091" s="321">
        <v>8475.7999999999993</v>
      </c>
      <c r="D2091" s="209">
        <f t="shared" si="32"/>
        <v>1.4977937185870482E-2</v>
      </c>
    </row>
    <row r="2092" spans="2:4" ht="14" thickBot="1" x14ac:dyDescent="0.2">
      <c r="B2092" s="312">
        <v>42758</v>
      </c>
      <c r="C2092" s="321">
        <v>8391.5</v>
      </c>
      <c r="D2092" s="210">
        <f t="shared" si="32"/>
        <v>1.0045879759280174E-2</v>
      </c>
    </row>
    <row r="2093" spans="2:4" ht="14" thickBot="1" x14ac:dyDescent="0.2">
      <c r="B2093" s="312">
        <v>42755</v>
      </c>
      <c r="C2093" s="321">
        <v>8349.35</v>
      </c>
      <c r="D2093" s="209">
        <f t="shared" si="32"/>
        <v>5.0482971728338377E-3</v>
      </c>
    </row>
    <row r="2094" spans="2:4" ht="14" thickBot="1" x14ac:dyDescent="0.2">
      <c r="B2094" s="312">
        <v>42754</v>
      </c>
      <c r="C2094" s="321">
        <v>8435.1</v>
      </c>
      <c r="D2094" s="209">
        <f t="shared" si="32"/>
        <v>-1.0165854583822354E-2</v>
      </c>
    </row>
    <row r="2095" spans="2:4" ht="14" thickBot="1" x14ac:dyDescent="0.2">
      <c r="B2095" s="312">
        <v>42753</v>
      </c>
      <c r="C2095" s="321">
        <v>8417</v>
      </c>
      <c r="D2095" s="209">
        <f t="shared" si="32"/>
        <v>2.1504098847571207E-3</v>
      </c>
    </row>
    <row r="2096" spans="2:4" ht="14" thickBot="1" x14ac:dyDescent="0.2">
      <c r="B2096" s="312">
        <v>42752</v>
      </c>
      <c r="C2096" s="321">
        <v>8398</v>
      </c>
      <c r="D2096" s="209">
        <f t="shared" si="32"/>
        <v>2.2624434389140191E-3</v>
      </c>
    </row>
    <row r="2097" spans="2:4" ht="14" thickBot="1" x14ac:dyDescent="0.2">
      <c r="B2097" s="312">
        <v>42751</v>
      </c>
      <c r="C2097" s="321">
        <v>8412.7999999999993</v>
      </c>
      <c r="D2097" s="209">
        <f t="shared" si="32"/>
        <v>-1.7592240395586378E-3</v>
      </c>
    </row>
    <row r="2098" spans="2:4" ht="14" thickBot="1" x14ac:dyDescent="0.2">
      <c r="B2098" s="312">
        <v>42748</v>
      </c>
      <c r="C2098" s="321">
        <v>8400.35</v>
      </c>
      <c r="D2098" s="209">
        <f t="shared" si="32"/>
        <v>1.4820811037634662E-3</v>
      </c>
    </row>
    <row r="2099" spans="2:4" ht="14" thickBot="1" x14ac:dyDescent="0.2">
      <c r="B2099" s="312">
        <v>42747</v>
      </c>
      <c r="C2099" s="321">
        <v>8407.2000000000007</v>
      </c>
      <c r="D2099" s="209">
        <f t="shared" si="32"/>
        <v>-8.1477780949668066E-4</v>
      </c>
    </row>
    <row r="2100" spans="2:4" ht="14" thickBot="1" x14ac:dyDescent="0.2">
      <c r="B2100" s="312">
        <v>42746</v>
      </c>
      <c r="C2100" s="321">
        <v>8380.65</v>
      </c>
      <c r="D2100" s="209">
        <f t="shared" si="32"/>
        <v>3.1680120277068902E-3</v>
      </c>
    </row>
    <row r="2101" spans="2:4" ht="14" thickBot="1" x14ac:dyDescent="0.2">
      <c r="B2101" s="312">
        <v>42745</v>
      </c>
      <c r="C2101" s="321">
        <v>8288.6</v>
      </c>
      <c r="D2101" s="210">
        <f t="shared" si="32"/>
        <v>1.110561494100315E-2</v>
      </c>
    </row>
    <row r="2102" spans="2:4" ht="14" thickBot="1" x14ac:dyDescent="0.2">
      <c r="B2102" s="312">
        <v>42744</v>
      </c>
      <c r="C2102" s="321">
        <v>8236.0499999999993</v>
      </c>
      <c r="D2102" s="210">
        <f t="shared" si="32"/>
        <v>6.3804857911258228E-3</v>
      </c>
    </row>
    <row r="2103" spans="2:4" ht="14" thickBot="1" x14ac:dyDescent="0.2">
      <c r="B2103" s="312">
        <v>42741</v>
      </c>
      <c r="C2103" s="321">
        <v>8243.7999999999993</v>
      </c>
      <c r="D2103" s="210">
        <f t="shared" si="32"/>
        <v>-9.4010043911785246E-4</v>
      </c>
    </row>
    <row r="2104" spans="2:4" ht="14" thickBot="1" x14ac:dyDescent="0.2">
      <c r="B2104" s="312">
        <v>42740</v>
      </c>
      <c r="C2104" s="321">
        <v>8273.7999999999993</v>
      </c>
      <c r="D2104" s="209">
        <f t="shared" si="32"/>
        <v>-3.6259034542773794E-3</v>
      </c>
    </row>
    <row r="2105" spans="2:4" ht="14" thickBot="1" x14ac:dyDescent="0.2">
      <c r="B2105" s="312">
        <v>42739</v>
      </c>
      <c r="C2105" s="321">
        <v>8190.5</v>
      </c>
      <c r="D2105" s="210">
        <f t="shared" si="32"/>
        <v>1.0170319272327699E-2</v>
      </c>
    </row>
    <row r="2106" spans="2:4" ht="14" thickBot="1" x14ac:dyDescent="0.2">
      <c r="B2106" s="312">
        <v>42738</v>
      </c>
      <c r="C2106" s="321">
        <v>8192.25</v>
      </c>
      <c r="D2106" s="209">
        <f t="shared" si="32"/>
        <v>-2.1361652781592966E-4</v>
      </c>
    </row>
    <row r="2107" spans="2:4" ht="14" thickBot="1" x14ac:dyDescent="0.2">
      <c r="B2107" s="312">
        <v>42737</v>
      </c>
      <c r="C2107" s="321">
        <v>8179.5</v>
      </c>
      <c r="D2107" s="210">
        <f t="shared" si="32"/>
        <v>1.5587749862460143E-3</v>
      </c>
    </row>
    <row r="2108" spans="2:4" ht="14" thickBot="1" x14ac:dyDescent="0.2">
      <c r="B2108" s="312">
        <v>42734</v>
      </c>
      <c r="C2108" s="321">
        <v>8185.8</v>
      </c>
      <c r="D2108" s="209">
        <f t="shared" si="32"/>
        <v>-7.6962544894820795E-4</v>
      </c>
    </row>
    <row r="2109" spans="2:4" ht="14" thickBot="1" x14ac:dyDescent="0.2">
      <c r="B2109" s="312">
        <v>42733</v>
      </c>
      <c r="C2109" s="321">
        <v>8103.6</v>
      </c>
      <c r="D2109" s="209">
        <f t="shared" si="32"/>
        <v>1.0143639863764209E-2</v>
      </c>
    </row>
    <row r="2110" spans="2:4" ht="14" thickBot="1" x14ac:dyDescent="0.2">
      <c r="B2110" s="312">
        <v>42732</v>
      </c>
      <c r="C2110" s="321">
        <v>8034.85</v>
      </c>
      <c r="D2110" s="209">
        <f t="shared" si="32"/>
        <v>8.5564758520693118E-3</v>
      </c>
    </row>
    <row r="2111" spans="2:4" ht="14" thickBot="1" x14ac:dyDescent="0.2">
      <c r="B2111" s="312">
        <v>42731</v>
      </c>
      <c r="C2111" s="321">
        <v>8032.85</v>
      </c>
      <c r="D2111" s="209">
        <f t="shared" si="32"/>
        <v>2.4897763558384689E-4</v>
      </c>
    </row>
    <row r="2112" spans="2:4" ht="14" thickBot="1" x14ac:dyDescent="0.2">
      <c r="B2112" s="312">
        <v>42730</v>
      </c>
      <c r="C2112" s="321">
        <v>7908.25</v>
      </c>
      <c r="D2112" s="210">
        <f t="shared" si="32"/>
        <v>1.5755698163310461E-2</v>
      </c>
    </row>
    <row r="2113" spans="2:4" ht="14" thickBot="1" x14ac:dyDescent="0.2">
      <c r="B2113" s="312">
        <v>42727</v>
      </c>
      <c r="C2113" s="321">
        <v>7985.75</v>
      </c>
      <c r="D2113" s="209">
        <f t="shared" si="32"/>
        <v>-9.7047866512225411E-3</v>
      </c>
    </row>
    <row r="2114" spans="2:4" ht="14" thickBot="1" x14ac:dyDescent="0.2">
      <c r="B2114" s="312">
        <v>42726</v>
      </c>
      <c r="C2114" s="321">
        <v>7979.1</v>
      </c>
      <c r="D2114" s="209">
        <f t="shared" si="32"/>
        <v>8.3342732889679638E-4</v>
      </c>
    </row>
    <row r="2115" spans="2:4" ht="14" thickBot="1" x14ac:dyDescent="0.2">
      <c r="B2115" s="312">
        <v>42725</v>
      </c>
      <c r="C2115" s="321">
        <v>8061.3</v>
      </c>
      <c r="D2115" s="209">
        <f t="shared" si="32"/>
        <v>-1.0196866510364333E-2</v>
      </c>
    </row>
    <row r="2116" spans="2:4" ht="14" thickBot="1" x14ac:dyDescent="0.2">
      <c r="B2116" s="312">
        <v>42724</v>
      </c>
      <c r="C2116" s="321">
        <v>8082.4</v>
      </c>
      <c r="D2116" s="209">
        <f t="shared" si="32"/>
        <v>-2.6106107096901532E-3</v>
      </c>
    </row>
    <row r="2117" spans="2:4" ht="14" thickBot="1" x14ac:dyDescent="0.2">
      <c r="B2117" s="312">
        <v>42723</v>
      </c>
      <c r="C2117" s="321">
        <v>8104.35</v>
      </c>
      <c r="D2117" s="209">
        <f t="shared" si="32"/>
        <v>-2.7084220202731046E-3</v>
      </c>
    </row>
    <row r="2118" spans="2:4" ht="14" thickBot="1" x14ac:dyDescent="0.2">
      <c r="B2118" s="312">
        <v>42720</v>
      </c>
      <c r="C2118" s="321">
        <v>8139.45</v>
      </c>
      <c r="D2118" s="209">
        <f t="shared" si="32"/>
        <v>-4.3123306857342225E-3</v>
      </c>
    </row>
    <row r="2119" spans="2:4" ht="14" thickBot="1" x14ac:dyDescent="0.2">
      <c r="B2119" s="312">
        <v>42719</v>
      </c>
      <c r="C2119" s="321">
        <v>8153.6</v>
      </c>
      <c r="D2119" s="209">
        <f t="shared" si="32"/>
        <v>-1.7354297488226811E-3</v>
      </c>
    </row>
    <row r="2120" spans="2:4" ht="14" thickBot="1" x14ac:dyDescent="0.2">
      <c r="B2120" s="312">
        <v>42718</v>
      </c>
      <c r="C2120" s="321">
        <v>8182.45</v>
      </c>
      <c r="D2120" s="209">
        <f t="shared" si="32"/>
        <v>-3.5258388380007277E-3</v>
      </c>
    </row>
    <row r="2121" spans="2:4" ht="14" thickBot="1" x14ac:dyDescent="0.2">
      <c r="B2121" s="312">
        <v>42717</v>
      </c>
      <c r="C2121" s="321">
        <v>8221.7999999999993</v>
      </c>
      <c r="D2121" s="209">
        <f t="shared" si="32"/>
        <v>-4.7860565812838374E-3</v>
      </c>
    </row>
    <row r="2122" spans="2:4" ht="14" thickBot="1" x14ac:dyDescent="0.2">
      <c r="B2122" s="312">
        <v>42716</v>
      </c>
      <c r="C2122" s="321">
        <v>8170.8</v>
      </c>
      <c r="D2122" s="209">
        <f t="shared" si="32"/>
        <v>6.2417388750182212E-3</v>
      </c>
    </row>
    <row r="2123" spans="2:4" ht="14" thickBot="1" x14ac:dyDescent="0.2">
      <c r="B2123" s="312">
        <v>42713</v>
      </c>
      <c r="C2123" s="321">
        <v>8261.75</v>
      </c>
      <c r="D2123" s="210">
        <f t="shared" ref="D2123:D2186" si="33">C2122/C2123-1</f>
        <v>-1.1008563560988893E-2</v>
      </c>
    </row>
    <row r="2124" spans="2:4" ht="14" thickBot="1" x14ac:dyDescent="0.2">
      <c r="B2124" s="312">
        <v>42712</v>
      </c>
      <c r="C2124" s="321">
        <v>8246.85</v>
      </c>
      <c r="D2124" s="209">
        <f t="shared" si="33"/>
        <v>1.8067504562346848E-3</v>
      </c>
    </row>
    <row r="2125" spans="2:4" ht="14" thickBot="1" x14ac:dyDescent="0.2">
      <c r="B2125" s="312">
        <v>42711</v>
      </c>
      <c r="C2125" s="321">
        <v>8102.05</v>
      </c>
      <c r="D2125" s="209">
        <f t="shared" si="33"/>
        <v>1.7872020044309878E-2</v>
      </c>
    </row>
    <row r="2126" spans="2:4" ht="14" thickBot="1" x14ac:dyDescent="0.2">
      <c r="B2126" s="312">
        <v>42710</v>
      </c>
      <c r="C2126" s="321">
        <v>8143.15</v>
      </c>
      <c r="D2126" s="210">
        <f t="shared" si="33"/>
        <v>-5.0471868994184099E-3</v>
      </c>
    </row>
    <row r="2127" spans="2:4" ht="14" thickBot="1" x14ac:dyDescent="0.2">
      <c r="B2127" s="312">
        <v>42709</v>
      </c>
      <c r="C2127" s="321">
        <v>8128.75</v>
      </c>
      <c r="D2127" s="210">
        <f t="shared" si="33"/>
        <v>1.7714900815009038E-3</v>
      </c>
    </row>
    <row r="2128" spans="2:4" ht="14" thickBot="1" x14ac:dyDescent="0.2">
      <c r="B2128" s="312">
        <v>42706</v>
      </c>
      <c r="C2128" s="321">
        <v>8086.8</v>
      </c>
      <c r="D2128" s="210">
        <f t="shared" si="33"/>
        <v>5.1874659939654677E-3</v>
      </c>
    </row>
    <row r="2129" spans="2:4" ht="14" thickBot="1" x14ac:dyDescent="0.2">
      <c r="B2129" s="312">
        <v>42705</v>
      </c>
      <c r="C2129" s="321">
        <v>8192.9</v>
      </c>
      <c r="D2129" s="210">
        <f t="shared" si="33"/>
        <v>-1.2950237400676134E-2</v>
      </c>
    </row>
    <row r="2130" spans="2:4" ht="14" thickBot="1" x14ac:dyDescent="0.2">
      <c r="B2130" s="312">
        <v>42704</v>
      </c>
      <c r="C2130" s="321">
        <v>8224.5</v>
      </c>
      <c r="D2130" s="210">
        <f t="shared" si="33"/>
        <v>-3.8421788558575809E-3</v>
      </c>
    </row>
    <row r="2131" spans="2:4" ht="14" thickBot="1" x14ac:dyDescent="0.2">
      <c r="B2131" s="312">
        <v>42703</v>
      </c>
      <c r="C2131" s="321">
        <v>8142.15</v>
      </c>
      <c r="D2131" s="210">
        <f t="shared" si="33"/>
        <v>1.0114036218934919E-2</v>
      </c>
    </row>
    <row r="2132" spans="2:4" ht="14" thickBot="1" x14ac:dyDescent="0.2">
      <c r="B2132" s="312">
        <v>42702</v>
      </c>
      <c r="C2132" s="321">
        <v>8126.9</v>
      </c>
      <c r="D2132" s="209">
        <f t="shared" si="33"/>
        <v>1.8764842682941207E-3</v>
      </c>
    </row>
    <row r="2133" spans="2:4" ht="14" thickBot="1" x14ac:dyDescent="0.2">
      <c r="B2133" s="312">
        <v>42699</v>
      </c>
      <c r="C2133" s="321">
        <v>8114.3</v>
      </c>
      <c r="D2133" s="209">
        <f t="shared" si="33"/>
        <v>1.552814167580685E-3</v>
      </c>
    </row>
    <row r="2134" spans="2:4" ht="14" thickBot="1" x14ac:dyDescent="0.2">
      <c r="B2134" s="312">
        <v>42698</v>
      </c>
      <c r="C2134" s="321">
        <v>7965.5</v>
      </c>
      <c r="D2134" s="210">
        <f t="shared" si="33"/>
        <v>1.86805599146318E-2</v>
      </c>
    </row>
    <row r="2135" spans="2:4" ht="14" thickBot="1" x14ac:dyDescent="0.2">
      <c r="B2135" s="312">
        <v>42697</v>
      </c>
      <c r="C2135" s="321">
        <v>8033.3</v>
      </c>
      <c r="D2135" s="209">
        <f t="shared" si="33"/>
        <v>-8.439869045099746E-3</v>
      </c>
    </row>
    <row r="2136" spans="2:4" ht="14" thickBot="1" x14ac:dyDescent="0.2">
      <c r="B2136" s="312">
        <v>42696</v>
      </c>
      <c r="C2136" s="321">
        <v>8002.3</v>
      </c>
      <c r="D2136" s="209">
        <f t="shared" si="33"/>
        <v>3.8738862577010202E-3</v>
      </c>
    </row>
    <row r="2137" spans="2:4" ht="14" thickBot="1" x14ac:dyDescent="0.2">
      <c r="B2137" s="312">
        <v>42695</v>
      </c>
      <c r="C2137" s="321">
        <v>7929.1</v>
      </c>
      <c r="D2137" s="210">
        <f t="shared" si="33"/>
        <v>9.2318169779672665E-3</v>
      </c>
    </row>
    <row r="2138" spans="2:4" ht="14" thickBot="1" x14ac:dyDescent="0.2">
      <c r="B2138" s="312">
        <v>42692</v>
      </c>
      <c r="C2138" s="321">
        <v>8074.1</v>
      </c>
      <c r="D2138" s="210">
        <f t="shared" si="33"/>
        <v>-1.795865793091489E-2</v>
      </c>
    </row>
    <row r="2139" spans="2:4" ht="14" thickBot="1" x14ac:dyDescent="0.2">
      <c r="B2139" s="312">
        <v>42691</v>
      </c>
      <c r="C2139" s="321">
        <v>8079.95</v>
      </c>
      <c r="D2139" s="209">
        <f t="shared" si="33"/>
        <v>-7.2401438127700501E-4</v>
      </c>
    </row>
    <row r="2140" spans="2:4" ht="14" thickBot="1" x14ac:dyDescent="0.2">
      <c r="B2140" s="312">
        <v>42690</v>
      </c>
      <c r="C2140" s="321">
        <v>8111.6</v>
      </c>
      <c r="D2140" s="210">
        <f t="shared" si="33"/>
        <v>-3.9018196163519425E-3</v>
      </c>
    </row>
    <row r="2141" spans="2:4" ht="14" thickBot="1" x14ac:dyDescent="0.2">
      <c r="B2141" s="312">
        <v>42689</v>
      </c>
      <c r="C2141" s="321">
        <v>8108.45</v>
      </c>
      <c r="D2141" s="210">
        <f t="shared" si="33"/>
        <v>3.8848361894072703E-4</v>
      </c>
    </row>
    <row r="2142" spans="2:4" ht="14" thickBot="1" x14ac:dyDescent="0.2">
      <c r="B2142" s="312">
        <v>42685</v>
      </c>
      <c r="C2142" s="321">
        <v>8296.2999999999993</v>
      </c>
      <c r="D2142" s="209">
        <f t="shared" si="33"/>
        <v>-2.2642623820257168E-2</v>
      </c>
    </row>
    <row r="2143" spans="2:4" ht="14" thickBot="1" x14ac:dyDescent="0.2">
      <c r="B2143" s="312">
        <v>42684</v>
      </c>
      <c r="C2143" s="321">
        <v>8525.75</v>
      </c>
      <c r="D2143" s="209">
        <f t="shared" si="33"/>
        <v>-2.6912588335337162E-2</v>
      </c>
    </row>
    <row r="2144" spans="2:4" ht="14" thickBot="1" x14ac:dyDescent="0.2">
      <c r="B2144" s="312">
        <v>42683</v>
      </c>
      <c r="C2144" s="321">
        <v>8432</v>
      </c>
      <c r="D2144" s="210">
        <f t="shared" si="33"/>
        <v>1.1118358633776193E-2</v>
      </c>
    </row>
    <row r="2145" spans="2:4" ht="14" thickBot="1" x14ac:dyDescent="0.2">
      <c r="B2145" s="312">
        <v>42682</v>
      </c>
      <c r="C2145" s="321">
        <v>8543.5499999999993</v>
      </c>
      <c r="D2145" s="209">
        <f t="shared" si="33"/>
        <v>-1.3056633366691717E-2</v>
      </c>
    </row>
    <row r="2146" spans="2:4" ht="14" thickBot="1" x14ac:dyDescent="0.2">
      <c r="B2146" s="312">
        <v>42681</v>
      </c>
      <c r="C2146" s="321">
        <v>8497.0499999999993</v>
      </c>
      <c r="D2146" s="209">
        <f t="shared" si="33"/>
        <v>5.4724875103713266E-3</v>
      </c>
    </row>
    <row r="2147" spans="2:4" ht="14" thickBot="1" x14ac:dyDescent="0.2">
      <c r="B2147" s="312">
        <v>42678</v>
      </c>
      <c r="C2147" s="321">
        <v>8433.75</v>
      </c>
      <c r="D2147" s="209">
        <f t="shared" si="33"/>
        <v>7.5055580257892274E-3</v>
      </c>
    </row>
    <row r="2148" spans="2:4" ht="14" thickBot="1" x14ac:dyDescent="0.2">
      <c r="B2148" s="312">
        <v>42677</v>
      </c>
      <c r="C2148" s="321">
        <v>8484.9500000000007</v>
      </c>
      <c r="D2148" s="209">
        <f t="shared" si="33"/>
        <v>-6.0342135192311686E-3</v>
      </c>
    </row>
    <row r="2149" spans="2:4" ht="14" thickBot="1" x14ac:dyDescent="0.2">
      <c r="B2149" s="312">
        <v>42676</v>
      </c>
      <c r="C2149" s="321">
        <v>8514</v>
      </c>
      <c r="D2149" s="209">
        <f t="shared" si="33"/>
        <v>-3.4120272492365045E-3</v>
      </c>
    </row>
    <row r="2150" spans="2:4" ht="14" thickBot="1" x14ac:dyDescent="0.2">
      <c r="B2150" s="312">
        <v>42675</v>
      </c>
      <c r="C2150" s="321">
        <v>8626.25</v>
      </c>
      <c r="D2150" s="209">
        <f t="shared" si="33"/>
        <v>-1.3012606868569754E-2</v>
      </c>
    </row>
    <row r="2151" spans="2:4" ht="14" thickBot="1" x14ac:dyDescent="0.2">
      <c r="B2151" s="312">
        <v>42673</v>
      </c>
      <c r="C2151" s="321">
        <v>8625.7000000000007</v>
      </c>
      <c r="D2151" s="210">
        <f t="shared" si="33"/>
        <v>6.3762940978540072E-5</v>
      </c>
    </row>
    <row r="2152" spans="2:4" ht="14" thickBot="1" x14ac:dyDescent="0.2">
      <c r="B2152" s="312">
        <v>42671</v>
      </c>
      <c r="C2152" s="321">
        <v>8638</v>
      </c>
      <c r="D2152" s="209">
        <f t="shared" si="33"/>
        <v>-1.4239407270200122E-3</v>
      </c>
    </row>
    <row r="2153" spans="2:4" ht="14" thickBot="1" x14ac:dyDescent="0.2">
      <c r="B2153" s="312">
        <v>42670</v>
      </c>
      <c r="C2153" s="321">
        <v>8615.25</v>
      </c>
      <c r="D2153" s="209">
        <f t="shared" si="33"/>
        <v>2.6406662604103737E-3</v>
      </c>
    </row>
    <row r="2154" spans="2:4" ht="14" thickBot="1" x14ac:dyDescent="0.2">
      <c r="B2154" s="312">
        <v>42669</v>
      </c>
      <c r="C2154" s="321">
        <v>8615.25</v>
      </c>
      <c r="D2154" s="209">
        <f t="shared" si="33"/>
        <v>0</v>
      </c>
    </row>
    <row r="2155" spans="2:4" ht="14" thickBot="1" x14ac:dyDescent="0.2">
      <c r="B2155" s="312">
        <v>42668</v>
      </c>
      <c r="C2155" s="321">
        <v>8691.2999999999993</v>
      </c>
      <c r="D2155" s="210">
        <f t="shared" si="33"/>
        <v>-8.750129439784482E-3</v>
      </c>
    </row>
    <row r="2156" spans="2:4" ht="14" thickBot="1" x14ac:dyDescent="0.2">
      <c r="B2156" s="312">
        <v>42667</v>
      </c>
      <c r="C2156" s="321">
        <v>8708.9500000000007</v>
      </c>
      <c r="D2156" s="210">
        <f t="shared" si="33"/>
        <v>-2.0266507443493786E-3</v>
      </c>
    </row>
    <row r="2157" spans="2:4" ht="14" thickBot="1" x14ac:dyDescent="0.2">
      <c r="B2157" s="312">
        <v>42664</v>
      </c>
      <c r="C2157" s="321">
        <v>8693.0499999999993</v>
      </c>
      <c r="D2157" s="210">
        <f t="shared" si="33"/>
        <v>1.8290473424174003E-3</v>
      </c>
    </row>
    <row r="2158" spans="2:4" ht="14" thickBot="1" x14ac:dyDescent="0.2">
      <c r="B2158" s="312">
        <v>42663</v>
      </c>
      <c r="C2158" s="321">
        <v>8699.4</v>
      </c>
      <c r="D2158" s="209">
        <f t="shared" si="33"/>
        <v>-7.2993539784360628E-4</v>
      </c>
    </row>
    <row r="2159" spans="2:4" ht="14" thickBot="1" x14ac:dyDescent="0.2">
      <c r="B2159" s="312">
        <v>42662</v>
      </c>
      <c r="C2159" s="321">
        <v>8659.1</v>
      </c>
      <c r="D2159" s="209">
        <f t="shared" si="33"/>
        <v>4.654063355314042E-3</v>
      </c>
    </row>
    <row r="2160" spans="2:4" ht="14" thickBot="1" x14ac:dyDescent="0.2">
      <c r="B2160" s="312">
        <v>42661</v>
      </c>
      <c r="C2160" s="321">
        <v>8677.9</v>
      </c>
      <c r="D2160" s="209">
        <f t="shared" si="33"/>
        <v>-2.1664227520482582E-3</v>
      </c>
    </row>
    <row r="2161" spans="2:4" ht="14" thickBot="1" x14ac:dyDescent="0.2">
      <c r="B2161" s="312">
        <v>42660</v>
      </c>
      <c r="C2161" s="321">
        <v>8520.4</v>
      </c>
      <c r="D2161" s="209">
        <f t="shared" si="33"/>
        <v>1.8485047650345088E-2</v>
      </c>
    </row>
    <row r="2162" spans="2:4" ht="14" thickBot="1" x14ac:dyDescent="0.2">
      <c r="B2162" s="312">
        <v>42657</v>
      </c>
      <c r="C2162" s="321">
        <v>8583.4</v>
      </c>
      <c r="D2162" s="209">
        <f t="shared" si="33"/>
        <v>-7.3397488174848924E-3</v>
      </c>
    </row>
    <row r="2163" spans="2:4" ht="14" thickBot="1" x14ac:dyDescent="0.2">
      <c r="B2163" s="312">
        <v>42656</v>
      </c>
      <c r="C2163" s="321">
        <v>8573.35</v>
      </c>
      <c r="D2163" s="209">
        <f t="shared" si="33"/>
        <v>1.1722372234890255E-3</v>
      </c>
    </row>
    <row r="2164" spans="2:4" ht="14" thickBot="1" x14ac:dyDescent="0.2">
      <c r="B2164" s="312">
        <v>42653</v>
      </c>
      <c r="C2164" s="321">
        <v>8708.7999999999993</v>
      </c>
      <c r="D2164" s="210">
        <f t="shared" si="33"/>
        <v>-1.5553233510931297E-2</v>
      </c>
    </row>
    <row r="2165" spans="2:4" ht="14" thickBot="1" x14ac:dyDescent="0.2">
      <c r="B2165" s="312">
        <v>42650</v>
      </c>
      <c r="C2165" s="321">
        <v>8697.6</v>
      </c>
      <c r="D2165" s="210">
        <f t="shared" si="33"/>
        <v>1.2877115526119809E-3</v>
      </c>
    </row>
    <row r="2166" spans="2:4" ht="14" thickBot="1" x14ac:dyDescent="0.2">
      <c r="B2166" s="312">
        <v>42649</v>
      </c>
      <c r="C2166" s="321">
        <v>8709.5499999999993</v>
      </c>
      <c r="D2166" s="210">
        <f t="shared" si="33"/>
        <v>-1.3720571097242118E-3</v>
      </c>
    </row>
    <row r="2167" spans="2:4" ht="14" thickBot="1" x14ac:dyDescent="0.2">
      <c r="B2167" s="312">
        <v>42648</v>
      </c>
      <c r="C2167" s="321">
        <v>8743.9500000000007</v>
      </c>
      <c r="D2167" s="210">
        <f t="shared" si="33"/>
        <v>-3.9341487542816633E-3</v>
      </c>
    </row>
    <row r="2168" spans="2:4" ht="14" thickBot="1" x14ac:dyDescent="0.2">
      <c r="B2168" s="312">
        <v>42647</v>
      </c>
      <c r="C2168" s="321">
        <v>8769.15</v>
      </c>
      <c r="D2168" s="209">
        <f t="shared" si="33"/>
        <v>-2.8737106789140654E-3</v>
      </c>
    </row>
    <row r="2169" spans="2:4" ht="14" thickBot="1" x14ac:dyDescent="0.2">
      <c r="B2169" s="312">
        <v>42646</v>
      </c>
      <c r="C2169" s="321">
        <v>8738.1</v>
      </c>
      <c r="D2169" s="210">
        <f t="shared" si="33"/>
        <v>3.5534040580902371E-3</v>
      </c>
    </row>
    <row r="2170" spans="2:4" ht="14" thickBot="1" x14ac:dyDescent="0.2">
      <c r="B2170" s="312">
        <v>42643</v>
      </c>
      <c r="C2170" s="321">
        <v>8611.15</v>
      </c>
      <c r="D2170" s="210">
        <f t="shared" si="33"/>
        <v>1.4742514066065526E-2</v>
      </c>
    </row>
    <row r="2171" spans="2:4" ht="14" thickBot="1" x14ac:dyDescent="0.2">
      <c r="B2171" s="312">
        <v>42642</v>
      </c>
      <c r="C2171" s="321">
        <v>8591.25</v>
      </c>
      <c r="D2171" s="209">
        <f t="shared" si="33"/>
        <v>2.3163101993306512E-3</v>
      </c>
    </row>
    <row r="2172" spans="2:4" ht="14" thickBot="1" x14ac:dyDescent="0.2">
      <c r="B2172" s="312">
        <v>42641</v>
      </c>
      <c r="C2172" s="321">
        <v>8745.15</v>
      </c>
      <c r="D2172" s="210">
        <f t="shared" si="33"/>
        <v>-1.7598325929229275E-2</v>
      </c>
    </row>
    <row r="2173" spans="2:4" ht="14" thickBot="1" x14ac:dyDescent="0.2">
      <c r="B2173" s="312">
        <v>42640</v>
      </c>
      <c r="C2173" s="321">
        <v>8706.4</v>
      </c>
      <c r="D2173" s="209">
        <f t="shared" si="33"/>
        <v>4.4507488743912305E-3</v>
      </c>
    </row>
    <row r="2174" spans="2:4" ht="14" thickBot="1" x14ac:dyDescent="0.2">
      <c r="B2174" s="312">
        <v>42639</v>
      </c>
      <c r="C2174" s="321">
        <v>8723.0499999999993</v>
      </c>
      <c r="D2174" s="209">
        <f t="shared" si="33"/>
        <v>-1.9087360498907247E-3</v>
      </c>
    </row>
    <row r="2175" spans="2:4" ht="14" thickBot="1" x14ac:dyDescent="0.2">
      <c r="B2175" s="312">
        <v>42636</v>
      </c>
      <c r="C2175" s="321">
        <v>8831.5499999999993</v>
      </c>
      <c r="D2175" s="209">
        <f t="shared" si="33"/>
        <v>-1.2285499147941192E-2</v>
      </c>
    </row>
    <row r="2176" spans="2:4" ht="14" thickBot="1" x14ac:dyDescent="0.2">
      <c r="B2176" s="312">
        <v>42635</v>
      </c>
      <c r="C2176" s="321">
        <v>8867.4500000000007</v>
      </c>
      <c r="D2176" s="209">
        <f t="shared" si="33"/>
        <v>-4.0485145109362408E-3</v>
      </c>
    </row>
    <row r="2177" spans="2:4" ht="14" thickBot="1" x14ac:dyDescent="0.2">
      <c r="B2177" s="312">
        <v>42634</v>
      </c>
      <c r="C2177" s="321">
        <v>8777.15</v>
      </c>
      <c r="D2177" s="209">
        <f t="shared" si="33"/>
        <v>1.0288077565041132E-2</v>
      </c>
    </row>
    <row r="2178" spans="2:4" ht="14" thickBot="1" x14ac:dyDescent="0.2">
      <c r="B2178" s="312">
        <v>42633</v>
      </c>
      <c r="C2178" s="321">
        <v>8775.9</v>
      </c>
      <c r="D2178" s="210">
        <f t="shared" si="33"/>
        <v>1.4243553367743189E-4</v>
      </c>
    </row>
    <row r="2179" spans="2:4" ht="14" thickBot="1" x14ac:dyDescent="0.2">
      <c r="B2179" s="312">
        <v>42632</v>
      </c>
      <c r="C2179" s="321">
        <v>8808.4</v>
      </c>
      <c r="D2179" s="209">
        <f t="shared" si="33"/>
        <v>-3.6896598701239292E-3</v>
      </c>
    </row>
    <row r="2180" spans="2:4" ht="14" thickBot="1" x14ac:dyDescent="0.2">
      <c r="B2180" s="312">
        <v>42629</v>
      </c>
      <c r="C2180" s="321">
        <v>8779.85</v>
      </c>
      <c r="D2180" s="210">
        <f t="shared" si="33"/>
        <v>3.2517639823002042E-3</v>
      </c>
    </row>
    <row r="2181" spans="2:4" ht="14" thickBot="1" x14ac:dyDescent="0.2">
      <c r="B2181" s="312">
        <v>42628</v>
      </c>
      <c r="C2181" s="321">
        <v>8742.5499999999993</v>
      </c>
      <c r="D2181" s="209">
        <f t="shared" si="33"/>
        <v>4.2664897541335733E-3</v>
      </c>
    </row>
    <row r="2182" spans="2:4" ht="14" thickBot="1" x14ac:dyDescent="0.2">
      <c r="B2182" s="312">
        <v>42627</v>
      </c>
      <c r="C2182" s="321">
        <v>8726.6</v>
      </c>
      <c r="D2182" s="210">
        <f t="shared" si="33"/>
        <v>1.8277450553478847E-3</v>
      </c>
    </row>
    <row r="2183" spans="2:4" ht="14" thickBot="1" x14ac:dyDescent="0.2">
      <c r="B2183" s="312">
        <v>42625</v>
      </c>
      <c r="C2183" s="321">
        <v>8715.6</v>
      </c>
      <c r="D2183" s="209">
        <f t="shared" si="33"/>
        <v>1.2621047317453726E-3</v>
      </c>
    </row>
    <row r="2184" spans="2:4" ht="14" thickBot="1" x14ac:dyDescent="0.2">
      <c r="B2184" s="312">
        <v>42622</v>
      </c>
      <c r="C2184" s="321">
        <v>8866.7000000000007</v>
      </c>
      <c r="D2184" s="209">
        <f t="shared" si="33"/>
        <v>-1.7041289318461272E-2</v>
      </c>
    </row>
    <row r="2185" spans="2:4" ht="14" thickBot="1" x14ac:dyDescent="0.2">
      <c r="B2185" s="312">
        <v>42621</v>
      </c>
      <c r="C2185" s="321">
        <v>8952.5</v>
      </c>
      <c r="D2185" s="209">
        <f t="shared" si="33"/>
        <v>-9.5839151075117757E-3</v>
      </c>
    </row>
    <row r="2186" spans="2:4" ht="14" thickBot="1" x14ac:dyDescent="0.2">
      <c r="B2186" s="312">
        <v>42620</v>
      </c>
      <c r="C2186" s="321">
        <v>8917.9500000000007</v>
      </c>
      <c r="D2186" s="209">
        <f t="shared" si="33"/>
        <v>3.8742087587393392E-3</v>
      </c>
    </row>
    <row r="2187" spans="2:4" ht="14" thickBot="1" x14ac:dyDescent="0.2">
      <c r="B2187" s="312">
        <v>42619</v>
      </c>
      <c r="C2187" s="321">
        <v>8943</v>
      </c>
      <c r="D2187" s="209">
        <f t="shared" ref="D2187:D2250" si="34">C2186/C2187-1</f>
        <v>-2.801073465280024E-3</v>
      </c>
    </row>
    <row r="2188" spans="2:4" ht="14" thickBot="1" x14ac:dyDescent="0.2">
      <c r="B2188" s="312">
        <v>42615</v>
      </c>
      <c r="C2188" s="321">
        <v>8809.65</v>
      </c>
      <c r="D2188" s="210">
        <f t="shared" si="34"/>
        <v>1.5136810202448503E-2</v>
      </c>
    </row>
    <row r="2189" spans="2:4" ht="14" thickBot="1" x14ac:dyDescent="0.2">
      <c r="B2189" s="312">
        <v>42614</v>
      </c>
      <c r="C2189" s="321">
        <v>8774.65</v>
      </c>
      <c r="D2189" s="210">
        <f t="shared" si="34"/>
        <v>3.9887630845674149E-3</v>
      </c>
    </row>
    <row r="2190" spans="2:4" ht="14" thickBot="1" x14ac:dyDescent="0.2">
      <c r="B2190" s="312">
        <v>42613</v>
      </c>
      <c r="C2190" s="321">
        <v>8786.2000000000007</v>
      </c>
      <c r="D2190" s="209">
        <f t="shared" si="34"/>
        <v>-1.3145614713984122E-3</v>
      </c>
    </row>
    <row r="2191" spans="2:4" ht="14" thickBot="1" x14ac:dyDescent="0.2">
      <c r="B2191" s="312">
        <v>42612</v>
      </c>
      <c r="C2191" s="321">
        <v>8744.35</v>
      </c>
      <c r="D2191" s="210">
        <f t="shared" si="34"/>
        <v>4.7859474975269212E-3</v>
      </c>
    </row>
    <row r="2192" spans="2:4" ht="14" thickBot="1" x14ac:dyDescent="0.2">
      <c r="B2192" s="312">
        <v>42611</v>
      </c>
      <c r="C2192" s="321">
        <v>8607.4500000000007</v>
      </c>
      <c r="D2192" s="210">
        <f t="shared" si="34"/>
        <v>1.5904826632742619E-2</v>
      </c>
    </row>
    <row r="2193" spans="2:4" ht="14" thickBot="1" x14ac:dyDescent="0.2">
      <c r="B2193" s="312">
        <v>42608</v>
      </c>
      <c r="C2193" s="321">
        <v>8572.5499999999993</v>
      </c>
      <c r="D2193" s="209">
        <f t="shared" si="34"/>
        <v>4.0711340266317286E-3</v>
      </c>
    </row>
    <row r="2194" spans="2:4" ht="14" thickBot="1" x14ac:dyDescent="0.2">
      <c r="B2194" s="312">
        <v>42607</v>
      </c>
      <c r="C2194" s="321">
        <v>8592.2000000000007</v>
      </c>
      <c r="D2194" s="209">
        <f t="shared" si="34"/>
        <v>-2.2869579385956795E-3</v>
      </c>
    </row>
    <row r="2195" spans="2:4" ht="14" thickBot="1" x14ac:dyDescent="0.2">
      <c r="B2195" s="312">
        <v>42606</v>
      </c>
      <c r="C2195" s="321">
        <v>8650.2999999999993</v>
      </c>
      <c r="D2195" s="209">
        <f t="shared" si="34"/>
        <v>-6.7165300625410262E-3</v>
      </c>
    </row>
    <row r="2196" spans="2:4" ht="14" thickBot="1" x14ac:dyDescent="0.2">
      <c r="B2196" s="312">
        <v>42605</v>
      </c>
      <c r="C2196" s="321">
        <v>8632.6</v>
      </c>
      <c r="D2196" s="209">
        <f t="shared" si="34"/>
        <v>2.0503672126588324E-3</v>
      </c>
    </row>
    <row r="2197" spans="2:4" ht="14" thickBot="1" x14ac:dyDescent="0.2">
      <c r="B2197" s="312">
        <v>42604</v>
      </c>
      <c r="C2197" s="321">
        <v>8629.15</v>
      </c>
      <c r="D2197" s="210">
        <f t="shared" si="34"/>
        <v>3.9980762879321396E-4</v>
      </c>
    </row>
    <row r="2198" spans="2:4" ht="14" thickBot="1" x14ac:dyDescent="0.2">
      <c r="B2198" s="312">
        <v>42601</v>
      </c>
      <c r="C2198" s="321">
        <v>8666.9</v>
      </c>
      <c r="D2198" s="209">
        <f t="shared" si="34"/>
        <v>-4.3556519632164115E-3</v>
      </c>
    </row>
    <row r="2199" spans="2:4" ht="14" thickBot="1" x14ac:dyDescent="0.2">
      <c r="B2199" s="312">
        <v>42600</v>
      </c>
      <c r="C2199" s="321">
        <v>8673.25</v>
      </c>
      <c r="D2199" s="210">
        <f t="shared" si="34"/>
        <v>-7.3213616579714813E-4</v>
      </c>
    </row>
    <row r="2200" spans="2:4" ht="14" thickBot="1" x14ac:dyDescent="0.2">
      <c r="B2200" s="312">
        <v>42599</v>
      </c>
      <c r="C2200" s="321">
        <v>8624.0499999999993</v>
      </c>
      <c r="D2200" s="209">
        <f t="shared" si="34"/>
        <v>5.704976200277212E-3</v>
      </c>
    </row>
    <row r="2201" spans="2:4" ht="14" thickBot="1" x14ac:dyDescent="0.2">
      <c r="B2201" s="312">
        <v>42598</v>
      </c>
      <c r="C2201" s="321">
        <v>8642.5499999999993</v>
      </c>
      <c r="D2201" s="210">
        <f t="shared" si="34"/>
        <v>-2.1405719376804688E-3</v>
      </c>
    </row>
    <row r="2202" spans="2:4" ht="14" thickBot="1" x14ac:dyDescent="0.2">
      <c r="B2202" s="312">
        <v>42594</v>
      </c>
      <c r="C2202" s="321">
        <v>8672.15</v>
      </c>
      <c r="D2202" s="209">
        <f t="shared" si="34"/>
        <v>-3.4132250941232289E-3</v>
      </c>
    </row>
    <row r="2203" spans="2:4" ht="14" thickBot="1" x14ac:dyDescent="0.2">
      <c r="B2203" s="312">
        <v>42593</v>
      </c>
      <c r="C2203" s="321">
        <v>8592.15</v>
      </c>
      <c r="D2203" s="210">
        <f t="shared" si="34"/>
        <v>9.3108244153092823E-3</v>
      </c>
    </row>
    <row r="2204" spans="2:4" ht="14" thickBot="1" x14ac:dyDescent="0.2">
      <c r="B2204" s="312">
        <v>42592</v>
      </c>
      <c r="C2204" s="321">
        <v>8575.2999999999993</v>
      </c>
      <c r="D2204" s="209">
        <f t="shared" si="34"/>
        <v>1.9649458327988256E-3</v>
      </c>
    </row>
    <row r="2205" spans="2:4" ht="14" thickBot="1" x14ac:dyDescent="0.2">
      <c r="B2205" s="312">
        <v>42591</v>
      </c>
      <c r="C2205" s="321">
        <v>8678.25</v>
      </c>
      <c r="D2205" s="209">
        <f t="shared" si="34"/>
        <v>-1.1862990810359353E-2</v>
      </c>
    </row>
    <row r="2206" spans="2:4" ht="14" thickBot="1" x14ac:dyDescent="0.2">
      <c r="B2206" s="312">
        <v>42590</v>
      </c>
      <c r="C2206" s="321">
        <v>8711.35</v>
      </c>
      <c r="D2206" s="210">
        <f t="shared" si="34"/>
        <v>-3.7996406986288145E-3</v>
      </c>
    </row>
    <row r="2207" spans="2:4" ht="14" thickBot="1" x14ac:dyDescent="0.2">
      <c r="B2207" s="312">
        <v>42587</v>
      </c>
      <c r="C2207" s="321">
        <v>8683.15</v>
      </c>
      <c r="D2207" s="209">
        <f t="shared" si="34"/>
        <v>3.247669336588821E-3</v>
      </c>
    </row>
    <row r="2208" spans="2:4" ht="14" thickBot="1" x14ac:dyDescent="0.2">
      <c r="B2208" s="312">
        <v>42586</v>
      </c>
      <c r="C2208" s="321">
        <v>8551.1</v>
      </c>
      <c r="D2208" s="209">
        <f t="shared" si="34"/>
        <v>1.5442457695501011E-2</v>
      </c>
    </row>
    <row r="2209" spans="2:4" ht="14" thickBot="1" x14ac:dyDescent="0.2">
      <c r="B2209" s="312">
        <v>42585</v>
      </c>
      <c r="C2209" s="321">
        <v>8544.85</v>
      </c>
      <c r="D2209" s="209">
        <f t="shared" si="34"/>
        <v>7.3143472383940811E-4</v>
      </c>
    </row>
    <row r="2210" spans="2:4" ht="14" thickBot="1" x14ac:dyDescent="0.2">
      <c r="B2210" s="312">
        <v>42584</v>
      </c>
      <c r="C2210" s="321">
        <v>8622.9</v>
      </c>
      <c r="D2210" s="209">
        <f t="shared" si="34"/>
        <v>-9.0514792007327927E-3</v>
      </c>
    </row>
    <row r="2211" spans="2:4" ht="14" thickBot="1" x14ac:dyDescent="0.2">
      <c r="B2211" s="312">
        <v>42583</v>
      </c>
      <c r="C2211" s="321">
        <v>8636.5499999999993</v>
      </c>
      <c r="D2211" s="209">
        <f t="shared" si="34"/>
        <v>-1.5804922104312169E-3</v>
      </c>
    </row>
    <row r="2212" spans="2:4" ht="14" thickBot="1" x14ac:dyDescent="0.2">
      <c r="B2212" s="312">
        <v>42580</v>
      </c>
      <c r="C2212" s="321">
        <v>8638.5</v>
      </c>
      <c r="D2212" s="209">
        <f t="shared" si="34"/>
        <v>-2.2573363431155347E-4</v>
      </c>
    </row>
    <row r="2213" spans="2:4" ht="14" thickBot="1" x14ac:dyDescent="0.2">
      <c r="B2213" s="312">
        <v>42579</v>
      </c>
      <c r="C2213" s="321">
        <v>8666.2999999999993</v>
      </c>
      <c r="D2213" s="210">
        <f t="shared" si="34"/>
        <v>-3.2078280234931755E-3</v>
      </c>
    </row>
    <row r="2214" spans="2:4" ht="14" thickBot="1" x14ac:dyDescent="0.2">
      <c r="B2214" s="312">
        <v>42578</v>
      </c>
      <c r="C2214" s="321">
        <v>8615.7999999999993</v>
      </c>
      <c r="D2214" s="210">
        <f t="shared" si="34"/>
        <v>5.8613245432810324E-3</v>
      </c>
    </row>
    <row r="2215" spans="2:4" ht="14" thickBot="1" x14ac:dyDescent="0.2">
      <c r="B2215" s="312">
        <v>42577</v>
      </c>
      <c r="C2215" s="321">
        <v>8590.65</v>
      </c>
      <c r="D2215" s="209">
        <f t="shared" si="34"/>
        <v>2.9276015202575056E-3</v>
      </c>
    </row>
    <row r="2216" spans="2:4" ht="14" thickBot="1" x14ac:dyDescent="0.2">
      <c r="B2216" s="312">
        <v>42576</v>
      </c>
      <c r="C2216" s="321">
        <v>8635.65</v>
      </c>
      <c r="D2216" s="209">
        <f t="shared" si="34"/>
        <v>-5.2109569053864213E-3</v>
      </c>
    </row>
    <row r="2217" spans="2:4" ht="14" thickBot="1" x14ac:dyDescent="0.2">
      <c r="B2217" s="312">
        <v>42573</v>
      </c>
      <c r="C2217" s="321">
        <v>8541.2000000000007</v>
      </c>
      <c r="D2217" s="209">
        <f t="shared" si="34"/>
        <v>1.105816512902158E-2</v>
      </c>
    </row>
    <row r="2218" spans="2:4" ht="14" thickBot="1" x14ac:dyDescent="0.2">
      <c r="B2218" s="312">
        <v>42572</v>
      </c>
      <c r="C2218" s="321">
        <v>8510.1</v>
      </c>
      <c r="D2218" s="210">
        <f t="shared" si="34"/>
        <v>3.6544811459324755E-3</v>
      </c>
    </row>
    <row r="2219" spans="2:4" ht="14" thickBot="1" x14ac:dyDescent="0.2">
      <c r="B2219" s="312">
        <v>42571</v>
      </c>
      <c r="C2219" s="321">
        <v>8565.85</v>
      </c>
      <c r="D2219" s="210">
        <f t="shared" si="34"/>
        <v>-6.5084025519942523E-3</v>
      </c>
    </row>
    <row r="2220" spans="2:4" ht="14" thickBot="1" x14ac:dyDescent="0.2">
      <c r="B2220" s="312">
        <v>42570</v>
      </c>
      <c r="C2220" s="321">
        <v>8528.5499999999993</v>
      </c>
      <c r="D2220" s="210">
        <f t="shared" si="34"/>
        <v>4.3735453271660507E-3</v>
      </c>
    </row>
    <row r="2221" spans="2:4" ht="14" thickBot="1" x14ac:dyDescent="0.2">
      <c r="B2221" s="312">
        <v>42569</v>
      </c>
      <c r="C2221" s="321">
        <v>8508.7000000000007</v>
      </c>
      <c r="D2221" s="209">
        <f t="shared" si="34"/>
        <v>2.3329063194141852E-3</v>
      </c>
    </row>
    <row r="2222" spans="2:4" ht="14" thickBot="1" x14ac:dyDescent="0.2">
      <c r="B2222" s="312">
        <v>42566</v>
      </c>
      <c r="C2222" s="321">
        <v>8541.4</v>
      </c>
      <c r="D2222" s="210">
        <f t="shared" si="34"/>
        <v>-3.8284122040882496E-3</v>
      </c>
    </row>
    <row r="2223" spans="2:4" ht="14" thickBot="1" x14ac:dyDescent="0.2">
      <c r="B2223" s="312">
        <v>42565</v>
      </c>
      <c r="C2223" s="321">
        <v>8565</v>
      </c>
      <c r="D2223" s="210">
        <f t="shared" si="34"/>
        <v>-2.7553998832458015E-3</v>
      </c>
    </row>
    <row r="2224" spans="2:4" ht="14" thickBot="1" x14ac:dyDescent="0.2">
      <c r="B2224" s="312">
        <v>42564</v>
      </c>
      <c r="C2224" s="321">
        <v>8519.5</v>
      </c>
      <c r="D2224" s="209">
        <f t="shared" si="34"/>
        <v>5.3406890075708979E-3</v>
      </c>
    </row>
    <row r="2225" spans="2:4" ht="14" thickBot="1" x14ac:dyDescent="0.2">
      <c r="B2225" s="312">
        <v>42563</v>
      </c>
      <c r="C2225" s="321">
        <v>8521.0499999999993</v>
      </c>
      <c r="D2225" s="210">
        <f t="shared" si="34"/>
        <v>-1.8190246507165941E-4</v>
      </c>
    </row>
    <row r="2226" spans="2:4" ht="14" thickBot="1" x14ac:dyDescent="0.2">
      <c r="B2226" s="312">
        <v>42562</v>
      </c>
      <c r="C2226" s="321">
        <v>8467.9</v>
      </c>
      <c r="D2226" s="209">
        <f t="shared" si="34"/>
        <v>6.2766447407267556E-3</v>
      </c>
    </row>
    <row r="2227" spans="2:4" ht="14" thickBot="1" x14ac:dyDescent="0.2">
      <c r="B2227" s="312">
        <v>42559</v>
      </c>
      <c r="C2227" s="321">
        <v>8323.2000000000007</v>
      </c>
      <c r="D2227" s="210">
        <f t="shared" si="34"/>
        <v>1.7385140330641979E-2</v>
      </c>
    </row>
    <row r="2228" spans="2:4" ht="14" thickBot="1" x14ac:dyDescent="0.2">
      <c r="B2228" s="312">
        <v>42558</v>
      </c>
      <c r="C2228" s="321">
        <v>8337.9</v>
      </c>
      <c r="D2228" s="210">
        <f t="shared" si="34"/>
        <v>-1.763033857446028E-3</v>
      </c>
    </row>
    <row r="2229" spans="2:4" ht="14" thickBot="1" x14ac:dyDescent="0.2">
      <c r="B2229" s="312">
        <v>42556</v>
      </c>
      <c r="C2229" s="321">
        <v>8335.9500000000007</v>
      </c>
      <c r="D2229" s="209">
        <f t="shared" si="34"/>
        <v>2.3392654706411165E-4</v>
      </c>
    </row>
    <row r="2230" spans="2:4" ht="14" thickBot="1" x14ac:dyDescent="0.2">
      <c r="B2230" s="312">
        <v>42555</v>
      </c>
      <c r="C2230" s="321">
        <v>8370.7000000000007</v>
      </c>
      <c r="D2230" s="209">
        <f t="shared" si="34"/>
        <v>-4.1513851888133058E-3</v>
      </c>
    </row>
    <row r="2231" spans="2:4" ht="14" thickBot="1" x14ac:dyDescent="0.2">
      <c r="B2231" s="312">
        <v>42552</v>
      </c>
      <c r="C2231" s="321">
        <v>8328.35</v>
      </c>
      <c r="D2231" s="209">
        <f t="shared" si="34"/>
        <v>5.0850408544309555E-3</v>
      </c>
    </row>
    <row r="2232" spans="2:4" ht="14" thickBot="1" x14ac:dyDescent="0.2">
      <c r="B2232" s="312">
        <v>42551</v>
      </c>
      <c r="C2232" s="321">
        <v>8287.75</v>
      </c>
      <c r="D2232" s="209">
        <f t="shared" si="34"/>
        <v>4.8987964163977882E-3</v>
      </c>
    </row>
    <row r="2233" spans="2:4" ht="14" thickBot="1" x14ac:dyDescent="0.2">
      <c r="B2233" s="312">
        <v>42550</v>
      </c>
      <c r="C2233" s="321">
        <v>8204</v>
      </c>
      <c r="D2233" s="210">
        <f t="shared" si="34"/>
        <v>1.0208434909800168E-2</v>
      </c>
    </row>
    <row r="2234" spans="2:4" ht="14" thickBot="1" x14ac:dyDescent="0.2">
      <c r="B2234" s="312">
        <v>42549</v>
      </c>
      <c r="C2234" s="321">
        <v>8127.85</v>
      </c>
      <c r="D2234" s="209">
        <f t="shared" si="34"/>
        <v>9.369021327903404E-3</v>
      </c>
    </row>
    <row r="2235" spans="2:4" ht="14" thickBot="1" x14ac:dyDescent="0.2">
      <c r="B2235" s="312">
        <v>42548</v>
      </c>
      <c r="C2235" s="321">
        <v>8094.7</v>
      </c>
      <c r="D2235" s="209">
        <f t="shared" si="34"/>
        <v>4.0952722151532672E-3</v>
      </c>
    </row>
    <row r="2236" spans="2:4" ht="14" thickBot="1" x14ac:dyDescent="0.2">
      <c r="B2236" s="312">
        <v>42545</v>
      </c>
      <c r="C2236" s="321">
        <v>8088.6</v>
      </c>
      <c r="D2236" s="210">
        <f t="shared" si="34"/>
        <v>7.541478129713397E-4</v>
      </c>
    </row>
    <row r="2237" spans="2:4" ht="14" thickBot="1" x14ac:dyDescent="0.2">
      <c r="B2237" s="312">
        <v>42544</v>
      </c>
      <c r="C2237" s="321">
        <v>8270.4500000000007</v>
      </c>
      <c r="D2237" s="210">
        <f t="shared" si="34"/>
        <v>-2.1987920850739751E-2</v>
      </c>
    </row>
    <row r="2238" spans="2:4" ht="14" thickBot="1" x14ac:dyDescent="0.2">
      <c r="B2238" s="312">
        <v>42543</v>
      </c>
      <c r="C2238" s="321">
        <v>8203.7000000000007</v>
      </c>
      <c r="D2238" s="209">
        <f t="shared" si="34"/>
        <v>8.1365725221547169E-3</v>
      </c>
    </row>
    <row r="2239" spans="2:4" ht="14" thickBot="1" x14ac:dyDescent="0.2">
      <c r="B2239" s="312">
        <v>42542</v>
      </c>
      <c r="C2239" s="321">
        <v>8219.9</v>
      </c>
      <c r="D2239" s="209">
        <f t="shared" si="34"/>
        <v>-1.9708268957041586E-3</v>
      </c>
    </row>
    <row r="2240" spans="2:4" ht="14" thickBot="1" x14ac:dyDescent="0.2">
      <c r="B2240" s="312">
        <v>42541</v>
      </c>
      <c r="C2240" s="321">
        <v>8238.5</v>
      </c>
      <c r="D2240" s="210">
        <f t="shared" si="34"/>
        <v>-2.2576925411179616E-3</v>
      </c>
    </row>
    <row r="2241" spans="2:4" ht="14" thickBot="1" x14ac:dyDescent="0.2">
      <c r="B2241" s="312">
        <v>42538</v>
      </c>
      <c r="C2241" s="321">
        <v>8170.2</v>
      </c>
      <c r="D2241" s="210">
        <f t="shared" si="34"/>
        <v>8.3596484786174763E-3</v>
      </c>
    </row>
    <row r="2242" spans="2:4" ht="14" thickBot="1" x14ac:dyDescent="0.2">
      <c r="B2242" s="312">
        <v>42537</v>
      </c>
      <c r="C2242" s="321">
        <v>8140.75</v>
      </c>
      <c r="D2242" s="209">
        <f t="shared" si="34"/>
        <v>3.6176028007246508E-3</v>
      </c>
    </row>
    <row r="2243" spans="2:4" ht="14" thickBot="1" x14ac:dyDescent="0.2">
      <c r="B2243" s="312">
        <v>42536</v>
      </c>
      <c r="C2243" s="321">
        <v>8206.6</v>
      </c>
      <c r="D2243" s="210">
        <f t="shared" si="34"/>
        <v>-8.0240294397192491E-3</v>
      </c>
    </row>
    <row r="2244" spans="2:4" ht="14" thickBot="1" x14ac:dyDescent="0.2">
      <c r="B2244" s="312">
        <v>42535</v>
      </c>
      <c r="C2244" s="321">
        <v>8108.85</v>
      </c>
      <c r="D2244" s="209">
        <f t="shared" si="34"/>
        <v>1.2054730325508523E-2</v>
      </c>
    </row>
    <row r="2245" spans="2:4" ht="14" thickBot="1" x14ac:dyDescent="0.2">
      <c r="B2245" s="312">
        <v>42534</v>
      </c>
      <c r="C2245" s="321">
        <v>8110.6</v>
      </c>
      <c r="D2245" s="210">
        <f t="shared" si="34"/>
        <v>-2.1576702093561995E-4</v>
      </c>
    </row>
    <row r="2246" spans="2:4" ht="14" thickBot="1" x14ac:dyDescent="0.2">
      <c r="B2246" s="312">
        <v>42531</v>
      </c>
      <c r="C2246" s="321">
        <v>8170.05</v>
      </c>
      <c r="D2246" s="210">
        <f t="shared" si="34"/>
        <v>-7.2765772547291885E-3</v>
      </c>
    </row>
    <row r="2247" spans="2:4" ht="14" thickBot="1" x14ac:dyDescent="0.2">
      <c r="B2247" s="312">
        <v>42530</v>
      </c>
      <c r="C2247" s="321">
        <v>8203.6</v>
      </c>
      <c r="D2247" s="209">
        <f t="shared" si="34"/>
        <v>-4.0896679506557954E-3</v>
      </c>
    </row>
    <row r="2248" spans="2:4" ht="14" thickBot="1" x14ac:dyDescent="0.2">
      <c r="B2248" s="312">
        <v>42529</v>
      </c>
      <c r="C2248" s="321">
        <v>8273.0499999999993</v>
      </c>
      <c r="D2248" s="210">
        <f t="shared" si="34"/>
        <v>-8.3947274584341702E-3</v>
      </c>
    </row>
    <row r="2249" spans="2:4" ht="14" thickBot="1" x14ac:dyDescent="0.2">
      <c r="B2249" s="312">
        <v>42528</v>
      </c>
      <c r="C2249" s="321">
        <v>8266.4500000000007</v>
      </c>
      <c r="D2249" s="209">
        <f t="shared" si="34"/>
        <v>7.9840802279074197E-4</v>
      </c>
    </row>
    <row r="2250" spans="2:4" ht="14" thickBot="1" x14ac:dyDescent="0.2">
      <c r="B2250" s="312">
        <v>42527</v>
      </c>
      <c r="C2250" s="321">
        <v>8201.0499999999993</v>
      </c>
      <c r="D2250" s="209">
        <f t="shared" si="34"/>
        <v>7.9745886197499782E-3</v>
      </c>
    </row>
    <row r="2251" spans="2:4" ht="14" thickBot="1" x14ac:dyDescent="0.2">
      <c r="B2251" s="312">
        <v>42524</v>
      </c>
      <c r="C2251" s="321">
        <v>8220.7999999999993</v>
      </c>
      <c r="D2251" s="209">
        <f t="shared" ref="D2251:D2314" si="35">C2250/C2251-1</f>
        <v>-2.4024425846632669E-3</v>
      </c>
    </row>
    <row r="2252" spans="2:4" ht="14" thickBot="1" x14ac:dyDescent="0.2">
      <c r="B2252" s="312">
        <v>42523</v>
      </c>
      <c r="C2252" s="321">
        <v>8218.9500000000007</v>
      </c>
      <c r="D2252" s="209">
        <f t="shared" si="35"/>
        <v>2.2508957956901554E-4</v>
      </c>
    </row>
    <row r="2253" spans="2:4" ht="14" thickBot="1" x14ac:dyDescent="0.2">
      <c r="B2253" s="312">
        <v>42522</v>
      </c>
      <c r="C2253" s="321">
        <v>8179.95</v>
      </c>
      <c r="D2253" s="210">
        <f t="shared" si="35"/>
        <v>4.7677553041278742E-3</v>
      </c>
    </row>
    <row r="2254" spans="2:4" ht="14" thickBot="1" x14ac:dyDescent="0.2">
      <c r="B2254" s="312">
        <v>42521</v>
      </c>
      <c r="C2254" s="321">
        <v>8160.1</v>
      </c>
      <c r="D2254" s="209">
        <f t="shared" si="35"/>
        <v>2.4325682283303784E-3</v>
      </c>
    </row>
    <row r="2255" spans="2:4" ht="14" thickBot="1" x14ac:dyDescent="0.2">
      <c r="B2255" s="312">
        <v>42520</v>
      </c>
      <c r="C2255" s="321">
        <v>8178.5</v>
      </c>
      <c r="D2255" s="210">
        <f t="shared" si="35"/>
        <v>-2.249801308308319E-3</v>
      </c>
    </row>
    <row r="2256" spans="2:4" ht="14" thickBot="1" x14ac:dyDescent="0.2">
      <c r="B2256" s="312">
        <v>42517</v>
      </c>
      <c r="C2256" s="321">
        <v>8156.65</v>
      </c>
      <c r="D2256" s="210">
        <f t="shared" si="35"/>
        <v>2.6787958291700775E-3</v>
      </c>
    </row>
    <row r="2257" spans="2:4" ht="14" thickBot="1" x14ac:dyDescent="0.2">
      <c r="B2257" s="312">
        <v>42516</v>
      </c>
      <c r="C2257" s="321">
        <v>8069.65</v>
      </c>
      <c r="D2257" s="210">
        <f t="shared" si="35"/>
        <v>1.0781136728358787E-2</v>
      </c>
    </row>
    <row r="2258" spans="2:4" ht="14" thickBot="1" x14ac:dyDescent="0.2">
      <c r="B2258" s="312">
        <v>42515</v>
      </c>
      <c r="C2258" s="321">
        <v>7934.9</v>
      </c>
      <c r="D2258" s="210">
        <f t="shared" si="35"/>
        <v>1.698194054115354E-2</v>
      </c>
    </row>
    <row r="2259" spans="2:4" ht="14" thickBot="1" x14ac:dyDescent="0.2">
      <c r="B2259" s="312">
        <v>42514</v>
      </c>
      <c r="C2259" s="321">
        <v>7748.85</v>
      </c>
      <c r="D2259" s="209">
        <f t="shared" si="35"/>
        <v>2.4010014389231893E-2</v>
      </c>
    </row>
    <row r="2260" spans="2:4" ht="14" thickBot="1" x14ac:dyDescent="0.2">
      <c r="B2260" s="312">
        <v>42513</v>
      </c>
      <c r="C2260" s="321">
        <v>7731.05</v>
      </c>
      <c r="D2260" s="210">
        <f t="shared" si="35"/>
        <v>2.3024039425434406E-3</v>
      </c>
    </row>
    <row r="2261" spans="2:4" ht="14" thickBot="1" x14ac:dyDescent="0.2">
      <c r="B2261" s="312">
        <v>42510</v>
      </c>
      <c r="C2261" s="321">
        <v>7749.7</v>
      </c>
      <c r="D2261" s="209">
        <f t="shared" si="35"/>
        <v>-2.4065447694748832E-3</v>
      </c>
    </row>
    <row r="2262" spans="2:4" ht="14" thickBot="1" x14ac:dyDescent="0.2">
      <c r="B2262" s="312">
        <v>42509</v>
      </c>
      <c r="C2262" s="321">
        <v>7783.4</v>
      </c>
      <c r="D2262" s="210">
        <f t="shared" si="35"/>
        <v>-4.3297273685021231E-3</v>
      </c>
    </row>
    <row r="2263" spans="2:4" ht="14" thickBot="1" x14ac:dyDescent="0.2">
      <c r="B2263" s="312">
        <v>42508</v>
      </c>
      <c r="C2263" s="321">
        <v>7870.15</v>
      </c>
      <c r="D2263" s="210">
        <f t="shared" si="35"/>
        <v>-1.1022661575700643E-2</v>
      </c>
    </row>
    <row r="2264" spans="2:4" ht="14" thickBot="1" x14ac:dyDescent="0.2">
      <c r="B2264" s="312">
        <v>42507</v>
      </c>
      <c r="C2264" s="321">
        <v>7890.75</v>
      </c>
      <c r="D2264" s="209">
        <f t="shared" si="35"/>
        <v>-2.6106517124481199E-3</v>
      </c>
    </row>
    <row r="2265" spans="2:4" ht="14" thickBot="1" x14ac:dyDescent="0.2">
      <c r="B2265" s="312">
        <v>42506</v>
      </c>
      <c r="C2265" s="321">
        <v>7860.75</v>
      </c>
      <c r="D2265" s="210">
        <f t="shared" si="35"/>
        <v>3.816429729987636E-3</v>
      </c>
    </row>
    <row r="2266" spans="2:4" ht="14" thickBot="1" x14ac:dyDescent="0.2">
      <c r="B2266" s="312">
        <v>42503</v>
      </c>
      <c r="C2266" s="321">
        <v>7814.9</v>
      </c>
      <c r="D2266" s="209">
        <f t="shared" si="35"/>
        <v>5.8669976583194394E-3</v>
      </c>
    </row>
    <row r="2267" spans="2:4" ht="14" thickBot="1" x14ac:dyDescent="0.2">
      <c r="B2267" s="312">
        <v>42502</v>
      </c>
      <c r="C2267" s="321">
        <v>7900.4</v>
      </c>
      <c r="D2267" s="210">
        <f t="shared" si="35"/>
        <v>-1.0822236848767153E-2</v>
      </c>
    </row>
    <row r="2268" spans="2:4" ht="14" thickBot="1" x14ac:dyDescent="0.2">
      <c r="B2268" s="312">
        <v>42501</v>
      </c>
      <c r="C2268" s="321">
        <v>7848.85</v>
      </c>
      <c r="D2268" s="210">
        <f t="shared" si="35"/>
        <v>6.5678411487031241E-3</v>
      </c>
    </row>
    <row r="2269" spans="2:4" ht="14" thickBot="1" x14ac:dyDescent="0.2">
      <c r="B2269" s="312">
        <v>42500</v>
      </c>
      <c r="C2269" s="321">
        <v>7887.8</v>
      </c>
      <c r="D2269" s="210">
        <f t="shared" si="35"/>
        <v>-4.9380055275235479E-3</v>
      </c>
    </row>
    <row r="2270" spans="2:4" ht="14" thickBot="1" x14ac:dyDescent="0.2">
      <c r="B2270" s="312">
        <v>42499</v>
      </c>
      <c r="C2270" s="321">
        <v>7866.05</v>
      </c>
      <c r="D2270" s="210">
        <f t="shared" si="35"/>
        <v>2.7650472600606602E-3</v>
      </c>
    </row>
    <row r="2271" spans="2:4" ht="14" thickBot="1" x14ac:dyDescent="0.2">
      <c r="B2271" s="312">
        <v>42496</v>
      </c>
      <c r="C2271" s="321">
        <v>7733.45</v>
      </c>
      <c r="D2271" s="210">
        <f t="shared" si="35"/>
        <v>1.7146293051613526E-2</v>
      </c>
    </row>
    <row r="2272" spans="2:4" ht="14" thickBot="1" x14ac:dyDescent="0.2">
      <c r="B2272" s="312">
        <v>42495</v>
      </c>
      <c r="C2272" s="321">
        <v>7735.5</v>
      </c>
      <c r="D2272" s="210">
        <f t="shared" si="35"/>
        <v>-2.6501195785666454E-4</v>
      </c>
    </row>
    <row r="2273" spans="2:4" ht="14" thickBot="1" x14ac:dyDescent="0.2">
      <c r="B2273" s="312">
        <v>42494</v>
      </c>
      <c r="C2273" s="321">
        <v>7706.55</v>
      </c>
      <c r="D2273" s="210">
        <f t="shared" si="35"/>
        <v>3.7565447573817412E-3</v>
      </c>
    </row>
    <row r="2274" spans="2:4" ht="14" thickBot="1" x14ac:dyDescent="0.2">
      <c r="B2274" s="312">
        <v>42493</v>
      </c>
      <c r="C2274" s="321">
        <v>7747</v>
      </c>
      <c r="D2274" s="209">
        <f t="shared" si="35"/>
        <v>-5.2213760165225054E-3</v>
      </c>
    </row>
    <row r="2275" spans="2:4" ht="14" thickBot="1" x14ac:dyDescent="0.2">
      <c r="B2275" s="312">
        <v>42492</v>
      </c>
      <c r="C2275" s="321">
        <v>7805.9</v>
      </c>
      <c r="D2275" s="210">
        <f t="shared" si="35"/>
        <v>-7.5455745013386366E-3</v>
      </c>
    </row>
    <row r="2276" spans="2:4" ht="14" thickBot="1" x14ac:dyDescent="0.2">
      <c r="B2276" s="312">
        <v>42489</v>
      </c>
      <c r="C2276" s="321">
        <v>7849.8</v>
      </c>
      <c r="D2276" s="210">
        <f t="shared" si="35"/>
        <v>-5.59249917195348E-3</v>
      </c>
    </row>
    <row r="2277" spans="2:4" ht="14" thickBot="1" x14ac:dyDescent="0.2">
      <c r="B2277" s="312">
        <v>42488</v>
      </c>
      <c r="C2277" s="321">
        <v>7847.25</v>
      </c>
      <c r="D2277" s="210">
        <f t="shared" si="35"/>
        <v>3.2495460193060488E-4</v>
      </c>
    </row>
    <row r="2278" spans="2:4" ht="14" thickBot="1" x14ac:dyDescent="0.2">
      <c r="B2278" s="312">
        <v>42487</v>
      </c>
      <c r="C2278" s="321">
        <v>7979.9</v>
      </c>
      <c r="D2278" s="210">
        <f t="shared" si="35"/>
        <v>-1.6623015326006518E-2</v>
      </c>
    </row>
    <row r="2279" spans="2:4" ht="14" thickBot="1" x14ac:dyDescent="0.2">
      <c r="B2279" s="312">
        <v>42486</v>
      </c>
      <c r="C2279" s="321">
        <v>7962.65</v>
      </c>
      <c r="D2279" s="209">
        <f t="shared" si="35"/>
        <v>2.1663642129190475E-3</v>
      </c>
    </row>
    <row r="2280" spans="2:4" ht="14" thickBot="1" x14ac:dyDescent="0.2">
      <c r="B2280" s="312">
        <v>42485</v>
      </c>
      <c r="C2280" s="321">
        <v>7855.05</v>
      </c>
      <c r="D2280" s="209">
        <f t="shared" si="35"/>
        <v>1.3698194155352228E-2</v>
      </c>
    </row>
    <row r="2281" spans="2:4" ht="14" thickBot="1" x14ac:dyDescent="0.2">
      <c r="B2281" s="312">
        <v>42482</v>
      </c>
      <c r="C2281" s="321">
        <v>7899.3</v>
      </c>
      <c r="D2281" s="210">
        <f t="shared" si="35"/>
        <v>-5.6017621814591356E-3</v>
      </c>
    </row>
    <row r="2282" spans="2:4" ht="14" thickBot="1" x14ac:dyDescent="0.2">
      <c r="B2282" s="312">
        <v>42481</v>
      </c>
      <c r="C2282" s="321">
        <v>7912.05</v>
      </c>
      <c r="D2282" s="210">
        <f t="shared" si="35"/>
        <v>-1.6114660549415571E-3</v>
      </c>
    </row>
    <row r="2283" spans="2:4" ht="14" thickBot="1" x14ac:dyDescent="0.2">
      <c r="B2283" s="312">
        <v>42480</v>
      </c>
      <c r="C2283" s="321">
        <v>7914.75</v>
      </c>
      <c r="D2283" s="209">
        <f t="shared" si="35"/>
        <v>-3.4113522221168591E-4</v>
      </c>
    </row>
    <row r="2284" spans="2:4" ht="14" thickBot="1" x14ac:dyDescent="0.2">
      <c r="B2284" s="312">
        <v>42478</v>
      </c>
      <c r="C2284" s="321">
        <v>7914.7</v>
      </c>
      <c r="D2284" s="209">
        <f t="shared" si="35"/>
        <v>6.3173588387144264E-6</v>
      </c>
    </row>
    <row r="2285" spans="2:4" ht="14" thickBot="1" x14ac:dyDescent="0.2">
      <c r="B2285" s="312">
        <v>42473</v>
      </c>
      <c r="C2285" s="321">
        <v>7850.45</v>
      </c>
      <c r="D2285" s="209">
        <f t="shared" si="35"/>
        <v>8.1842442152997297E-3</v>
      </c>
    </row>
    <row r="2286" spans="2:4" ht="14" thickBot="1" x14ac:dyDescent="0.2">
      <c r="B2286" s="312">
        <v>42472</v>
      </c>
      <c r="C2286" s="321">
        <v>7708.95</v>
      </c>
      <c r="D2286" s="209">
        <f t="shared" si="35"/>
        <v>1.8355288333690156E-2</v>
      </c>
    </row>
    <row r="2287" spans="2:4" ht="14" thickBot="1" x14ac:dyDescent="0.2">
      <c r="B2287" s="312">
        <v>42471</v>
      </c>
      <c r="C2287" s="321">
        <v>7671.4</v>
      </c>
      <c r="D2287" s="210">
        <f t="shared" si="35"/>
        <v>4.8948040774825508E-3</v>
      </c>
    </row>
    <row r="2288" spans="2:4" ht="14" thickBot="1" x14ac:dyDescent="0.2">
      <c r="B2288" s="312">
        <v>42468</v>
      </c>
      <c r="C2288" s="321">
        <v>7555.2</v>
      </c>
      <c r="D2288" s="210">
        <f t="shared" si="35"/>
        <v>1.5380135535789874E-2</v>
      </c>
    </row>
    <row r="2289" spans="2:4" ht="14" thickBot="1" x14ac:dyDescent="0.2">
      <c r="B2289" s="312">
        <v>42467</v>
      </c>
      <c r="C2289" s="321">
        <v>7546.45</v>
      </c>
      <c r="D2289" s="210">
        <f t="shared" si="35"/>
        <v>1.1594855859378139E-3</v>
      </c>
    </row>
    <row r="2290" spans="2:4" ht="14" thickBot="1" x14ac:dyDescent="0.2">
      <c r="B2290" s="312">
        <v>42466</v>
      </c>
      <c r="C2290" s="321">
        <v>7614.35</v>
      </c>
      <c r="D2290" s="209">
        <f t="shared" si="35"/>
        <v>-8.9173731178630034E-3</v>
      </c>
    </row>
    <row r="2291" spans="2:4" ht="14" thickBot="1" x14ac:dyDescent="0.2">
      <c r="B2291" s="312">
        <v>42465</v>
      </c>
      <c r="C2291" s="321">
        <v>7603.2</v>
      </c>
      <c r="D2291" s="210">
        <f t="shared" si="35"/>
        <v>1.4664877946128918E-3</v>
      </c>
    </row>
    <row r="2292" spans="2:4" ht="14" thickBot="1" x14ac:dyDescent="0.2">
      <c r="B2292" s="312">
        <v>42464</v>
      </c>
      <c r="C2292" s="321">
        <v>7758.8</v>
      </c>
      <c r="D2292" s="210">
        <f t="shared" si="35"/>
        <v>-2.0054647625921573E-2</v>
      </c>
    </row>
    <row r="2293" spans="2:4" ht="14" thickBot="1" x14ac:dyDescent="0.2">
      <c r="B2293" s="312">
        <v>42461</v>
      </c>
      <c r="C2293" s="321">
        <v>7713.05</v>
      </c>
      <c r="D2293" s="209">
        <f t="shared" si="35"/>
        <v>5.9315056948936462E-3</v>
      </c>
    </row>
    <row r="2294" spans="2:4" ht="14" thickBot="1" x14ac:dyDescent="0.2">
      <c r="B2294" s="312">
        <v>42460</v>
      </c>
      <c r="C2294" s="321">
        <v>7738.4</v>
      </c>
      <c r="D2294" s="209">
        <f t="shared" si="35"/>
        <v>-3.2758709810812858E-3</v>
      </c>
    </row>
    <row r="2295" spans="2:4" ht="14" thickBot="1" x14ac:dyDescent="0.2">
      <c r="B2295" s="312">
        <v>42459</v>
      </c>
      <c r="C2295" s="321">
        <v>7735.2</v>
      </c>
      <c r="D2295" s="210">
        <f t="shared" si="35"/>
        <v>4.1369324645779137E-4</v>
      </c>
    </row>
    <row r="2296" spans="2:4" ht="14" thickBot="1" x14ac:dyDescent="0.2">
      <c r="B2296" s="312">
        <v>42458</v>
      </c>
      <c r="C2296" s="321">
        <v>7597</v>
      </c>
      <c r="D2296" s="210">
        <f t="shared" si="35"/>
        <v>1.8191391338686191E-2</v>
      </c>
    </row>
    <row r="2297" spans="2:4" ht="14" thickBot="1" x14ac:dyDescent="0.2">
      <c r="B2297" s="312">
        <v>42457</v>
      </c>
      <c r="C2297" s="321">
        <v>7615.1</v>
      </c>
      <c r="D2297" s="210">
        <f t="shared" si="35"/>
        <v>-2.3768565087786131E-3</v>
      </c>
    </row>
    <row r="2298" spans="2:4" ht="14" thickBot="1" x14ac:dyDescent="0.2">
      <c r="B2298" s="312">
        <v>42452</v>
      </c>
      <c r="C2298" s="321">
        <v>7716.5</v>
      </c>
      <c r="D2298" s="210">
        <f t="shared" si="35"/>
        <v>-1.3140672584720958E-2</v>
      </c>
    </row>
    <row r="2299" spans="2:4" ht="14" thickBot="1" x14ac:dyDescent="0.2">
      <c r="B2299" s="312">
        <v>42451</v>
      </c>
      <c r="C2299" s="321">
        <v>7714.9</v>
      </c>
      <c r="D2299" s="209">
        <f t="shared" si="35"/>
        <v>2.073908929474122E-4</v>
      </c>
    </row>
    <row r="2300" spans="2:4" ht="14" thickBot="1" x14ac:dyDescent="0.2">
      <c r="B2300" s="312">
        <v>42450</v>
      </c>
      <c r="C2300" s="321">
        <v>7704.25</v>
      </c>
      <c r="D2300" s="210">
        <f t="shared" si="35"/>
        <v>1.3823538955770598E-3</v>
      </c>
    </row>
    <row r="2301" spans="2:4" ht="14" thickBot="1" x14ac:dyDescent="0.2">
      <c r="B2301" s="312">
        <v>42447</v>
      </c>
      <c r="C2301" s="321">
        <v>7604.35</v>
      </c>
      <c r="D2301" s="209">
        <f t="shared" si="35"/>
        <v>1.3137217513659927E-2</v>
      </c>
    </row>
    <row r="2302" spans="2:4" ht="14" thickBot="1" x14ac:dyDescent="0.2">
      <c r="B2302" s="312">
        <v>42446</v>
      </c>
      <c r="C2302" s="321">
        <v>7512.55</v>
      </c>
      <c r="D2302" s="209">
        <f t="shared" si="35"/>
        <v>1.2219552615290397E-2</v>
      </c>
    </row>
    <row r="2303" spans="2:4" ht="14" thickBot="1" x14ac:dyDescent="0.2">
      <c r="B2303" s="312">
        <v>42445</v>
      </c>
      <c r="C2303" s="321">
        <v>7498.75</v>
      </c>
      <c r="D2303" s="209">
        <f t="shared" si="35"/>
        <v>1.8403067177863441E-3</v>
      </c>
    </row>
    <row r="2304" spans="2:4" ht="14" thickBot="1" x14ac:dyDescent="0.2">
      <c r="B2304" s="312">
        <v>42444</v>
      </c>
      <c r="C2304" s="321">
        <v>7460.6</v>
      </c>
      <c r="D2304" s="209">
        <f t="shared" si="35"/>
        <v>5.1135297429161231E-3</v>
      </c>
    </row>
    <row r="2305" spans="2:4" ht="14" thickBot="1" x14ac:dyDescent="0.2">
      <c r="B2305" s="312">
        <v>42443</v>
      </c>
      <c r="C2305" s="321">
        <v>7538.75</v>
      </c>
      <c r="D2305" s="210">
        <f t="shared" si="35"/>
        <v>-1.0366440059691562E-2</v>
      </c>
    </row>
    <row r="2306" spans="2:4" ht="14" thickBot="1" x14ac:dyDescent="0.2">
      <c r="B2306" s="312">
        <v>42440</v>
      </c>
      <c r="C2306" s="321">
        <v>7510.2</v>
      </c>
      <c r="D2306" s="209">
        <f t="shared" si="35"/>
        <v>3.8014966312482912E-3</v>
      </c>
    </row>
    <row r="2307" spans="2:4" ht="14" thickBot="1" x14ac:dyDescent="0.2">
      <c r="B2307" s="312">
        <v>42439</v>
      </c>
      <c r="C2307" s="321">
        <v>7486.15</v>
      </c>
      <c r="D2307" s="210">
        <f t="shared" si="35"/>
        <v>3.2125992666458547E-3</v>
      </c>
    </row>
    <row r="2308" spans="2:4" ht="14" thickBot="1" x14ac:dyDescent="0.2">
      <c r="B2308" s="312">
        <v>42438</v>
      </c>
      <c r="C2308" s="321">
        <v>7531.8</v>
      </c>
      <c r="D2308" s="210">
        <f t="shared" si="35"/>
        <v>-6.0609681616612399E-3</v>
      </c>
    </row>
    <row r="2309" spans="2:4" ht="14" thickBot="1" x14ac:dyDescent="0.2">
      <c r="B2309" s="312">
        <v>42437</v>
      </c>
      <c r="C2309" s="321">
        <v>7485.3</v>
      </c>
      <c r="D2309" s="209">
        <f t="shared" si="35"/>
        <v>6.2121758646946912E-3</v>
      </c>
    </row>
    <row r="2310" spans="2:4" ht="14" thickBot="1" x14ac:dyDescent="0.2">
      <c r="B2310" s="312">
        <v>42433</v>
      </c>
      <c r="C2310" s="321">
        <v>7485.35</v>
      </c>
      <c r="D2310" s="209">
        <f t="shared" si="35"/>
        <v>-6.679714375401602E-6</v>
      </c>
    </row>
    <row r="2311" spans="2:4" ht="14" thickBot="1" x14ac:dyDescent="0.2">
      <c r="B2311" s="312">
        <v>42432</v>
      </c>
      <c r="C2311" s="321">
        <v>7475.6</v>
      </c>
      <c r="D2311" s="210">
        <f t="shared" si="35"/>
        <v>1.3042431376746322E-3</v>
      </c>
    </row>
    <row r="2312" spans="2:4" ht="14" thickBot="1" x14ac:dyDescent="0.2">
      <c r="B2312" s="312">
        <v>42431</v>
      </c>
      <c r="C2312" s="321">
        <v>7368.85</v>
      </c>
      <c r="D2312" s="209">
        <f t="shared" si="35"/>
        <v>1.4486656669629561E-2</v>
      </c>
    </row>
    <row r="2313" spans="2:4" ht="14" thickBot="1" x14ac:dyDescent="0.2">
      <c r="B2313" s="312">
        <v>42430</v>
      </c>
      <c r="C2313" s="321">
        <v>7222.3</v>
      </c>
      <c r="D2313" s="209">
        <f t="shared" si="35"/>
        <v>2.0291319939631514E-2</v>
      </c>
    </row>
    <row r="2314" spans="2:4" ht="14" thickBot="1" x14ac:dyDescent="0.2">
      <c r="B2314" s="312">
        <v>42429</v>
      </c>
      <c r="C2314" s="321">
        <v>6987.05</v>
      </c>
      <c r="D2314" s="210">
        <f t="shared" si="35"/>
        <v>3.3669431305057174E-2</v>
      </c>
    </row>
    <row r="2315" spans="2:4" ht="14" thickBot="1" x14ac:dyDescent="0.2">
      <c r="B2315" s="312">
        <v>42426</v>
      </c>
      <c r="C2315" s="321">
        <v>7029.75</v>
      </c>
      <c r="D2315" s="210">
        <f t="shared" ref="D2315:D2378" si="36">C2314/C2315-1</f>
        <v>-6.0741847149613504E-3</v>
      </c>
    </row>
    <row r="2316" spans="2:4" ht="14" thickBot="1" x14ac:dyDescent="0.2">
      <c r="B2316" s="312">
        <v>42425</v>
      </c>
      <c r="C2316" s="321">
        <v>6970.6</v>
      </c>
      <c r="D2316" s="210">
        <f t="shared" si="36"/>
        <v>8.4856396866839212E-3</v>
      </c>
    </row>
    <row r="2317" spans="2:4" ht="14" thickBot="1" x14ac:dyDescent="0.2">
      <c r="B2317" s="312">
        <v>42424</v>
      </c>
      <c r="C2317" s="321">
        <v>7018.7</v>
      </c>
      <c r="D2317" s="209">
        <f t="shared" si="36"/>
        <v>-6.8531209483236877E-3</v>
      </c>
    </row>
    <row r="2318" spans="2:4" ht="14" thickBot="1" x14ac:dyDescent="0.2">
      <c r="B2318" s="312">
        <v>42423</v>
      </c>
      <c r="C2318" s="321">
        <v>7109.55</v>
      </c>
      <c r="D2318" s="209">
        <f t="shared" si="36"/>
        <v>-1.2778586549078375E-2</v>
      </c>
    </row>
    <row r="2319" spans="2:4" ht="14" thickBot="1" x14ac:dyDescent="0.2">
      <c r="B2319" s="312">
        <v>42422</v>
      </c>
      <c r="C2319" s="321">
        <v>7234.55</v>
      </c>
      <c r="D2319" s="209">
        <f t="shared" si="36"/>
        <v>-1.7278199749811707E-2</v>
      </c>
    </row>
    <row r="2320" spans="2:4" ht="14" thickBot="1" x14ac:dyDescent="0.2">
      <c r="B2320" s="312">
        <v>42419</v>
      </c>
      <c r="C2320" s="321">
        <v>7210.75</v>
      </c>
      <c r="D2320" s="209">
        <f t="shared" si="36"/>
        <v>3.3006275352771564E-3</v>
      </c>
    </row>
    <row r="2321" spans="2:4" ht="14" thickBot="1" x14ac:dyDescent="0.2">
      <c r="B2321" s="312">
        <v>42418</v>
      </c>
      <c r="C2321" s="321">
        <v>7191.75</v>
      </c>
      <c r="D2321" s="210">
        <f t="shared" si="36"/>
        <v>2.6419160844022294E-3</v>
      </c>
    </row>
    <row r="2322" spans="2:4" ht="14" thickBot="1" x14ac:dyDescent="0.2">
      <c r="B2322" s="312">
        <v>42417</v>
      </c>
      <c r="C2322" s="321">
        <v>7108.45</v>
      </c>
      <c r="D2322" s="209">
        <f t="shared" si="36"/>
        <v>1.1718447762873785E-2</v>
      </c>
    </row>
    <row r="2323" spans="2:4" ht="14" thickBot="1" x14ac:dyDescent="0.2">
      <c r="B2323" s="312">
        <v>42416</v>
      </c>
      <c r="C2323" s="321">
        <v>7048.25</v>
      </c>
      <c r="D2323" s="209">
        <f t="shared" si="36"/>
        <v>8.5411272301634256E-3</v>
      </c>
    </row>
    <row r="2324" spans="2:4" ht="14" thickBot="1" x14ac:dyDescent="0.2">
      <c r="B2324" s="312">
        <v>42415</v>
      </c>
      <c r="C2324" s="321">
        <v>7162.95</v>
      </c>
      <c r="D2324" s="209">
        <f t="shared" si="36"/>
        <v>-1.6012955556020891E-2</v>
      </c>
    </row>
    <row r="2325" spans="2:4" ht="14" thickBot="1" x14ac:dyDescent="0.2">
      <c r="B2325" s="312">
        <v>42412</v>
      </c>
      <c r="C2325" s="321">
        <v>6980.95</v>
      </c>
      <c r="D2325" s="210">
        <f t="shared" si="36"/>
        <v>2.6070950228836987E-2</v>
      </c>
    </row>
    <row r="2326" spans="2:4" ht="14" thickBot="1" x14ac:dyDescent="0.2">
      <c r="B2326" s="312">
        <v>42411</v>
      </c>
      <c r="C2326" s="321">
        <v>6976.35</v>
      </c>
      <c r="D2326" s="209">
        <f t="shared" si="36"/>
        <v>6.5937058777154611E-4</v>
      </c>
    </row>
    <row r="2327" spans="2:4" ht="14" thickBot="1" x14ac:dyDescent="0.2">
      <c r="B2327" s="312">
        <v>42410</v>
      </c>
      <c r="C2327" s="321">
        <v>7215.7</v>
      </c>
      <c r="D2327" s="210">
        <f t="shared" si="36"/>
        <v>-3.3170724946990471E-2</v>
      </c>
    </row>
    <row r="2328" spans="2:4" ht="14" thickBot="1" x14ac:dyDescent="0.2">
      <c r="B2328" s="312">
        <v>42409</v>
      </c>
      <c r="C2328" s="321">
        <v>7298.2</v>
      </c>
      <c r="D2328" s="210">
        <f t="shared" si="36"/>
        <v>-1.1304157189443997E-2</v>
      </c>
    </row>
    <row r="2329" spans="2:4" ht="14" thickBot="1" x14ac:dyDescent="0.2">
      <c r="B2329" s="312">
        <v>42408</v>
      </c>
      <c r="C2329" s="321">
        <v>7387.25</v>
      </c>
      <c r="D2329" s="209">
        <f t="shared" si="36"/>
        <v>-1.2054553453585637E-2</v>
      </c>
    </row>
    <row r="2330" spans="2:4" ht="14" thickBot="1" x14ac:dyDescent="0.2">
      <c r="B2330" s="312">
        <v>42405</v>
      </c>
      <c r="C2330" s="321">
        <v>7489.1</v>
      </c>
      <c r="D2330" s="210">
        <f t="shared" si="36"/>
        <v>-1.3599764991788166E-2</v>
      </c>
    </row>
    <row r="2331" spans="2:4" ht="14" thickBot="1" x14ac:dyDescent="0.2">
      <c r="B2331" s="312">
        <v>42404</v>
      </c>
      <c r="C2331" s="321">
        <v>7404</v>
      </c>
      <c r="D2331" s="210">
        <f t="shared" si="36"/>
        <v>1.1493787142085488E-2</v>
      </c>
    </row>
    <row r="2332" spans="2:4" ht="14" thickBot="1" x14ac:dyDescent="0.2">
      <c r="B2332" s="312">
        <v>42403</v>
      </c>
      <c r="C2332" s="321">
        <v>7361.8</v>
      </c>
      <c r="D2332" s="210">
        <f t="shared" si="36"/>
        <v>5.7322937325110512E-3</v>
      </c>
    </row>
    <row r="2333" spans="2:4" ht="14" thickBot="1" x14ac:dyDescent="0.2">
      <c r="B2333" s="312">
        <v>42402</v>
      </c>
      <c r="C2333" s="321">
        <v>7455.55</v>
      </c>
      <c r="D2333" s="209">
        <f t="shared" si="36"/>
        <v>-1.257452501827494E-2</v>
      </c>
    </row>
    <row r="2334" spans="2:4" ht="14" thickBot="1" x14ac:dyDescent="0.2">
      <c r="B2334" s="312">
        <v>42401</v>
      </c>
      <c r="C2334" s="321">
        <v>7555.95</v>
      </c>
      <c r="D2334" s="209">
        <f t="shared" si="36"/>
        <v>-1.3287541606283759E-2</v>
      </c>
    </row>
    <row r="2335" spans="2:4" ht="14" thickBot="1" x14ac:dyDescent="0.2">
      <c r="B2335" s="312">
        <v>42398</v>
      </c>
      <c r="C2335" s="321">
        <v>7563.55</v>
      </c>
      <c r="D2335" s="210">
        <f t="shared" si="36"/>
        <v>-1.0048191656034655E-3</v>
      </c>
    </row>
    <row r="2336" spans="2:4" ht="14" thickBot="1" x14ac:dyDescent="0.2">
      <c r="B2336" s="312">
        <v>42397</v>
      </c>
      <c r="C2336" s="321">
        <v>7424.65</v>
      </c>
      <c r="D2336" s="209">
        <f t="shared" si="36"/>
        <v>1.8707952563420616E-2</v>
      </c>
    </row>
    <row r="2337" spans="2:4" ht="14" thickBot="1" x14ac:dyDescent="0.2">
      <c r="B2337" s="312">
        <v>42396</v>
      </c>
      <c r="C2337" s="321">
        <v>7437.75</v>
      </c>
      <c r="D2337" s="210">
        <f t="shared" si="36"/>
        <v>-1.7612853349467938E-3</v>
      </c>
    </row>
    <row r="2338" spans="2:4" ht="14" thickBot="1" x14ac:dyDescent="0.2">
      <c r="B2338" s="312">
        <v>42394</v>
      </c>
      <c r="C2338" s="321">
        <v>7436.15</v>
      </c>
      <c r="D2338" s="210">
        <f t="shared" si="36"/>
        <v>2.1516510559904667E-4</v>
      </c>
    </row>
    <row r="2339" spans="2:4" ht="14" thickBot="1" x14ac:dyDescent="0.2">
      <c r="B2339" s="312">
        <v>42391</v>
      </c>
      <c r="C2339" s="321">
        <v>7422.45</v>
      </c>
      <c r="D2339" s="209">
        <f t="shared" si="36"/>
        <v>1.8457517396546219E-3</v>
      </c>
    </row>
    <row r="2340" spans="2:4" ht="14" thickBot="1" x14ac:dyDescent="0.2">
      <c r="B2340" s="312">
        <v>42390</v>
      </c>
      <c r="C2340" s="321">
        <v>7276.8</v>
      </c>
      <c r="D2340" s="209">
        <f t="shared" si="36"/>
        <v>2.0015666226912865E-2</v>
      </c>
    </row>
    <row r="2341" spans="2:4" ht="14" thickBot="1" x14ac:dyDescent="0.2">
      <c r="B2341" s="312">
        <v>42389</v>
      </c>
      <c r="C2341" s="321">
        <v>7309.3</v>
      </c>
      <c r="D2341" s="210">
        <f t="shared" si="36"/>
        <v>-4.4463902152053203E-3</v>
      </c>
    </row>
    <row r="2342" spans="2:4" ht="14" thickBot="1" x14ac:dyDescent="0.2">
      <c r="B2342" s="312">
        <v>42388</v>
      </c>
      <c r="C2342" s="321">
        <v>7435.1</v>
      </c>
      <c r="D2342" s="209">
        <f t="shared" si="36"/>
        <v>-1.6919745531331132E-2</v>
      </c>
    </row>
    <row r="2343" spans="2:4" ht="14" thickBot="1" x14ac:dyDescent="0.2">
      <c r="B2343" s="312">
        <v>42387</v>
      </c>
      <c r="C2343" s="321">
        <v>7351</v>
      </c>
      <c r="D2343" s="209">
        <f t="shared" si="36"/>
        <v>1.1440620323765582E-2</v>
      </c>
    </row>
    <row r="2344" spans="2:4" ht="14" thickBot="1" x14ac:dyDescent="0.2">
      <c r="B2344" s="312">
        <v>42384</v>
      </c>
      <c r="C2344" s="321">
        <v>7437.8</v>
      </c>
      <c r="D2344" s="210">
        <f t="shared" si="36"/>
        <v>-1.1670117507865285E-2</v>
      </c>
    </row>
    <row r="2345" spans="2:4" ht="14" thickBot="1" x14ac:dyDescent="0.2">
      <c r="B2345" s="312">
        <v>42383</v>
      </c>
      <c r="C2345" s="321">
        <v>7536.8</v>
      </c>
      <c r="D2345" s="209">
        <f t="shared" si="36"/>
        <v>-1.3135548243286221E-2</v>
      </c>
    </row>
    <row r="2346" spans="2:4" ht="14" thickBot="1" x14ac:dyDescent="0.2">
      <c r="B2346" s="312">
        <v>42382</v>
      </c>
      <c r="C2346" s="321">
        <v>7562.4</v>
      </c>
      <c r="D2346" s="210">
        <f t="shared" si="36"/>
        <v>-3.3851687295037847E-3</v>
      </c>
    </row>
    <row r="2347" spans="2:4" ht="14" thickBot="1" x14ac:dyDescent="0.2">
      <c r="B2347" s="312">
        <v>42381</v>
      </c>
      <c r="C2347" s="321">
        <v>7510.3</v>
      </c>
      <c r="D2347" s="209">
        <f t="shared" si="36"/>
        <v>6.9371396615314218E-3</v>
      </c>
    </row>
    <row r="2348" spans="2:4" ht="14" thickBot="1" x14ac:dyDescent="0.2">
      <c r="B2348" s="312">
        <v>42380</v>
      </c>
      <c r="C2348" s="321">
        <v>7563.85</v>
      </c>
      <c r="D2348" s="209">
        <f t="shared" si="36"/>
        <v>-7.0797279163389293E-3</v>
      </c>
    </row>
    <row r="2349" spans="2:4" ht="14" thickBot="1" x14ac:dyDescent="0.2">
      <c r="B2349" s="312">
        <v>42377</v>
      </c>
      <c r="C2349" s="321">
        <v>7601.35</v>
      </c>
      <c r="D2349" s="210">
        <f t="shared" si="36"/>
        <v>-4.9333342103705657E-3</v>
      </c>
    </row>
    <row r="2350" spans="2:4" ht="14" thickBot="1" x14ac:dyDescent="0.2">
      <c r="B2350" s="312">
        <v>42376</v>
      </c>
      <c r="C2350" s="321">
        <v>7568.3</v>
      </c>
      <c r="D2350" s="209">
        <f t="shared" si="36"/>
        <v>4.3668987751543931E-3</v>
      </c>
    </row>
    <row r="2351" spans="2:4" ht="14" thickBot="1" x14ac:dyDescent="0.2">
      <c r="B2351" s="312">
        <v>42375</v>
      </c>
      <c r="C2351" s="321">
        <v>7741</v>
      </c>
      <c r="D2351" s="209">
        <f t="shared" si="36"/>
        <v>-2.2309779098307669E-2</v>
      </c>
    </row>
    <row r="2352" spans="2:4" ht="14" thickBot="1" x14ac:dyDescent="0.2">
      <c r="B2352" s="312">
        <v>42374</v>
      </c>
      <c r="C2352" s="321">
        <v>7784.65</v>
      </c>
      <c r="D2352" s="209">
        <f t="shared" si="36"/>
        <v>-5.6071885055846149E-3</v>
      </c>
    </row>
    <row r="2353" spans="2:4" ht="14" thickBot="1" x14ac:dyDescent="0.2">
      <c r="B2353" s="312">
        <v>42373</v>
      </c>
      <c r="C2353" s="321">
        <v>7791.3</v>
      </c>
      <c r="D2353" s="209">
        <f t="shared" si="36"/>
        <v>-8.5351610129258404E-4</v>
      </c>
    </row>
    <row r="2354" spans="2:4" ht="14" thickBot="1" x14ac:dyDescent="0.2">
      <c r="B2354" s="312">
        <v>42370</v>
      </c>
      <c r="C2354" s="321">
        <v>7963.2</v>
      </c>
      <c r="D2354" s="209">
        <f t="shared" si="36"/>
        <v>-2.1586799276672619E-2</v>
      </c>
    </row>
    <row r="2355" spans="2:4" ht="14" thickBot="1" x14ac:dyDescent="0.2">
      <c r="B2355" s="312">
        <v>42369</v>
      </c>
      <c r="C2355" s="321">
        <v>7946.35</v>
      </c>
      <c r="D2355" s="209">
        <f t="shared" si="36"/>
        <v>2.1204704046511313E-3</v>
      </c>
    </row>
    <row r="2356" spans="2:4" ht="14" thickBot="1" x14ac:dyDescent="0.2">
      <c r="B2356" s="312">
        <v>42368</v>
      </c>
      <c r="C2356" s="321">
        <v>7896.25</v>
      </c>
      <c r="D2356" s="209">
        <f t="shared" si="36"/>
        <v>6.3447839164161302E-3</v>
      </c>
    </row>
    <row r="2357" spans="2:4" ht="14" thickBot="1" x14ac:dyDescent="0.2">
      <c r="B2357" s="312">
        <v>42367</v>
      </c>
      <c r="C2357" s="321">
        <v>7928.95</v>
      </c>
      <c r="D2357" s="210">
        <f t="shared" si="36"/>
        <v>-4.1241274065292322E-3</v>
      </c>
    </row>
    <row r="2358" spans="2:4" ht="14" thickBot="1" x14ac:dyDescent="0.2">
      <c r="B2358" s="312">
        <v>42366</v>
      </c>
      <c r="C2358" s="321">
        <v>7925.15</v>
      </c>
      <c r="D2358" s="209">
        <f t="shared" si="36"/>
        <v>4.7948619269044812E-4</v>
      </c>
    </row>
    <row r="2359" spans="2:4" ht="14" thickBot="1" x14ac:dyDescent="0.2">
      <c r="B2359" s="312">
        <v>42362</v>
      </c>
      <c r="C2359" s="321">
        <v>7861.05</v>
      </c>
      <c r="D2359" s="210">
        <f t="shared" si="36"/>
        <v>8.1541269932132732E-3</v>
      </c>
    </row>
    <row r="2360" spans="2:4" ht="14" thickBot="1" x14ac:dyDescent="0.2">
      <c r="B2360" s="312">
        <v>42361</v>
      </c>
      <c r="C2360" s="321">
        <v>7865.95</v>
      </c>
      <c r="D2360" s="209">
        <f t="shared" si="36"/>
        <v>-6.2293810664948435E-4</v>
      </c>
    </row>
    <row r="2361" spans="2:4" ht="14" thickBot="1" x14ac:dyDescent="0.2">
      <c r="B2361" s="312">
        <v>42360</v>
      </c>
      <c r="C2361" s="321">
        <v>7786.1</v>
      </c>
      <c r="D2361" s="209">
        <f t="shared" si="36"/>
        <v>1.0255455234327693E-2</v>
      </c>
    </row>
    <row r="2362" spans="2:4" ht="14" thickBot="1" x14ac:dyDescent="0.2">
      <c r="B2362" s="312">
        <v>42359</v>
      </c>
      <c r="C2362" s="321">
        <v>7834.45</v>
      </c>
      <c r="D2362" s="209">
        <f t="shared" si="36"/>
        <v>-6.1714606641180003E-3</v>
      </c>
    </row>
    <row r="2363" spans="2:4" ht="14" thickBot="1" x14ac:dyDescent="0.2">
      <c r="B2363" s="312">
        <v>42356</v>
      </c>
      <c r="C2363" s="321">
        <v>7761.95</v>
      </c>
      <c r="D2363" s="209">
        <f t="shared" si="36"/>
        <v>9.3404363594200568E-3</v>
      </c>
    </row>
    <row r="2364" spans="2:4" ht="14" thickBot="1" x14ac:dyDescent="0.2">
      <c r="B2364" s="312">
        <v>42355</v>
      </c>
      <c r="C2364" s="321">
        <v>7844.35</v>
      </c>
      <c r="D2364" s="209">
        <f t="shared" si="36"/>
        <v>-1.0504375760898021E-2</v>
      </c>
    </row>
    <row r="2365" spans="2:4" ht="14" thickBot="1" x14ac:dyDescent="0.2">
      <c r="B2365" s="312">
        <v>42354</v>
      </c>
      <c r="C2365" s="321">
        <v>7750.9</v>
      </c>
      <c r="D2365" s="209">
        <f t="shared" si="36"/>
        <v>1.2056664387361637E-2</v>
      </c>
    </row>
    <row r="2366" spans="2:4" ht="14" thickBot="1" x14ac:dyDescent="0.2">
      <c r="B2366" s="312">
        <v>42353</v>
      </c>
      <c r="C2366" s="321">
        <v>7700.9</v>
      </c>
      <c r="D2366" s="210">
        <f t="shared" si="36"/>
        <v>6.4927476009297713E-3</v>
      </c>
    </row>
    <row r="2367" spans="2:4" ht="14" thickBot="1" x14ac:dyDescent="0.2">
      <c r="B2367" s="312">
        <v>42352</v>
      </c>
      <c r="C2367" s="321">
        <v>7650.05</v>
      </c>
      <c r="D2367" s="209">
        <f t="shared" si="36"/>
        <v>6.6470153789843778E-3</v>
      </c>
    </row>
    <row r="2368" spans="2:4" ht="14" thickBot="1" x14ac:dyDescent="0.2">
      <c r="B2368" s="312">
        <v>42349</v>
      </c>
      <c r="C2368" s="321">
        <v>7610.45</v>
      </c>
      <c r="D2368" s="210">
        <f t="shared" si="36"/>
        <v>5.2033716797299512E-3</v>
      </c>
    </row>
    <row r="2369" spans="2:4" ht="14" thickBot="1" x14ac:dyDescent="0.2">
      <c r="B2369" s="312">
        <v>42348</v>
      </c>
      <c r="C2369" s="321">
        <v>7683.3</v>
      </c>
      <c r="D2369" s="210">
        <f t="shared" si="36"/>
        <v>-9.4816029570627958E-3</v>
      </c>
    </row>
    <row r="2370" spans="2:4" ht="14" thickBot="1" x14ac:dyDescent="0.2">
      <c r="B2370" s="312">
        <v>42347</v>
      </c>
      <c r="C2370" s="321">
        <v>7612.5</v>
      </c>
      <c r="D2370" s="210">
        <f t="shared" si="36"/>
        <v>9.3004926108375408E-3</v>
      </c>
    </row>
    <row r="2371" spans="2:4" ht="14" thickBot="1" x14ac:dyDescent="0.2">
      <c r="B2371" s="312">
        <v>42346</v>
      </c>
      <c r="C2371" s="321">
        <v>7701.7</v>
      </c>
      <c r="D2371" s="210">
        <f t="shared" si="36"/>
        <v>-1.1581858550709589E-2</v>
      </c>
    </row>
    <row r="2372" spans="2:4" ht="14" thickBot="1" x14ac:dyDescent="0.2">
      <c r="B2372" s="312">
        <v>42345</v>
      </c>
      <c r="C2372" s="321">
        <v>7765.4</v>
      </c>
      <c r="D2372" s="210">
        <f t="shared" si="36"/>
        <v>-8.2030545754242512E-3</v>
      </c>
    </row>
    <row r="2373" spans="2:4" ht="14" thickBot="1" x14ac:dyDescent="0.2">
      <c r="B2373" s="312">
        <v>42342</v>
      </c>
      <c r="C2373" s="321">
        <v>7781.9</v>
      </c>
      <c r="D2373" s="210">
        <f t="shared" si="36"/>
        <v>-2.1203048098793476E-3</v>
      </c>
    </row>
    <row r="2374" spans="2:4" ht="14" thickBot="1" x14ac:dyDescent="0.2">
      <c r="B2374" s="312">
        <v>42341</v>
      </c>
      <c r="C2374" s="321">
        <v>7864.15</v>
      </c>
      <c r="D2374" s="209">
        <f t="shared" si="36"/>
        <v>-1.0458854421647623E-2</v>
      </c>
    </row>
    <row r="2375" spans="2:4" ht="14" thickBot="1" x14ac:dyDescent="0.2">
      <c r="B2375" s="312">
        <v>42340</v>
      </c>
      <c r="C2375" s="321">
        <v>7931.35</v>
      </c>
      <c r="D2375" s="210">
        <f t="shared" si="36"/>
        <v>-8.4727064118972351E-3</v>
      </c>
    </row>
    <row r="2376" spans="2:4" ht="14" thickBot="1" x14ac:dyDescent="0.2">
      <c r="B2376" s="312">
        <v>42339</v>
      </c>
      <c r="C2376" s="321">
        <v>7954.9</v>
      </c>
      <c r="D2376" s="210">
        <f t="shared" si="36"/>
        <v>-2.9604394775546439E-3</v>
      </c>
    </row>
    <row r="2377" spans="2:4" ht="14" thickBot="1" x14ac:dyDescent="0.2">
      <c r="B2377" s="312">
        <v>42338</v>
      </c>
      <c r="C2377" s="321">
        <v>7935.25</v>
      </c>
      <c r="D2377" s="209">
        <f t="shared" si="36"/>
        <v>2.4762924923600327E-3</v>
      </c>
    </row>
    <row r="2378" spans="2:4" ht="14" thickBot="1" x14ac:dyDescent="0.2">
      <c r="B2378" s="312">
        <v>42335</v>
      </c>
      <c r="C2378" s="321">
        <v>7942.7</v>
      </c>
      <c r="D2378" s="209">
        <f t="shared" si="36"/>
        <v>-9.3796819721247982E-4</v>
      </c>
    </row>
    <row r="2379" spans="2:4" ht="14" thickBot="1" x14ac:dyDescent="0.2">
      <c r="B2379" s="312">
        <v>42334</v>
      </c>
      <c r="C2379" s="321">
        <v>7883.8</v>
      </c>
      <c r="D2379" s="210">
        <f t="shared" ref="D2379:D2442" si="37">C2378/C2379-1</f>
        <v>7.4710165148785812E-3</v>
      </c>
    </row>
    <row r="2380" spans="2:4" ht="14" thickBot="1" x14ac:dyDescent="0.2">
      <c r="B2380" s="312">
        <v>42332</v>
      </c>
      <c r="C2380" s="321">
        <v>7831.6</v>
      </c>
      <c r="D2380" s="209">
        <f t="shared" si="37"/>
        <v>6.6653046631595103E-3</v>
      </c>
    </row>
    <row r="2381" spans="2:4" ht="14" thickBot="1" x14ac:dyDescent="0.2">
      <c r="B2381" s="312">
        <v>42331</v>
      </c>
      <c r="C2381" s="321">
        <v>7849.25</v>
      </c>
      <c r="D2381" s="210">
        <f t="shared" si="37"/>
        <v>-2.2486224798546894E-3</v>
      </c>
    </row>
    <row r="2382" spans="2:4" ht="14" thickBot="1" x14ac:dyDescent="0.2">
      <c r="B2382" s="312">
        <v>42328</v>
      </c>
      <c r="C2382" s="321">
        <v>7856.55</v>
      </c>
      <c r="D2382" s="210">
        <f t="shared" si="37"/>
        <v>-9.2916101851325816E-4</v>
      </c>
    </row>
    <row r="2383" spans="2:4" ht="14" thickBot="1" x14ac:dyDescent="0.2">
      <c r="B2383" s="312">
        <v>42327</v>
      </c>
      <c r="C2383" s="321">
        <v>7842.75</v>
      </c>
      <c r="D2383" s="209">
        <f t="shared" si="37"/>
        <v>1.759586879602093E-3</v>
      </c>
    </row>
    <row r="2384" spans="2:4" ht="14" thickBot="1" x14ac:dyDescent="0.2">
      <c r="B2384" s="312">
        <v>42326</v>
      </c>
      <c r="C2384" s="321">
        <v>7731.8</v>
      </c>
      <c r="D2384" s="210">
        <f t="shared" si="37"/>
        <v>1.4349827983134666E-2</v>
      </c>
    </row>
    <row r="2385" spans="2:4" ht="14" thickBot="1" x14ac:dyDescent="0.2">
      <c r="B2385" s="312">
        <v>42325</v>
      </c>
      <c r="C2385" s="321">
        <v>7837.55</v>
      </c>
      <c r="D2385" s="209">
        <f t="shared" si="37"/>
        <v>-1.3492736888440882E-2</v>
      </c>
    </row>
    <row r="2386" spans="2:4" ht="14" thickBot="1" x14ac:dyDescent="0.2">
      <c r="B2386" s="312">
        <v>42324</v>
      </c>
      <c r="C2386" s="321">
        <v>7806.6</v>
      </c>
      <c r="D2386" s="209">
        <f t="shared" si="37"/>
        <v>3.9645940614352337E-3</v>
      </c>
    </row>
    <row r="2387" spans="2:4" ht="14" thickBot="1" x14ac:dyDescent="0.2">
      <c r="B2387" s="312">
        <v>42321</v>
      </c>
      <c r="C2387" s="321">
        <v>7762.25</v>
      </c>
      <c r="D2387" s="209">
        <f t="shared" si="37"/>
        <v>5.7135495507101286E-3</v>
      </c>
    </row>
    <row r="2388" spans="2:4" ht="14" thickBot="1" x14ac:dyDescent="0.2">
      <c r="B2388" s="312">
        <v>42319</v>
      </c>
      <c r="C2388" s="321">
        <v>7825</v>
      </c>
      <c r="D2388" s="209">
        <f t="shared" si="37"/>
        <v>-8.0191693290734278E-3</v>
      </c>
    </row>
    <row r="2389" spans="2:4" ht="14" thickBot="1" x14ac:dyDescent="0.2">
      <c r="B2389" s="312">
        <v>42318</v>
      </c>
      <c r="C2389" s="321">
        <v>7783.35</v>
      </c>
      <c r="D2389" s="209">
        <f t="shared" si="37"/>
        <v>5.3511662715926001E-3</v>
      </c>
    </row>
    <row r="2390" spans="2:4" ht="14" thickBot="1" x14ac:dyDescent="0.2">
      <c r="B2390" s="312">
        <v>42317</v>
      </c>
      <c r="C2390" s="321">
        <v>7915.2</v>
      </c>
      <c r="D2390" s="210">
        <f t="shared" si="37"/>
        <v>-1.6657822922983567E-2</v>
      </c>
    </row>
    <row r="2391" spans="2:4" ht="14" thickBot="1" x14ac:dyDescent="0.2">
      <c r="B2391" s="312">
        <v>42314</v>
      </c>
      <c r="C2391" s="321">
        <v>7954.3</v>
      </c>
      <c r="D2391" s="209">
        <f t="shared" si="37"/>
        <v>-4.9155802521906322E-3</v>
      </c>
    </row>
    <row r="2392" spans="2:4" ht="14" thickBot="1" x14ac:dyDescent="0.2">
      <c r="B2392" s="312">
        <v>42313</v>
      </c>
      <c r="C2392" s="321">
        <v>7955.45</v>
      </c>
      <c r="D2392" s="210">
        <f t="shared" si="37"/>
        <v>-1.4455499060384014E-4</v>
      </c>
    </row>
    <row r="2393" spans="2:4" ht="14" thickBot="1" x14ac:dyDescent="0.2">
      <c r="B2393" s="312">
        <v>42312</v>
      </c>
      <c r="C2393" s="321">
        <v>8040.2</v>
      </c>
      <c r="D2393" s="210">
        <f t="shared" si="37"/>
        <v>-1.0540782567597828E-2</v>
      </c>
    </row>
    <row r="2394" spans="2:4" ht="14" thickBot="1" x14ac:dyDescent="0.2">
      <c r="B2394" s="312">
        <v>42311</v>
      </c>
      <c r="C2394" s="321">
        <v>8060.7</v>
      </c>
      <c r="D2394" s="209">
        <f t="shared" si="37"/>
        <v>-2.5432034438696016E-3</v>
      </c>
    </row>
    <row r="2395" spans="2:4" ht="14" thickBot="1" x14ac:dyDescent="0.2">
      <c r="B2395" s="312">
        <v>42310</v>
      </c>
      <c r="C2395" s="321">
        <v>8050.8</v>
      </c>
      <c r="D2395" s="209">
        <f t="shared" si="37"/>
        <v>1.2296914592337949E-3</v>
      </c>
    </row>
    <row r="2396" spans="2:4" ht="14" thickBot="1" x14ac:dyDescent="0.2">
      <c r="B2396" s="312">
        <v>42307</v>
      </c>
      <c r="C2396" s="321">
        <v>8065.8</v>
      </c>
      <c r="D2396" s="209">
        <f t="shared" si="37"/>
        <v>-1.859703935133572E-3</v>
      </c>
    </row>
    <row r="2397" spans="2:4" ht="14" thickBot="1" x14ac:dyDescent="0.2">
      <c r="B2397" s="312">
        <v>42306</v>
      </c>
      <c r="C2397" s="321">
        <v>8111.75</v>
      </c>
      <c r="D2397" s="210">
        <f t="shared" si="37"/>
        <v>-5.6646223071470381E-3</v>
      </c>
    </row>
    <row r="2398" spans="2:4" ht="14" thickBot="1" x14ac:dyDescent="0.2">
      <c r="B2398" s="312">
        <v>42305</v>
      </c>
      <c r="C2398" s="321">
        <v>8171.2</v>
      </c>
      <c r="D2398" s="210">
        <f t="shared" si="37"/>
        <v>-7.2755531623261982E-3</v>
      </c>
    </row>
    <row r="2399" spans="2:4" ht="14" thickBot="1" x14ac:dyDescent="0.2">
      <c r="B2399" s="312">
        <v>42304</v>
      </c>
      <c r="C2399" s="321">
        <v>8232.9</v>
      </c>
      <c r="D2399" s="210">
        <f t="shared" si="37"/>
        <v>-7.494321563483064E-3</v>
      </c>
    </row>
    <row r="2400" spans="2:4" ht="14" thickBot="1" x14ac:dyDescent="0.2">
      <c r="B2400" s="312">
        <v>42303</v>
      </c>
      <c r="C2400" s="321">
        <v>8260.5499999999993</v>
      </c>
      <c r="D2400" s="209">
        <f t="shared" si="37"/>
        <v>-3.3472347482915721E-3</v>
      </c>
    </row>
    <row r="2401" spans="2:4" ht="14" thickBot="1" x14ac:dyDescent="0.2">
      <c r="B2401" s="312">
        <v>42300</v>
      </c>
      <c r="C2401" s="321">
        <v>8295.4500000000007</v>
      </c>
      <c r="D2401" s="209">
        <f t="shared" si="37"/>
        <v>-4.2071255929456708E-3</v>
      </c>
    </row>
    <row r="2402" spans="2:4" ht="14" thickBot="1" x14ac:dyDescent="0.2">
      <c r="B2402" s="312">
        <v>42298</v>
      </c>
      <c r="C2402" s="321">
        <v>8251.7000000000007</v>
      </c>
      <c r="D2402" s="209">
        <f t="shared" si="37"/>
        <v>5.3019377825176406E-3</v>
      </c>
    </row>
    <row r="2403" spans="2:4" ht="14" thickBot="1" x14ac:dyDescent="0.2">
      <c r="B2403" s="312">
        <v>42297</v>
      </c>
      <c r="C2403" s="321">
        <v>8261.65</v>
      </c>
      <c r="D2403" s="210">
        <f t="shared" si="37"/>
        <v>-1.2043599038931152E-3</v>
      </c>
    </row>
    <row r="2404" spans="2:4" ht="14" thickBot="1" x14ac:dyDescent="0.2">
      <c r="B2404" s="312">
        <v>42296</v>
      </c>
      <c r="C2404" s="321">
        <v>8275.0499999999993</v>
      </c>
      <c r="D2404" s="209">
        <f t="shared" si="37"/>
        <v>-1.6193255629874947E-3</v>
      </c>
    </row>
    <row r="2405" spans="2:4" ht="14" thickBot="1" x14ac:dyDescent="0.2">
      <c r="B2405" s="312">
        <v>42293</v>
      </c>
      <c r="C2405" s="321">
        <v>8238.15</v>
      </c>
      <c r="D2405" s="209">
        <f t="shared" si="37"/>
        <v>4.4791609766754448E-3</v>
      </c>
    </row>
    <row r="2406" spans="2:4" ht="14" thickBot="1" x14ac:dyDescent="0.2">
      <c r="B2406" s="312">
        <v>42292</v>
      </c>
      <c r="C2406" s="321">
        <v>8179.5</v>
      </c>
      <c r="D2406" s="210">
        <f t="shared" si="37"/>
        <v>7.1703649367320654E-3</v>
      </c>
    </row>
    <row r="2407" spans="2:4" ht="14" thickBot="1" x14ac:dyDescent="0.2">
      <c r="B2407" s="312">
        <v>42291</v>
      </c>
      <c r="C2407" s="321">
        <v>8107.9</v>
      </c>
      <c r="D2407" s="209">
        <f t="shared" si="37"/>
        <v>8.8308933262621903E-3</v>
      </c>
    </row>
    <row r="2408" spans="2:4" ht="14" thickBot="1" x14ac:dyDescent="0.2">
      <c r="B2408" s="312">
        <v>42290</v>
      </c>
      <c r="C2408" s="321">
        <v>8131.7</v>
      </c>
      <c r="D2408" s="210">
        <f t="shared" si="37"/>
        <v>-2.9268172706814477E-3</v>
      </c>
    </row>
    <row r="2409" spans="2:4" ht="14" thickBot="1" x14ac:dyDescent="0.2">
      <c r="B2409" s="312">
        <v>42289</v>
      </c>
      <c r="C2409" s="321">
        <v>8143.6</v>
      </c>
      <c r="D2409" s="209">
        <f t="shared" si="37"/>
        <v>-1.4612701999116018E-3</v>
      </c>
    </row>
    <row r="2410" spans="2:4" ht="14" thickBot="1" x14ac:dyDescent="0.2">
      <c r="B2410" s="312">
        <v>42286</v>
      </c>
      <c r="C2410" s="321">
        <v>8189.7</v>
      </c>
      <c r="D2410" s="210">
        <f t="shared" si="37"/>
        <v>-5.6290218200910624E-3</v>
      </c>
    </row>
    <row r="2411" spans="2:4" ht="14" thickBot="1" x14ac:dyDescent="0.2">
      <c r="B2411" s="312">
        <v>42285</v>
      </c>
      <c r="C2411" s="321">
        <v>8129.35</v>
      </c>
      <c r="D2411" s="209">
        <f t="shared" si="37"/>
        <v>7.4237177634126628E-3</v>
      </c>
    </row>
    <row r="2412" spans="2:4" ht="14" thickBot="1" x14ac:dyDescent="0.2">
      <c r="B2412" s="312">
        <v>42284</v>
      </c>
      <c r="C2412" s="321">
        <v>8177.4</v>
      </c>
      <c r="D2412" s="210">
        <f t="shared" si="37"/>
        <v>-5.8759507912049536E-3</v>
      </c>
    </row>
    <row r="2413" spans="2:4" ht="14" thickBot="1" x14ac:dyDescent="0.2">
      <c r="B2413" s="312">
        <v>42283</v>
      </c>
      <c r="C2413" s="321">
        <v>8152.9</v>
      </c>
      <c r="D2413" s="210">
        <f t="shared" si="37"/>
        <v>3.0050656821498656E-3</v>
      </c>
    </row>
    <row r="2414" spans="2:4" ht="14" thickBot="1" x14ac:dyDescent="0.2">
      <c r="B2414" s="312">
        <v>42282</v>
      </c>
      <c r="C2414" s="321">
        <v>8119.3</v>
      </c>
      <c r="D2414" s="209">
        <f t="shared" si="37"/>
        <v>4.1382877834295062E-3</v>
      </c>
    </row>
    <row r="2415" spans="2:4" ht="14" thickBot="1" x14ac:dyDescent="0.2">
      <c r="B2415" s="312">
        <v>42278</v>
      </c>
      <c r="C2415" s="321">
        <v>7950.9</v>
      </c>
      <c r="D2415" s="210">
        <f t="shared" si="37"/>
        <v>2.1179992202140729E-2</v>
      </c>
    </row>
    <row r="2416" spans="2:4" ht="14" thickBot="1" x14ac:dyDescent="0.2">
      <c r="B2416" s="312">
        <v>42277</v>
      </c>
      <c r="C2416" s="321">
        <v>7948.9</v>
      </c>
      <c r="D2416" s="210">
        <f t="shared" si="37"/>
        <v>2.5160714061067679E-4</v>
      </c>
    </row>
    <row r="2417" spans="2:4" ht="14" thickBot="1" x14ac:dyDescent="0.2">
      <c r="B2417" s="312">
        <v>42276</v>
      </c>
      <c r="C2417" s="321">
        <v>7843.3</v>
      </c>
      <c r="D2417" s="210">
        <f t="shared" si="37"/>
        <v>1.3463720627796993E-2</v>
      </c>
    </row>
    <row r="2418" spans="2:4" ht="14" thickBot="1" x14ac:dyDescent="0.2">
      <c r="B2418" s="312">
        <v>42275</v>
      </c>
      <c r="C2418" s="321">
        <v>7795.7</v>
      </c>
      <c r="D2418" s="210">
        <f t="shared" si="37"/>
        <v>6.105930192285447E-3</v>
      </c>
    </row>
    <row r="2419" spans="2:4" ht="14" thickBot="1" x14ac:dyDescent="0.2">
      <c r="B2419" s="312">
        <v>42271</v>
      </c>
      <c r="C2419" s="321">
        <v>7868.5</v>
      </c>
      <c r="D2419" s="210">
        <f t="shared" si="37"/>
        <v>-9.2520810827985134E-3</v>
      </c>
    </row>
    <row r="2420" spans="2:4" ht="14" thickBot="1" x14ac:dyDescent="0.2">
      <c r="B2420" s="312">
        <v>42270</v>
      </c>
      <c r="C2420" s="321">
        <v>7845.95</v>
      </c>
      <c r="D2420" s="210">
        <f t="shared" si="37"/>
        <v>2.8740942779394985E-3</v>
      </c>
    </row>
    <row r="2421" spans="2:4" ht="14" thickBot="1" x14ac:dyDescent="0.2">
      <c r="B2421" s="312">
        <v>42269</v>
      </c>
      <c r="C2421" s="321">
        <v>7812</v>
      </c>
      <c r="D2421" s="209">
        <f t="shared" si="37"/>
        <v>4.3458781362006871E-3</v>
      </c>
    </row>
    <row r="2422" spans="2:4" ht="14" thickBot="1" x14ac:dyDescent="0.2">
      <c r="B2422" s="312">
        <v>42268</v>
      </c>
      <c r="C2422" s="321">
        <v>7977.1</v>
      </c>
      <c r="D2422" s="209">
        <f t="shared" si="37"/>
        <v>-2.0696744430933611E-2</v>
      </c>
    </row>
    <row r="2423" spans="2:4" ht="14" thickBot="1" x14ac:dyDescent="0.2">
      <c r="B2423" s="312">
        <v>42265</v>
      </c>
      <c r="C2423" s="321">
        <v>7981.9</v>
      </c>
      <c r="D2423" s="209">
        <f t="shared" si="37"/>
        <v>-6.0136057830828538E-4</v>
      </c>
    </row>
    <row r="2424" spans="2:4" ht="14" thickBot="1" x14ac:dyDescent="0.2">
      <c r="B2424" s="312">
        <v>42263</v>
      </c>
      <c r="C2424" s="321">
        <v>7899.15</v>
      </c>
      <c r="D2424" s="210">
        <f t="shared" si="37"/>
        <v>1.0475810688491904E-2</v>
      </c>
    </row>
    <row r="2425" spans="2:4" ht="14" thickBot="1" x14ac:dyDescent="0.2">
      <c r="B2425" s="312">
        <v>42262</v>
      </c>
      <c r="C2425" s="321">
        <v>7829.1</v>
      </c>
      <c r="D2425" s="209">
        <f t="shared" si="37"/>
        <v>8.9473885887265681E-3</v>
      </c>
    </row>
    <row r="2426" spans="2:4" ht="14" thickBot="1" x14ac:dyDescent="0.2">
      <c r="B2426" s="312">
        <v>42261</v>
      </c>
      <c r="C2426" s="321">
        <v>7872.25</v>
      </c>
      <c r="D2426" s="210">
        <f t="shared" si="37"/>
        <v>-5.4812791768553693E-3</v>
      </c>
    </row>
    <row r="2427" spans="2:4" ht="14" thickBot="1" x14ac:dyDescent="0.2">
      <c r="B2427" s="312">
        <v>42258</v>
      </c>
      <c r="C2427" s="321">
        <v>7789.3</v>
      </c>
      <c r="D2427" s="210">
        <f t="shared" si="37"/>
        <v>1.0649223935398577E-2</v>
      </c>
    </row>
    <row r="2428" spans="2:4" ht="14" thickBot="1" x14ac:dyDescent="0.2">
      <c r="B2428" s="312">
        <v>42257</v>
      </c>
      <c r="C2428" s="321">
        <v>7788.1</v>
      </c>
      <c r="D2428" s="210">
        <f t="shared" si="37"/>
        <v>1.5408122648663536E-4</v>
      </c>
    </row>
    <row r="2429" spans="2:4" ht="14" thickBot="1" x14ac:dyDescent="0.2">
      <c r="B2429" s="312">
        <v>42256</v>
      </c>
      <c r="C2429" s="321">
        <v>7818.6</v>
      </c>
      <c r="D2429" s="210">
        <f t="shared" si="37"/>
        <v>-3.9009541350113475E-3</v>
      </c>
    </row>
    <row r="2430" spans="2:4" ht="14" thickBot="1" x14ac:dyDescent="0.2">
      <c r="B2430" s="312">
        <v>42255</v>
      </c>
      <c r="C2430" s="321">
        <v>7688.25</v>
      </c>
      <c r="D2430" s="209">
        <f t="shared" si="37"/>
        <v>1.6954443468929936E-2</v>
      </c>
    </row>
    <row r="2431" spans="2:4" ht="14" thickBot="1" x14ac:dyDescent="0.2">
      <c r="B2431" s="312">
        <v>42254</v>
      </c>
      <c r="C2431" s="321">
        <v>7558.8</v>
      </c>
      <c r="D2431" s="209">
        <f t="shared" si="37"/>
        <v>1.7125734243530699E-2</v>
      </c>
    </row>
    <row r="2432" spans="2:4" ht="14" thickBot="1" x14ac:dyDescent="0.2">
      <c r="B2432" s="312">
        <v>42251</v>
      </c>
      <c r="C2432" s="321">
        <v>7655.05</v>
      </c>
      <c r="D2432" s="209">
        <f t="shared" si="37"/>
        <v>-1.2573399259312446E-2</v>
      </c>
    </row>
    <row r="2433" spans="2:4" ht="14" thickBot="1" x14ac:dyDescent="0.2">
      <c r="B2433" s="312">
        <v>42250</v>
      </c>
      <c r="C2433" s="321">
        <v>7823</v>
      </c>
      <c r="D2433" s="209">
        <f t="shared" si="37"/>
        <v>-2.1468746005368744E-2</v>
      </c>
    </row>
    <row r="2434" spans="2:4" ht="14" thickBot="1" x14ac:dyDescent="0.2">
      <c r="B2434" s="312">
        <v>42249</v>
      </c>
      <c r="C2434" s="321">
        <v>7717</v>
      </c>
      <c r="D2434" s="210">
        <f t="shared" si="37"/>
        <v>1.3735907736166952E-2</v>
      </c>
    </row>
    <row r="2435" spans="2:4" ht="14" thickBot="1" x14ac:dyDescent="0.2">
      <c r="B2435" s="312">
        <v>42248</v>
      </c>
      <c r="C2435" s="321">
        <v>7785.85</v>
      </c>
      <c r="D2435" s="210">
        <f t="shared" si="37"/>
        <v>-8.8429651226263895E-3</v>
      </c>
    </row>
    <row r="2436" spans="2:4" ht="14" thickBot="1" x14ac:dyDescent="0.2">
      <c r="B2436" s="312">
        <v>42247</v>
      </c>
      <c r="C2436" s="321">
        <v>7971.3</v>
      </c>
      <c r="D2436" s="209">
        <f t="shared" si="37"/>
        <v>-2.3264712154855482E-2</v>
      </c>
    </row>
    <row r="2437" spans="2:4" ht="14" thickBot="1" x14ac:dyDescent="0.2">
      <c r="B2437" s="312">
        <v>42244</v>
      </c>
      <c r="C2437" s="321">
        <v>8001.95</v>
      </c>
      <c r="D2437" s="209">
        <f t="shared" si="37"/>
        <v>-3.8303163603871093E-3</v>
      </c>
    </row>
    <row r="2438" spans="2:4" ht="14" thickBot="1" x14ac:dyDescent="0.2">
      <c r="B2438" s="312">
        <v>42243</v>
      </c>
      <c r="C2438" s="321">
        <v>7948.95</v>
      </c>
      <c r="D2438" s="210">
        <f t="shared" si="37"/>
        <v>6.6675472861195129E-3</v>
      </c>
    </row>
    <row r="2439" spans="2:4" ht="14" thickBot="1" x14ac:dyDescent="0.2">
      <c r="B2439" s="312">
        <v>42242</v>
      </c>
      <c r="C2439" s="321">
        <v>7791.85</v>
      </c>
      <c r="D2439" s="210">
        <f t="shared" si="37"/>
        <v>2.0162092442744584E-2</v>
      </c>
    </row>
    <row r="2440" spans="2:4" ht="14" thickBot="1" x14ac:dyDescent="0.2">
      <c r="B2440" s="312">
        <v>42241</v>
      </c>
      <c r="C2440" s="321">
        <v>7880.7</v>
      </c>
      <c r="D2440" s="209">
        <f t="shared" si="37"/>
        <v>-1.127437917951446E-2</v>
      </c>
    </row>
    <row r="2441" spans="2:4" ht="14" thickBot="1" x14ac:dyDescent="0.2">
      <c r="B2441" s="312">
        <v>42240</v>
      </c>
      <c r="C2441" s="321">
        <v>7809</v>
      </c>
      <c r="D2441" s="210">
        <f t="shared" si="37"/>
        <v>9.1817134076066509E-3</v>
      </c>
    </row>
    <row r="2442" spans="2:4" ht="14" thickBot="1" x14ac:dyDescent="0.2">
      <c r="B2442" s="312">
        <v>42237</v>
      </c>
      <c r="C2442" s="321">
        <v>8299.9500000000007</v>
      </c>
      <c r="D2442" s="209">
        <f t="shared" si="37"/>
        <v>-5.9150958740715409E-2</v>
      </c>
    </row>
    <row r="2443" spans="2:4" ht="14" thickBot="1" x14ac:dyDescent="0.2">
      <c r="B2443" s="312">
        <v>42236</v>
      </c>
      <c r="C2443" s="321">
        <v>8372.75</v>
      </c>
      <c r="D2443" s="210">
        <f t="shared" ref="D2443:D2485" si="38">C2442/C2443-1</f>
        <v>-8.6948732495296666E-3</v>
      </c>
    </row>
    <row r="2444" spans="2:4" ht="14" thickBot="1" x14ac:dyDescent="0.2">
      <c r="B2444" s="312">
        <v>42235</v>
      </c>
      <c r="C2444" s="321">
        <v>8495.15</v>
      </c>
      <c r="D2444" s="210">
        <f t="shared" si="38"/>
        <v>-1.4408221161486212E-2</v>
      </c>
    </row>
    <row r="2445" spans="2:4" ht="14" thickBot="1" x14ac:dyDescent="0.2">
      <c r="B2445" s="312">
        <v>42234</v>
      </c>
      <c r="C2445" s="321">
        <v>8466.5499999999993</v>
      </c>
      <c r="D2445" s="209">
        <f t="shared" si="38"/>
        <v>3.377999303139978E-3</v>
      </c>
    </row>
    <row r="2446" spans="2:4" ht="14" thickBot="1" x14ac:dyDescent="0.2">
      <c r="B2446" s="312">
        <v>42233</v>
      </c>
      <c r="C2446" s="321">
        <v>8477.2999999999993</v>
      </c>
      <c r="D2446" s="210">
        <f t="shared" si="38"/>
        <v>-1.2680924350914058E-3</v>
      </c>
    </row>
    <row r="2447" spans="2:4" ht="14" thickBot="1" x14ac:dyDescent="0.2">
      <c r="B2447" s="312">
        <v>42230</v>
      </c>
      <c r="C2447" s="321">
        <v>8518.5499999999993</v>
      </c>
      <c r="D2447" s="209">
        <f t="shared" si="38"/>
        <v>-4.8423734086200376E-3</v>
      </c>
    </row>
    <row r="2448" spans="2:4" ht="14" thickBot="1" x14ac:dyDescent="0.2">
      <c r="B2448" s="312">
        <v>42229</v>
      </c>
      <c r="C2448" s="321">
        <v>8355.85</v>
      </c>
      <c r="D2448" s="209">
        <f t="shared" si="38"/>
        <v>1.9471388308789583E-2</v>
      </c>
    </row>
    <row r="2449" spans="2:4" ht="14" thickBot="1" x14ac:dyDescent="0.2">
      <c r="B2449" s="312">
        <v>42228</v>
      </c>
      <c r="C2449" s="321">
        <v>8349.4500000000007</v>
      </c>
      <c r="D2449" s="209">
        <f t="shared" si="38"/>
        <v>7.6651755504841823E-4</v>
      </c>
    </row>
    <row r="2450" spans="2:4" ht="14" thickBot="1" x14ac:dyDescent="0.2">
      <c r="B2450" s="312">
        <v>42227</v>
      </c>
      <c r="C2450" s="321">
        <v>8462.35</v>
      </c>
      <c r="D2450" s="210">
        <f t="shared" si="38"/>
        <v>-1.334144770660628E-2</v>
      </c>
    </row>
    <row r="2451" spans="2:4" ht="14" thickBot="1" x14ac:dyDescent="0.2">
      <c r="B2451" s="312">
        <v>42226</v>
      </c>
      <c r="C2451" s="321">
        <v>8525.6</v>
      </c>
      <c r="D2451" s="210">
        <f t="shared" si="38"/>
        <v>-7.4188326921272862E-3</v>
      </c>
    </row>
    <row r="2452" spans="2:4" ht="14" thickBot="1" x14ac:dyDescent="0.2">
      <c r="B2452" s="312">
        <v>42223</v>
      </c>
      <c r="C2452" s="321">
        <v>8564.6</v>
      </c>
      <c r="D2452" s="209">
        <f t="shared" si="38"/>
        <v>-4.5536277234196065E-3</v>
      </c>
    </row>
    <row r="2453" spans="2:4" ht="14" thickBot="1" x14ac:dyDescent="0.2">
      <c r="B2453" s="312">
        <v>42222</v>
      </c>
      <c r="C2453" s="321">
        <v>8588.65</v>
      </c>
      <c r="D2453" s="210">
        <f t="shared" si="38"/>
        <v>-2.8002072502663067E-3</v>
      </c>
    </row>
    <row r="2454" spans="2:4" ht="14" thickBot="1" x14ac:dyDescent="0.2">
      <c r="B2454" s="312">
        <v>42221</v>
      </c>
      <c r="C2454" s="321">
        <v>8567.9500000000007</v>
      </c>
      <c r="D2454" s="209">
        <f t="shared" si="38"/>
        <v>2.4159804854135825E-3</v>
      </c>
    </row>
    <row r="2455" spans="2:4" ht="14" thickBot="1" x14ac:dyDescent="0.2">
      <c r="B2455" s="312">
        <v>42220</v>
      </c>
      <c r="C2455" s="321">
        <v>8516.9</v>
      </c>
      <c r="D2455" s="210">
        <f t="shared" si="38"/>
        <v>5.9939649402953599E-3</v>
      </c>
    </row>
    <row r="2456" spans="2:4" ht="14" thickBot="1" x14ac:dyDescent="0.2">
      <c r="B2456" s="312">
        <v>42219</v>
      </c>
      <c r="C2456" s="321">
        <v>8543.0499999999993</v>
      </c>
      <c r="D2456" s="209">
        <f t="shared" si="38"/>
        <v>-3.060967687184224E-3</v>
      </c>
    </row>
    <row r="2457" spans="2:4" ht="14" thickBot="1" x14ac:dyDescent="0.2">
      <c r="B2457" s="312">
        <v>42216</v>
      </c>
      <c r="C2457" s="321">
        <v>8532.85</v>
      </c>
      <c r="D2457" s="209">
        <f t="shared" si="38"/>
        <v>1.1953802070818753E-3</v>
      </c>
    </row>
    <row r="2458" spans="2:4" ht="14" thickBot="1" x14ac:dyDescent="0.2">
      <c r="B2458" s="312">
        <v>42215</v>
      </c>
      <c r="C2458" s="321">
        <v>8421.7999999999993</v>
      </c>
      <c r="D2458" s="209">
        <f t="shared" si="38"/>
        <v>1.3186017240969905E-2</v>
      </c>
    </row>
    <row r="2459" spans="2:4" ht="14" thickBot="1" x14ac:dyDescent="0.2">
      <c r="B2459" s="312">
        <v>42214</v>
      </c>
      <c r="C2459" s="321">
        <v>8375.0499999999993</v>
      </c>
      <c r="D2459" s="210">
        <f t="shared" si="38"/>
        <v>5.5820562265300744E-3</v>
      </c>
    </row>
    <row r="2460" spans="2:4" ht="14" thickBot="1" x14ac:dyDescent="0.2">
      <c r="B2460" s="312">
        <v>42213</v>
      </c>
      <c r="C2460" s="321">
        <v>8337</v>
      </c>
      <c r="D2460" s="209">
        <f t="shared" si="38"/>
        <v>4.5639918435886884E-3</v>
      </c>
    </row>
    <row r="2461" spans="2:4" ht="14" thickBot="1" x14ac:dyDescent="0.2">
      <c r="B2461" s="312">
        <v>42212</v>
      </c>
      <c r="C2461" s="321">
        <v>8361</v>
      </c>
      <c r="D2461" s="210">
        <f t="shared" si="38"/>
        <v>-2.870470039468942E-3</v>
      </c>
    </row>
    <row r="2462" spans="2:4" ht="14" thickBot="1" x14ac:dyDescent="0.2">
      <c r="B2462" s="312">
        <v>42209</v>
      </c>
      <c r="C2462" s="321">
        <v>8521.5499999999993</v>
      </c>
      <c r="D2462" s="209">
        <f t="shared" si="38"/>
        <v>-1.8840469163473705E-2</v>
      </c>
    </row>
    <row r="2463" spans="2:4" ht="14" thickBot="1" x14ac:dyDescent="0.2">
      <c r="B2463" s="312">
        <v>42208</v>
      </c>
      <c r="C2463" s="321">
        <v>8589.7999999999993</v>
      </c>
      <c r="D2463" s="209">
        <f t="shared" si="38"/>
        <v>-7.9454702088523899E-3</v>
      </c>
    </row>
    <row r="2464" spans="2:4" ht="14" thickBot="1" x14ac:dyDescent="0.2">
      <c r="B2464" s="312">
        <v>42207</v>
      </c>
      <c r="C2464" s="321">
        <v>8633.5</v>
      </c>
      <c r="D2464" s="209">
        <f t="shared" si="38"/>
        <v>-5.0616783459779269E-3</v>
      </c>
    </row>
    <row r="2465" spans="2:4" ht="14" thickBot="1" x14ac:dyDescent="0.2">
      <c r="B2465" s="312">
        <v>42206</v>
      </c>
      <c r="C2465" s="321">
        <v>8529.4500000000007</v>
      </c>
      <c r="D2465" s="210">
        <f t="shared" si="38"/>
        <v>1.219891083246849E-2</v>
      </c>
    </row>
    <row r="2466" spans="2:4" ht="14" thickBot="1" x14ac:dyDescent="0.2">
      <c r="B2466" s="312">
        <v>42205</v>
      </c>
      <c r="C2466" s="321">
        <v>8603.4500000000007</v>
      </c>
      <c r="D2466" s="209">
        <f t="shared" si="38"/>
        <v>-8.6012006811221342E-3</v>
      </c>
    </row>
    <row r="2467" spans="2:4" ht="14" thickBot="1" x14ac:dyDescent="0.2">
      <c r="B2467" s="312">
        <v>42202</v>
      </c>
      <c r="C2467" s="321">
        <v>8609.85</v>
      </c>
      <c r="D2467" s="210">
        <f t="shared" si="38"/>
        <v>-7.4333466901277401E-4</v>
      </c>
    </row>
    <row r="2468" spans="2:4" ht="14" thickBot="1" x14ac:dyDescent="0.2">
      <c r="B2468" s="312">
        <v>42201</v>
      </c>
      <c r="C2468" s="321">
        <v>8608.0499999999993</v>
      </c>
      <c r="D2468" s="210">
        <f t="shared" si="38"/>
        <v>2.0910659208550619E-4</v>
      </c>
    </row>
    <row r="2469" spans="2:4" ht="14" thickBot="1" x14ac:dyDescent="0.2">
      <c r="B2469" s="312">
        <v>42200</v>
      </c>
      <c r="C2469" s="321">
        <v>8523.7999999999993</v>
      </c>
      <c r="D2469" s="210">
        <f t="shared" si="38"/>
        <v>9.8840892559657334E-3</v>
      </c>
    </row>
    <row r="2470" spans="2:4" ht="14" thickBot="1" x14ac:dyDescent="0.2">
      <c r="B2470" s="312">
        <v>42199</v>
      </c>
      <c r="C2470" s="321">
        <v>8454.1</v>
      </c>
      <c r="D2470" s="210">
        <f t="shared" si="38"/>
        <v>8.2445204102150615E-3</v>
      </c>
    </row>
    <row r="2471" spans="2:4" ht="14" thickBot="1" x14ac:dyDescent="0.2">
      <c r="B2471" s="312">
        <v>42198</v>
      </c>
      <c r="C2471" s="321">
        <v>8459.65</v>
      </c>
      <c r="D2471" s="210">
        <f t="shared" si="38"/>
        <v>-6.5605551057068556E-4</v>
      </c>
    </row>
    <row r="2472" spans="2:4" ht="14" thickBot="1" x14ac:dyDescent="0.2">
      <c r="B2472" s="312">
        <v>42195</v>
      </c>
      <c r="C2472" s="321">
        <v>8360.5499999999993</v>
      </c>
      <c r="D2472" s="210">
        <f t="shared" si="38"/>
        <v>1.1853287164121928E-2</v>
      </c>
    </row>
    <row r="2473" spans="2:4" ht="14" thickBot="1" x14ac:dyDescent="0.2">
      <c r="B2473" s="312">
        <v>42194</v>
      </c>
      <c r="C2473" s="321">
        <v>8328.5499999999993</v>
      </c>
      <c r="D2473" s="210">
        <f t="shared" si="38"/>
        <v>3.8422054259144023E-3</v>
      </c>
    </row>
    <row r="2474" spans="2:4" ht="14" thickBot="1" x14ac:dyDescent="0.2">
      <c r="B2474" s="312">
        <v>42193</v>
      </c>
      <c r="C2474" s="321">
        <v>8363.0499999999993</v>
      </c>
      <c r="D2474" s="210">
        <f t="shared" si="38"/>
        <v>-4.1252892186462997E-3</v>
      </c>
    </row>
    <row r="2475" spans="2:4" ht="14" thickBot="1" x14ac:dyDescent="0.2">
      <c r="B2475" s="312">
        <v>42192</v>
      </c>
      <c r="C2475" s="321">
        <v>8510.7999999999993</v>
      </c>
      <c r="D2475" s="210">
        <f t="shared" si="38"/>
        <v>-1.736029515439208E-2</v>
      </c>
    </row>
    <row r="2476" spans="2:4" ht="14" thickBot="1" x14ac:dyDescent="0.2">
      <c r="B2476" s="312">
        <v>42191</v>
      </c>
      <c r="C2476" s="321">
        <v>8522.15</v>
      </c>
      <c r="D2476" s="209">
        <f t="shared" si="38"/>
        <v>-1.3318235421813096E-3</v>
      </c>
    </row>
    <row r="2477" spans="2:4" ht="14" thickBot="1" x14ac:dyDescent="0.2">
      <c r="B2477" s="312">
        <v>42188</v>
      </c>
      <c r="C2477" s="321">
        <v>8484.9</v>
      </c>
      <c r="D2477" s="210">
        <f t="shared" si="38"/>
        <v>4.3901519169347036E-3</v>
      </c>
    </row>
    <row r="2478" spans="2:4" ht="14" thickBot="1" x14ac:dyDescent="0.2">
      <c r="B2478" s="312">
        <v>42187</v>
      </c>
      <c r="C2478" s="321">
        <v>8444.9</v>
      </c>
      <c r="D2478" s="209">
        <f t="shared" si="38"/>
        <v>4.736586578881985E-3</v>
      </c>
    </row>
    <row r="2479" spans="2:4" ht="14" thickBot="1" x14ac:dyDescent="0.2">
      <c r="B2479" s="312">
        <v>42186</v>
      </c>
      <c r="C2479" s="321">
        <v>8453.0499999999993</v>
      </c>
      <c r="D2479" s="210">
        <f t="shared" si="38"/>
        <v>-9.6414903496366833E-4</v>
      </c>
    </row>
    <row r="2480" spans="2:4" ht="14" thickBot="1" x14ac:dyDescent="0.2">
      <c r="B2480" s="312">
        <v>42185</v>
      </c>
      <c r="C2480" s="321">
        <v>8368.5</v>
      </c>
      <c r="D2480" s="210">
        <f t="shared" si="38"/>
        <v>1.0103363804743859E-2</v>
      </c>
    </row>
    <row r="2481" spans="2:4" ht="14" thickBot="1" x14ac:dyDescent="0.2">
      <c r="B2481" s="312">
        <v>42184</v>
      </c>
      <c r="C2481" s="321">
        <v>8318.4</v>
      </c>
      <c r="D2481" s="210">
        <f t="shared" si="38"/>
        <v>6.0227928447778023E-3</v>
      </c>
    </row>
    <row r="2482" spans="2:4" ht="14" thickBot="1" x14ac:dyDescent="0.2">
      <c r="B2482" s="312">
        <v>42181</v>
      </c>
      <c r="C2482" s="321">
        <v>8381.1</v>
      </c>
      <c r="D2482" s="209">
        <f t="shared" si="38"/>
        <v>-7.4811182303039514E-3</v>
      </c>
    </row>
    <row r="2483" spans="2:4" ht="14" thickBot="1" x14ac:dyDescent="0.2">
      <c r="B2483" s="312">
        <v>42180</v>
      </c>
      <c r="C2483" s="321">
        <v>8398</v>
      </c>
      <c r="D2483" s="209">
        <f t="shared" si="38"/>
        <v>-2.012383900928727E-3</v>
      </c>
    </row>
    <row r="2484" spans="2:4" ht="14" thickBot="1" x14ac:dyDescent="0.2">
      <c r="B2484" s="312">
        <v>42179</v>
      </c>
      <c r="C2484" s="321">
        <v>8360.85</v>
      </c>
      <c r="D2484" s="209">
        <f t="shared" si="38"/>
        <v>4.4433281305129579E-3</v>
      </c>
    </row>
    <row r="2485" spans="2:4" ht="14" thickBot="1" x14ac:dyDescent="0.2">
      <c r="B2485" s="312">
        <v>42178</v>
      </c>
      <c r="C2485" s="321">
        <v>8381.5499999999993</v>
      </c>
      <c r="D2485" s="209">
        <f t="shared" si="38"/>
        <v>-2.4697102564560369E-3</v>
      </c>
    </row>
    <row r="2486" spans="2:4" ht="15" x14ac:dyDescent="0.2">
      <c r="B2486" s="325" t="s">
        <v>392</v>
      </c>
      <c r="C2486" s="326" t="s">
        <v>393</v>
      </c>
    </row>
    <row r="2487" spans="2:4" ht="15" x14ac:dyDescent="0.2">
      <c r="B2487" s="325"/>
      <c r="C2487" s="326"/>
    </row>
    <row r="2488" spans="2:4" ht="15" x14ac:dyDescent="0.2">
      <c r="B2488" s="325" t="s">
        <v>391</v>
      </c>
      <c r="C2488" s="327">
        <f>YEARFRAC(B8,B2485)</f>
        <v>10</v>
      </c>
    </row>
    <row r="2489" spans="2:4" ht="15" x14ac:dyDescent="0.2">
      <c r="B2489" s="325"/>
      <c r="C2489" s="328"/>
    </row>
    <row r="2490" spans="2:4" ht="15" x14ac:dyDescent="0.2">
      <c r="B2490" s="325" t="s">
        <v>278</v>
      </c>
      <c r="C2490" s="329">
        <f>RATE(C2488,0,C2485,-C8)</f>
        <v>0.11535398862244847</v>
      </c>
    </row>
  </sheetData>
  <autoFilter ref="B7:D7" xr:uid="{00000000-0001-0000-0F00-000000000000}"/>
  <conditionalFormatting sqref="C9:C1251">
    <cfRule type="expression" dxfId="5" priority="4">
      <formula>$C$10&gt;$C$9</formula>
    </cfRule>
  </conditionalFormatting>
  <conditionalFormatting sqref="C1254:C2485">
    <cfRule type="expression" dxfId="4" priority="1">
      <formula>$C$10&gt;$C$9</formula>
    </cfRule>
  </conditionalFormatting>
  <conditionalFormatting sqref="D8:D1251">
    <cfRule type="cellIs" dxfId="3" priority="5" operator="greaterThan">
      <formula>0</formula>
    </cfRule>
    <cfRule type="cellIs" dxfId="2" priority="6" operator="lessThan">
      <formula>0</formula>
    </cfRule>
  </conditionalFormatting>
  <conditionalFormatting sqref="D1253:D2485">
    <cfRule type="cellIs" dxfId="1" priority="2" operator="greaterThan">
      <formula>0</formula>
    </cfRule>
    <cfRule type="cellIs" dxfId="0" priority="3" operator="lessThan">
      <formula>0</formula>
    </cfRule>
  </conditionalFormatting>
  <pageMargins left="0.7" right="0.7" top="0.75" bottom="0.75" header="0.3" footer="0.3"/>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tabColor rgb="FF92D050"/>
  </sheetPr>
  <dimension ref="B6:R62"/>
  <sheetViews>
    <sheetView showGridLines="0" zoomScale="110" zoomScaleNormal="100" workbookViewId="0">
      <selection activeCell="F20" sqref="F20"/>
    </sheetView>
  </sheetViews>
  <sheetFormatPr baseColWidth="10" defaultColWidth="8.83203125" defaultRowHeight="14" x14ac:dyDescent="0.15"/>
  <cols>
    <col min="1" max="1" width="5.1640625" style="2" customWidth="1"/>
    <col min="2" max="2" width="36.83203125" style="2" bestFit="1" customWidth="1"/>
    <col min="3" max="3" width="14.5" style="2" customWidth="1"/>
    <col min="4" max="5" width="13.1640625" style="2" bestFit="1" customWidth="1"/>
    <col min="6" max="6" width="14.5" style="2" customWidth="1"/>
    <col min="7" max="7" width="12.83203125" style="2" customWidth="1"/>
    <col min="8" max="8" width="13.1640625" style="2" bestFit="1" customWidth="1"/>
    <col min="9" max="9" width="12.1640625" style="2" customWidth="1"/>
    <col min="10" max="16" width="13.1640625" style="2" bestFit="1" customWidth="1"/>
    <col min="17" max="17" width="12" style="2" bestFit="1" customWidth="1"/>
    <col min="18" max="16384" width="8.83203125" style="2"/>
  </cols>
  <sheetData>
    <row r="6" spans="2:18" ht="13.75" customHeight="1" x14ac:dyDescent="0.15">
      <c r="K6" s="362"/>
      <c r="L6" s="362"/>
      <c r="P6" s="362" t="s">
        <v>76</v>
      </c>
      <c r="Q6" s="362"/>
      <c r="R6" s="120"/>
    </row>
    <row r="7" spans="2:18" ht="16" x14ac:dyDescent="0.2">
      <c r="B7" s="396" t="s">
        <v>129</v>
      </c>
      <c r="C7" s="397"/>
      <c r="D7" s="397"/>
      <c r="E7" s="397"/>
      <c r="F7" s="397"/>
      <c r="G7" s="397"/>
      <c r="H7" s="397"/>
      <c r="I7" s="397"/>
      <c r="J7" s="397"/>
      <c r="K7" s="397"/>
      <c r="L7" s="397"/>
      <c r="M7" s="397"/>
      <c r="N7" s="397"/>
      <c r="O7" s="397"/>
      <c r="P7" s="397"/>
      <c r="Q7" s="397"/>
    </row>
    <row r="8" spans="2:18" ht="14.5" customHeight="1" x14ac:dyDescent="0.15">
      <c r="B8" s="401" t="s">
        <v>0</v>
      </c>
      <c r="C8" s="234">
        <v>2020</v>
      </c>
      <c r="D8" s="234">
        <v>2021</v>
      </c>
      <c r="E8" s="234">
        <v>2022</v>
      </c>
      <c r="F8" s="234">
        <v>2023</v>
      </c>
      <c r="G8" s="234">
        <v>2024</v>
      </c>
      <c r="H8" s="263">
        <v>2025</v>
      </c>
      <c r="I8" s="263">
        <v>2026</v>
      </c>
      <c r="J8" s="263">
        <v>2027</v>
      </c>
      <c r="K8" s="263">
        <v>2028</v>
      </c>
      <c r="L8" s="263">
        <v>2029</v>
      </c>
      <c r="M8" s="263">
        <v>2030</v>
      </c>
      <c r="N8" s="263">
        <v>2031</v>
      </c>
      <c r="O8" s="263">
        <v>2032</v>
      </c>
      <c r="P8" s="263">
        <v>2033</v>
      </c>
      <c r="Q8" s="263">
        <v>2034</v>
      </c>
    </row>
    <row r="9" spans="2:18" x14ac:dyDescent="0.15">
      <c r="B9" s="402"/>
      <c r="C9" s="13" t="s">
        <v>2</v>
      </c>
      <c r="D9" s="13" t="s">
        <v>2</v>
      </c>
      <c r="E9" s="13" t="s">
        <v>2</v>
      </c>
      <c r="F9" s="13" t="s">
        <v>2</v>
      </c>
      <c r="G9" s="13" t="s">
        <v>2</v>
      </c>
      <c r="H9" s="119" t="s">
        <v>60</v>
      </c>
      <c r="I9" s="119" t="s">
        <v>61</v>
      </c>
      <c r="J9" s="119" t="s">
        <v>61</v>
      </c>
      <c r="K9" s="119" t="s">
        <v>61</v>
      </c>
      <c r="L9" s="119" t="s">
        <v>61</v>
      </c>
      <c r="M9" s="119" t="s">
        <v>61</v>
      </c>
      <c r="N9" s="119" t="s">
        <v>61</v>
      </c>
      <c r="O9" s="119" t="s">
        <v>61</v>
      </c>
      <c r="P9" s="119" t="s">
        <v>61</v>
      </c>
      <c r="Q9" s="119" t="s">
        <v>61</v>
      </c>
    </row>
    <row r="10" spans="2:18" x14ac:dyDescent="0.15">
      <c r="H10" s="34"/>
      <c r="I10" s="34"/>
      <c r="J10" s="34"/>
      <c r="K10" s="34"/>
      <c r="L10" s="34"/>
      <c r="M10" s="34"/>
      <c r="N10" s="34"/>
      <c r="O10" s="34"/>
      <c r="P10" s="34"/>
      <c r="Q10" s="34"/>
    </row>
    <row r="11" spans="2:18" x14ac:dyDescent="0.15">
      <c r="B11" s="2" t="s">
        <v>16</v>
      </c>
      <c r="D11" s="45">
        <f>'Income Statement'!D31</f>
        <v>2184.4000000000005</v>
      </c>
      <c r="E11" s="45">
        <f>'Income Statement'!E31</f>
        <v>2185.1800000000007</v>
      </c>
      <c r="F11" s="45">
        <f>'Income Statement'!F31</f>
        <v>2194.1699999999992</v>
      </c>
      <c r="G11" s="76">
        <f>'Income Statement'!G31</f>
        <v>2702.51</v>
      </c>
      <c r="H11" s="36">
        <f ca="1">'Income Statement'!H31</f>
        <v>3079.9313765409593</v>
      </c>
      <c r="I11" s="36">
        <f ca="1">'Income Statement'!I31</f>
        <v>3340.6801631922049</v>
      </c>
      <c r="J11" s="36">
        <f ca="1">'Income Statement'!J31</f>
        <v>3633.0278908212913</v>
      </c>
      <c r="K11" s="36">
        <f ca="1">'Income Statement'!K31</f>
        <v>3961.7410598298425</v>
      </c>
      <c r="L11" s="36">
        <f ca="1">'Income Statement'!L31</f>
        <v>4332.4348638633865</v>
      </c>
      <c r="M11" s="36">
        <f ca="1">'Income Statement'!M31</f>
        <v>4751.7456619096574</v>
      </c>
      <c r="N11" s="36">
        <f ca="1">'Income Statement'!N31</f>
        <v>5227.5426037748621</v>
      </c>
      <c r="O11" s="36">
        <f ca="1">'Income Statement'!O31</f>
        <v>5769.1881923809433</v>
      </c>
      <c r="P11" s="36">
        <f ca="1">'Income Statement'!P31</f>
        <v>6387.8602283519804</v>
      </c>
      <c r="Q11" s="36">
        <f ca="1">'Income Statement'!Q31</f>
        <v>7097.0610266708245</v>
      </c>
    </row>
    <row r="12" spans="2:18" x14ac:dyDescent="0.15">
      <c r="B12" s="2" t="s">
        <v>125</v>
      </c>
      <c r="D12" s="72">
        <f>-D11*'Cost Buildup'!D34</f>
        <v>-377.52080216885543</v>
      </c>
      <c r="E12" s="72">
        <f>-E11*'Cost Buildup'!E34</f>
        <v>-377.03241678498176</v>
      </c>
      <c r="F12" s="72">
        <f>-F11*'Cost Buildup'!F34</f>
        <v>-442.66528154056067</v>
      </c>
      <c r="G12" s="72">
        <f>-G11*'Cost Buildup'!G34</f>
        <v>-10344.602420420675</v>
      </c>
      <c r="H12" s="68">
        <f ca="1">-H11*'Cost Buildup'!H34</f>
        <v>-652.16351522751643</v>
      </c>
      <c r="I12" s="68">
        <f ca="1">-I11*'Cost Buildup'!I34</f>
        <v>-707.37605878904492</v>
      </c>
      <c r="J12" s="68">
        <f ca="1">-J11*'Cost Buildup'!J34</f>
        <v>-805.60983436979996</v>
      </c>
      <c r="K12" s="68">
        <f ca="1">-K11*'Cost Buildup'!K34</f>
        <v>-878.50070380385944</v>
      </c>
      <c r="L12" s="68">
        <f ca="1">-L11*'Cost Buildup'!L34</f>
        <v>-1004.0249647591214</v>
      </c>
      <c r="M12" s="68">
        <f ca="1">-M11*'Cost Buildup'!M34</f>
        <v>-1101.1986147874352</v>
      </c>
      <c r="N12" s="68">
        <f ca="1">-N11*'Cost Buildup'!N34</f>
        <v>-1263.738135450883</v>
      </c>
      <c r="O12" s="68">
        <f ca="1">-O11*'Cost Buildup'!O34</f>
        <v>-1394.6788542746688</v>
      </c>
      <c r="P12" s="68">
        <f ca="1">-P11*'Cost Buildup'!P34</f>
        <v>-1608.1190200792712</v>
      </c>
      <c r="Q12" s="68">
        <f ca="1">-Q11*'Cost Buildup'!Q34</f>
        <v>-1786.6575685230857</v>
      </c>
    </row>
    <row r="13" spans="2:18" x14ac:dyDescent="0.15">
      <c r="B13" s="2" t="s">
        <v>126</v>
      </c>
      <c r="D13" s="45">
        <f>'Income Statement'!D29</f>
        <v>203.85</v>
      </c>
      <c r="E13" s="45">
        <f>'Income Statement'!E29</f>
        <v>209.93</v>
      </c>
      <c r="F13" s="45">
        <f>'Income Statement'!F29</f>
        <v>236.29</v>
      </c>
      <c r="G13" s="45">
        <f>'Income Statement'!G29</f>
        <v>240.96</v>
      </c>
      <c r="H13" s="36">
        <f ca="1">'Income Statement'!H29</f>
        <v>144.85799999999998</v>
      </c>
      <c r="I13" s="36">
        <f ca="1">'Income Statement'!I29</f>
        <v>145.58229</v>
      </c>
      <c r="J13" s="36">
        <f ca="1">'Income Statement'!J29</f>
        <v>146.31020144999999</v>
      </c>
      <c r="K13" s="36">
        <f ca="1">'Income Statement'!K29</f>
        <v>147.04175245724991</v>
      </c>
      <c r="L13" s="36">
        <f ca="1">'Income Statement'!L29</f>
        <v>147.77696121953625</v>
      </c>
      <c r="M13" s="36">
        <f ca="1">'Income Statement'!M29</f>
        <v>148.51584602563389</v>
      </c>
      <c r="N13" s="36">
        <f ca="1">'Income Statement'!N29</f>
        <v>149.25842525576201</v>
      </c>
      <c r="O13" s="36">
        <f ca="1">'Income Statement'!O29</f>
        <v>150.00471738204084</v>
      </c>
      <c r="P13" s="36">
        <f ca="1">'Income Statement'!P29</f>
        <v>150.75474096895098</v>
      </c>
      <c r="Q13" s="36">
        <f ca="1">'Income Statement'!Q29</f>
        <v>151.3985146737958</v>
      </c>
    </row>
    <row r="14" spans="2:18" x14ac:dyDescent="0.15">
      <c r="B14" s="2" t="s">
        <v>127</v>
      </c>
      <c r="D14" s="72">
        <f>-SUM('Cash Flows'!D45:D46)</f>
        <v>-87.080000000000368</v>
      </c>
      <c r="E14" s="72">
        <f>-SUM('Cash Flows'!E45:E46)</f>
        <v>-336.53000000000009</v>
      </c>
      <c r="F14" s="72">
        <f>-SUM('Cash Flows'!F45:F46)</f>
        <v>-434.17000000000007</v>
      </c>
      <c r="G14" s="72">
        <f>-SUM('Cash Flows'!G45:G46)</f>
        <v>-1581.3399999999992</v>
      </c>
      <c r="H14" s="68">
        <f ca="1">-SUM('Cash Flows'!H45:H46)</f>
        <v>-472.74880000000121</v>
      </c>
      <c r="I14" s="68">
        <f ca="1">-SUM('Cash Flows'!I45:I46)</f>
        <v>-481.4019499999996</v>
      </c>
      <c r="J14" s="68">
        <f ca="1">-SUM('Cash Flows'!J45:J46)</f>
        <v>-483.78441574999908</v>
      </c>
      <c r="K14" s="68">
        <f ca="1">-SUM('Cash Flows'!K45:K46)</f>
        <v>-481.85514582874953</v>
      </c>
      <c r="L14" s="68">
        <f ca="1">-SUM('Cash Flows'!L45:L46)</f>
        <v>-488.78149579789306</v>
      </c>
      <c r="M14" s="68">
        <f ca="1">-SUM('Cash Flows'!M45:M46)</f>
        <v>-491.199877516882</v>
      </c>
      <c r="N14" s="68">
        <f ca="1">-SUM('Cash Flows'!N45:N46)</f>
        <v>-493.83455722446689</v>
      </c>
      <c r="O14" s="68">
        <f ca="1">-SUM('Cash Flows'!O45:O46)</f>
        <v>-496.27718322019058</v>
      </c>
      <c r="P14" s="68">
        <f ca="1">-SUM('Cash Flows'!P45:P46)</f>
        <v>-498.73202234589081</v>
      </c>
      <c r="Q14" s="68">
        <f ca="1">-SUM('Cash Flows'!Q45:Q46)</f>
        <v>-500.97150999041946</v>
      </c>
    </row>
    <row r="15" spans="2:18" x14ac:dyDescent="0.15">
      <c r="B15" s="2" t="s">
        <v>128</v>
      </c>
      <c r="D15" s="72">
        <f>SUM('Cash Flows'!D18:D24)+SUM('Cash Flows'!D30:D36)-'Cash Flows'!D32</f>
        <v>-496.0999999999998</v>
      </c>
      <c r="E15" s="72">
        <f>SUM('Cash Flows'!E18:E24)+SUM('Cash Flows'!E30:E36)-'Cash Flows'!E32</f>
        <v>503.39999999999941</v>
      </c>
      <c r="F15" s="72">
        <f>SUM('Cash Flows'!F18:F24)+SUM('Cash Flows'!F30:F36)-'Cash Flows'!F32</f>
        <v>26.490000000000691</v>
      </c>
      <c r="G15" s="76">
        <f>SUM('Cash Flows'!G18:G24)+SUM('Cash Flows'!G30:G36)-'Cash Flows'!G32</f>
        <v>1607.9799999999998</v>
      </c>
      <c r="H15" s="68">
        <f>SUM('Cash Flows'!H18:H24)+SUM('Cash Flows'!H30:H36)-'Cash Flows'!H32</f>
        <v>754.72277816832593</v>
      </c>
      <c r="I15" s="68">
        <f>SUM('Cash Flows'!I18:I24)+SUM('Cash Flows'!I30:I36)-'Cash Flows'!I32</f>
        <v>770.42167653259207</v>
      </c>
      <c r="J15" s="68">
        <f>SUM('Cash Flows'!J18:J24)+SUM('Cash Flows'!J30:J36)-'Cash Flows'!J32</f>
        <v>870.53520921111487</v>
      </c>
      <c r="K15" s="68">
        <f>SUM('Cash Flows'!K18:K24)+SUM('Cash Flows'!K30:K36)-'Cash Flows'!K32</f>
        <v>1095.4761367706606</v>
      </c>
      <c r="L15" s="68">
        <f>SUM('Cash Flows'!L18:L24)+SUM('Cash Flows'!L30:L36)-'Cash Flows'!L32</f>
        <v>972.76453447222298</v>
      </c>
      <c r="M15" s="68">
        <f>SUM('Cash Flows'!M18:M24)+SUM('Cash Flows'!M30:M36)-'Cash Flows'!M32</f>
        <v>976.43514885460172</v>
      </c>
      <c r="N15" s="68">
        <f>SUM('Cash Flows'!N18:N24)+SUM('Cash Flows'!N30:N36)-'Cash Flows'!N32</f>
        <v>1087.2238518674885</v>
      </c>
      <c r="O15" s="68">
        <f>SUM('Cash Flows'!O18:O24)+SUM('Cash Flows'!O30:O36)-'Cash Flows'!O32</f>
        <v>708.24351466018538</v>
      </c>
      <c r="P15" s="68">
        <f>SUM('Cash Flows'!P18:P24)+SUM('Cash Flows'!P30:P36)-'Cash Flows'!P32</f>
        <v>932.4627243151599</v>
      </c>
      <c r="Q15" s="68">
        <f>SUM('Cash Flows'!Q18:Q24)+SUM('Cash Flows'!Q30:Q36)-'Cash Flows'!Q32</f>
        <v>1087.9479516805118</v>
      </c>
    </row>
    <row r="16" spans="2:18" x14ac:dyDescent="0.15">
      <c r="H16" s="34"/>
      <c r="I16" s="34"/>
      <c r="J16" s="34"/>
      <c r="K16" s="34"/>
      <c r="L16" s="34"/>
      <c r="M16" s="34"/>
      <c r="N16" s="34"/>
      <c r="O16" s="34"/>
      <c r="P16" s="34"/>
      <c r="Q16" s="34"/>
    </row>
    <row r="17" spans="2:18" s="4" customFormat="1" x14ac:dyDescent="0.15">
      <c r="B17" s="4" t="s">
        <v>129</v>
      </c>
      <c r="C17" s="46"/>
      <c r="D17" s="217">
        <f>SUM(D11:D16)</f>
        <v>1427.5491978311447</v>
      </c>
      <c r="E17" s="46">
        <f t="shared" ref="E17:G17" si="0">SUM(E11:E16)</f>
        <v>2184.9475832150183</v>
      </c>
      <c r="F17" s="46">
        <f t="shared" si="0"/>
        <v>1580.114718459439</v>
      </c>
      <c r="G17" s="217">
        <f t="shared" si="0"/>
        <v>-7374.4924204206745</v>
      </c>
      <c r="H17" s="259">
        <f ca="1">SUM(H11:H16)</f>
        <v>2854.599839481768</v>
      </c>
      <c r="I17" s="259">
        <f t="shared" ref="I17:Q17" ca="1" si="1">SUM(I11:I16)</f>
        <v>3067.9061209357524</v>
      </c>
      <c r="J17" s="259">
        <f t="shared" ca="1" si="1"/>
        <v>3360.4790513626072</v>
      </c>
      <c r="K17" s="259">
        <f t="shared" ca="1" si="1"/>
        <v>3843.9030994251443</v>
      </c>
      <c r="L17" s="259">
        <f t="shared" ca="1" si="1"/>
        <v>3960.1698989981314</v>
      </c>
      <c r="M17" s="259">
        <f t="shared" ca="1" si="1"/>
        <v>4284.2981644855763</v>
      </c>
      <c r="N17" s="259">
        <f t="shared" ca="1" si="1"/>
        <v>4706.4521882227627</v>
      </c>
      <c r="O17" s="259">
        <f t="shared" ca="1" si="1"/>
        <v>4736.4803869283105</v>
      </c>
      <c r="P17" s="259">
        <f t="shared" ca="1" si="1"/>
        <v>5364.22665121093</v>
      </c>
      <c r="Q17" s="259">
        <f t="shared" ca="1" si="1"/>
        <v>6048.7784145116275</v>
      </c>
    </row>
    <row r="18" spans="2:18" x14ac:dyDescent="0.15">
      <c r="E18" s="254"/>
      <c r="F18" s="254"/>
      <c r="G18" s="254"/>
      <c r="H18" s="254"/>
      <c r="I18" s="254"/>
      <c r="J18" s="254"/>
      <c r="K18" s="254"/>
      <c r="L18" s="254"/>
      <c r="M18" s="254"/>
      <c r="N18" s="254"/>
      <c r="O18" s="254"/>
      <c r="P18" s="254"/>
      <c r="Q18" s="254"/>
    </row>
    <row r="19" spans="2:18" x14ac:dyDescent="0.15">
      <c r="E19" s="14"/>
      <c r="F19" s="14"/>
      <c r="G19" s="14"/>
      <c r="H19" s="14"/>
      <c r="I19" s="42"/>
      <c r="J19" s="42"/>
      <c r="K19" s="42"/>
      <c r="L19" s="42"/>
      <c r="M19" s="42"/>
      <c r="N19" s="42"/>
      <c r="O19" s="42"/>
      <c r="P19" s="42"/>
      <c r="Q19" s="42"/>
      <c r="R19" s="254"/>
    </row>
    <row r="20" spans="2:18" x14ac:dyDescent="0.15">
      <c r="B20" s="349" t="s">
        <v>130</v>
      </c>
      <c r="C20" s="349"/>
      <c r="H20" s="45"/>
      <c r="K20" s="45"/>
    </row>
    <row r="21" spans="2:18" ht="18" x14ac:dyDescent="0.25">
      <c r="B21" s="2" t="s">
        <v>131</v>
      </c>
      <c r="C21" s="101">
        <f>Assumptions!D33</f>
        <v>6.2590000000000007E-2</v>
      </c>
      <c r="H21" s="45"/>
    </row>
    <row r="22" spans="2:18" ht="18" x14ac:dyDescent="0.25">
      <c r="B22" s="2" t="s">
        <v>132</v>
      </c>
      <c r="C22" s="101">
        <f>'Market data'!C2490</f>
        <v>0.11535398862244847</v>
      </c>
    </row>
    <row r="23" spans="2:18" x14ac:dyDescent="0.15">
      <c r="B23" s="2" t="s">
        <v>124</v>
      </c>
      <c r="C23" s="102">
        <f>'Equity Beta'!D261</f>
        <v>0.48795369482368689</v>
      </c>
    </row>
    <row r="24" spans="2:18" ht="18" x14ac:dyDescent="0.25">
      <c r="B24" s="2" t="s">
        <v>133</v>
      </c>
      <c r="C24" s="101">
        <f>C22-C21</f>
        <v>5.2763988622448466E-2</v>
      </c>
    </row>
    <row r="26" spans="2:18" s="4" customFormat="1" x14ac:dyDescent="0.15">
      <c r="B26" s="4" t="s">
        <v>134</v>
      </c>
      <c r="C26" s="233">
        <f>C21+C23*C24</f>
        <v>8.8336383201958718E-2</v>
      </c>
    </row>
    <row r="27" spans="2:18" x14ac:dyDescent="0.15">
      <c r="C27" s="42"/>
    </row>
    <row r="29" spans="2:18" x14ac:dyDescent="0.15">
      <c r="B29" s="349" t="s">
        <v>135</v>
      </c>
      <c r="C29" s="349"/>
      <c r="D29" s="349"/>
      <c r="E29" s="349"/>
    </row>
    <row r="30" spans="2:18" s="10" customFormat="1" x14ac:dyDescent="0.15">
      <c r="B30" s="10" t="s">
        <v>0</v>
      </c>
      <c r="C30" s="10" t="s">
        <v>140</v>
      </c>
      <c r="D30" s="10" t="s">
        <v>141</v>
      </c>
      <c r="E30" s="10" t="s">
        <v>142</v>
      </c>
    </row>
    <row r="31" spans="2:18" x14ac:dyDescent="0.15">
      <c r="B31" s="2" t="s">
        <v>136</v>
      </c>
      <c r="C31" s="101">
        <f>C26</f>
        <v>8.8336383201958718E-2</v>
      </c>
      <c r="D31" s="42">
        <f>C35/C37</f>
        <v>0.97442875864607803</v>
      </c>
      <c r="E31" s="101">
        <f>D31*C31</f>
        <v>8.607751222676889E-2</v>
      </c>
    </row>
    <row r="32" spans="2:18" x14ac:dyDescent="0.15">
      <c r="B32" s="2" t="s">
        <v>137</v>
      </c>
      <c r="C32" s="42">
        <f>Assumptions!D34</f>
        <v>0.05</v>
      </c>
      <c r="D32" s="42">
        <f>C36/C37</f>
        <v>2.5571241353921921E-2</v>
      </c>
      <c r="E32" s="101">
        <f>D32*C32</f>
        <v>1.2785620676960961E-3</v>
      </c>
    </row>
    <row r="33" spans="2:5" x14ac:dyDescent="0.15">
      <c r="B33" s="4" t="s">
        <v>135</v>
      </c>
      <c r="E33" s="324">
        <f>SUM(E31:E32)</f>
        <v>8.7356074294464986E-2</v>
      </c>
    </row>
    <row r="34" spans="2:5" x14ac:dyDescent="0.15">
      <c r="B34" s="4"/>
      <c r="E34" s="103"/>
    </row>
    <row r="35" spans="2:5" x14ac:dyDescent="0.15">
      <c r="B35" s="2" t="s">
        <v>138</v>
      </c>
      <c r="C35" s="45">
        <f>Assumptions!D26</f>
        <v>120212.07326737</v>
      </c>
    </row>
    <row r="36" spans="2:5" x14ac:dyDescent="0.15">
      <c r="B36" s="2" t="s">
        <v>139</v>
      </c>
      <c r="C36" s="45">
        <f>'Balance Sheet'!H55+'Balance Sheet'!H66</f>
        <v>3154.64</v>
      </c>
    </row>
    <row r="37" spans="2:5" x14ac:dyDescent="0.15">
      <c r="B37" s="2" t="s">
        <v>143</v>
      </c>
      <c r="C37" s="46">
        <f>SUM(C35:C36)</f>
        <v>123366.71326737</v>
      </c>
    </row>
    <row r="40" spans="2:5" x14ac:dyDescent="0.15">
      <c r="B40" s="349" t="s">
        <v>144</v>
      </c>
      <c r="C40" s="349"/>
    </row>
    <row r="41" spans="2:5" x14ac:dyDescent="0.15">
      <c r="B41" s="2" t="s">
        <v>62</v>
      </c>
      <c r="C41" s="101">
        <f>Assumptions!D32</f>
        <v>0.06</v>
      </c>
    </row>
    <row r="42" spans="2:5" x14ac:dyDescent="0.15">
      <c r="B42" s="2" t="s">
        <v>144</v>
      </c>
      <c r="C42" s="9">
        <f ca="1">Q17*(1+C41)/(E33-C41)</f>
        <v>234379.57692195693</v>
      </c>
    </row>
    <row r="44" spans="2:5" x14ac:dyDescent="0.15">
      <c r="B44" s="349" t="s">
        <v>145</v>
      </c>
      <c r="C44" s="349"/>
    </row>
    <row r="45" spans="2:5" x14ac:dyDescent="0.15">
      <c r="B45" s="2" t="s">
        <v>146</v>
      </c>
      <c r="C45" s="9">
        <f ca="1">NPV(E33,H17:Q17)</f>
        <v>25965.726440045753</v>
      </c>
    </row>
    <row r="46" spans="2:5" x14ac:dyDescent="0.15">
      <c r="B46" s="2" t="s">
        <v>147</v>
      </c>
      <c r="C46" s="9">
        <f ca="1">PV(E33,COUNT(H8:Q8),0,-C42)</f>
        <v>101438.28938973849</v>
      </c>
    </row>
    <row r="48" spans="2:5" x14ac:dyDescent="0.15">
      <c r="B48" s="4" t="s">
        <v>148</v>
      </c>
      <c r="C48" s="46">
        <f ca="1">SUM(C45:C47)</f>
        <v>127404.01582978424</v>
      </c>
    </row>
    <row r="50" spans="2:12" x14ac:dyDescent="0.15">
      <c r="B50" s="2" t="s">
        <v>149</v>
      </c>
      <c r="C50" s="45">
        <f>'Balance Sheet'!H34</f>
        <v>402.78</v>
      </c>
    </row>
    <row r="51" spans="2:12" x14ac:dyDescent="0.15">
      <c r="B51" s="2" t="s">
        <v>150</v>
      </c>
      <c r="C51" s="45">
        <f>C36</f>
        <v>3154.64</v>
      </c>
    </row>
    <row r="52" spans="2:12" x14ac:dyDescent="0.15">
      <c r="B52" s="2" t="s">
        <v>151</v>
      </c>
      <c r="C52" s="45">
        <v>0</v>
      </c>
    </row>
    <row r="53" spans="2:12" x14ac:dyDescent="0.15">
      <c r="B53" s="2" t="s">
        <v>152</v>
      </c>
      <c r="C53" s="9">
        <v>0</v>
      </c>
    </row>
    <row r="54" spans="2:12" x14ac:dyDescent="0.15">
      <c r="F54" s="367" t="s">
        <v>157</v>
      </c>
      <c r="G54" s="367"/>
      <c r="H54" s="367"/>
      <c r="I54" s="367"/>
      <c r="J54" s="367"/>
      <c r="K54" s="367"/>
      <c r="L54" s="367"/>
    </row>
    <row r="55" spans="2:12" s="4" customFormat="1" x14ac:dyDescent="0.15">
      <c r="B55" s="4" t="s">
        <v>138</v>
      </c>
      <c r="C55" s="46">
        <f ca="1">C48+C50-C51-C52-C53</f>
        <v>124652.15582978424</v>
      </c>
    </row>
    <row r="56" spans="2:12" x14ac:dyDescent="0.15">
      <c r="F56" s="32"/>
      <c r="G56" s="32"/>
      <c r="H56" s="349" t="s">
        <v>156</v>
      </c>
      <c r="I56" s="349"/>
      <c r="J56" s="349"/>
      <c r="K56" s="349"/>
      <c r="L56" s="349"/>
    </row>
    <row r="57" spans="2:12" ht="13.75" customHeight="1" x14ac:dyDescent="0.15">
      <c r="B57" s="2" t="s">
        <v>153</v>
      </c>
      <c r="C57" s="104">
        <f>Assumptions!D23</f>
        <v>1022820329</v>
      </c>
      <c r="F57" s="32"/>
      <c r="G57" s="118">
        <f ca="1">C58</f>
        <v>1218.7101907883984</v>
      </c>
      <c r="H57" s="106">
        <v>6.7400000000000002E-2</v>
      </c>
      <c r="I57" s="106">
        <v>7.7399999999999997E-2</v>
      </c>
      <c r="J57" s="106">
        <v>8.7356100000000006E-2</v>
      </c>
      <c r="K57" s="106">
        <v>9.74E-2</v>
      </c>
      <c r="L57" s="106">
        <v>0.1074</v>
      </c>
    </row>
    <row r="58" spans="2:12" ht="15.5" customHeight="1" x14ac:dyDescent="0.15">
      <c r="B58" s="164" t="s">
        <v>154</v>
      </c>
      <c r="C58" s="165">
        <f ca="1">C55*10^7/C57</f>
        <v>1218.7101907883984</v>
      </c>
      <c r="F58" s="400" t="s">
        <v>155</v>
      </c>
      <c r="G58" s="106">
        <v>0.04</v>
      </c>
      <c r="H58" s="107">
        <f t="dataTable" ref="H58:L62" dt2D="1" dtr="1" r1="E33" r2="C41" ca="1"/>
        <v>1423.5648664118667</v>
      </c>
      <c r="I58" s="107">
        <v>1020.433203847125</v>
      </c>
      <c r="J58" s="107">
        <v>789.05183361687966</v>
      </c>
      <c r="K58" s="107">
        <v>637.60629649887699</v>
      </c>
      <c r="L58" s="107">
        <v>532.16567222019364</v>
      </c>
    </row>
    <row r="59" spans="2:12" x14ac:dyDescent="0.15">
      <c r="C59" s="105"/>
      <c r="F59" s="400"/>
      <c r="G59" s="108">
        <v>0.05</v>
      </c>
      <c r="H59" s="109">
        <v>2113.2069045898338</v>
      </c>
      <c r="I59" s="109">
        <v>1315.4545349081318</v>
      </c>
      <c r="J59" s="109">
        <v>946.37211304226707</v>
      </c>
      <c r="K59" s="109">
        <v>731.77215869096642</v>
      </c>
      <c r="L59" s="109">
        <v>593.19742778190505</v>
      </c>
    </row>
    <row r="60" spans="2:12" x14ac:dyDescent="0.15">
      <c r="B60" s="2" t="s">
        <v>229</v>
      </c>
      <c r="C60" s="104">
        <f>Assumptions!D25</f>
        <v>1175.3</v>
      </c>
      <c r="D60" s="45"/>
      <c r="F60" s="400"/>
      <c r="G60" s="106">
        <v>0.06</v>
      </c>
      <c r="H60" s="107">
        <v>4666.7463432487903</v>
      </c>
      <c r="I60" s="107">
        <v>1949.5808442001801</v>
      </c>
      <c r="J60" s="166">
        <v>1218.7089916359473</v>
      </c>
      <c r="K60" s="107">
        <v>876.29409692160596</v>
      </c>
      <c r="L60" s="107">
        <v>679.98097893927547</v>
      </c>
    </row>
    <row r="61" spans="2:12" x14ac:dyDescent="0.15">
      <c r="F61" s="400"/>
      <c r="G61" s="106">
        <v>7.0000000000000007E-2</v>
      </c>
      <c r="H61" s="107">
        <v>-12422.325284699591</v>
      </c>
      <c r="I61" s="107">
        <v>4297.5620434707462</v>
      </c>
      <c r="J61" s="107">
        <v>1804.8685361438374</v>
      </c>
      <c r="K61" s="107">
        <v>1126.3065010140267</v>
      </c>
      <c r="L61" s="107">
        <v>813.17284622358216</v>
      </c>
    </row>
    <row r="62" spans="2:12" x14ac:dyDescent="0.15">
      <c r="B62" s="2" t="s">
        <v>335</v>
      </c>
      <c r="C62" s="14">
        <f ca="1">(C58-C60)/C60</f>
        <v>3.6935412905980174E-2</v>
      </c>
      <c r="F62" s="400"/>
      <c r="G62" s="106">
        <v>0.08</v>
      </c>
      <c r="H62" s="107">
        <v>-2385.8863920949975</v>
      </c>
      <c r="I62" s="107">
        <v>-11415.850597801442</v>
      </c>
      <c r="J62" s="107">
        <v>3984.6974013730041</v>
      </c>
      <c r="K62" s="107">
        <v>1663.6894845230224</v>
      </c>
      <c r="L62" s="107">
        <v>1043.5850545913243</v>
      </c>
    </row>
  </sheetData>
  <mergeCells count="11">
    <mergeCell ref="B7:Q7"/>
    <mergeCell ref="P6:Q6"/>
    <mergeCell ref="B44:C44"/>
    <mergeCell ref="F58:F62"/>
    <mergeCell ref="H56:L56"/>
    <mergeCell ref="F54:L54"/>
    <mergeCell ref="K6:L6"/>
    <mergeCell ref="B8:B9"/>
    <mergeCell ref="B20:C20"/>
    <mergeCell ref="B29:E29"/>
    <mergeCell ref="B40:C40"/>
  </mergeCells>
  <pageMargins left="0.7" right="0.7" top="0.75" bottom="0.75" header="0.3" footer="0.3"/>
  <pageSetup orientation="portrait" r:id="rId1"/>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D4D6B7C0-62F4-DF48-B0B5-AD49135FAF04}">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18</vt:i4>
      </vt:variant>
    </vt:vector>
  </HeadingPairs>
  <TitlesOfParts>
    <vt:vector size="18" baseType="lpstr">
      <vt:lpstr>Assumptions</vt:lpstr>
      <vt:lpstr>P&amp;L Input</vt:lpstr>
      <vt:lpstr>BS Input</vt:lpstr>
      <vt:lpstr>Common Sizing</vt:lpstr>
      <vt:lpstr>Revenue Buildup</vt:lpstr>
      <vt:lpstr>Cost Buildup</vt:lpstr>
      <vt:lpstr>FAS</vt:lpstr>
      <vt:lpstr>BS items </vt:lpstr>
      <vt:lpstr>Working Capital</vt:lpstr>
      <vt:lpstr>Income Statement</vt:lpstr>
      <vt:lpstr>Balance Sheet</vt:lpstr>
      <vt:lpstr>Cash Flows</vt:lpstr>
      <vt:lpstr>Ratio Analysis</vt:lpstr>
      <vt:lpstr>Standard Income Statement</vt:lpstr>
      <vt:lpstr>Charts</vt:lpstr>
      <vt:lpstr>Equity Beta</vt:lpstr>
      <vt:lpstr>Market data</vt:lpstr>
      <vt:lpstr>DCF Valuation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Sameer Raj</dc:creator>
  <cp:lastModifiedBy>.</cp:lastModifiedBy>
  <dcterms:created xsi:type="dcterms:W3CDTF">2006-09-16T00:00:00Z</dcterms:created>
  <dcterms:modified xsi:type="dcterms:W3CDTF">2025-07-06T06:56:06Z</dcterms:modified>
</cp:coreProperties>
</file>