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3.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1"/>
  <workbookPr codeName="ThisWorkbook" defaultThemeVersion="124226"/>
  <mc:AlternateContent xmlns:mc="http://schemas.openxmlformats.org/markup-compatibility/2006">
    <mc:Choice Requires="x15">
      <x15ac:absPath xmlns:x15ac="http://schemas.microsoft.com/office/spreadsheetml/2010/11/ac" url="/Users/fin_guy/Downloads/Excel Files/"/>
    </mc:Choice>
  </mc:AlternateContent>
  <xr:revisionPtr revIDLastSave="0" documentId="13_ncr:1_{2E553A32-B687-8344-8CAE-98FD5128594A}" xr6:coauthVersionLast="47" xr6:coauthVersionMax="47" xr10:uidLastSave="{00000000-0000-0000-0000-000000000000}"/>
  <bookViews>
    <workbookView xWindow="0" yWindow="620" windowWidth="28800" windowHeight="15700" tabRatio="959" firstSheet="10" activeTab="20" xr2:uid="{00000000-000D-0000-FFFF-FFFF00000000}"/>
  </bookViews>
  <sheets>
    <sheet name="Assumptions" sheetId="1" r:id="rId1"/>
    <sheet name="P&amp;L Input" sheetId="2" r:id="rId2"/>
    <sheet name="BS Input" sheetId="3" r:id="rId3"/>
    <sheet name="CF Input" sheetId="29" r:id="rId4"/>
    <sheet name="Common Sizing" sheetId="4" r:id="rId5"/>
    <sheet name="Revenue Buildup" sheetId="5" r:id="rId6"/>
    <sheet name="Cost Buildup" sheetId="6" r:id="rId7"/>
    <sheet name="FAS" sheetId="13" r:id="rId8"/>
    <sheet name="BS items " sheetId="14" r:id="rId9"/>
    <sheet name="Working Capital" sheetId="7" r:id="rId10"/>
    <sheet name="Income Statement" sheetId="8" r:id="rId11"/>
    <sheet name="Balance Sheet" sheetId="9" r:id="rId12"/>
    <sheet name="Ratio Analysis" sheetId="16" r:id="rId13"/>
    <sheet name="Cash Flows" sheetId="10" r:id="rId14"/>
    <sheet name="Standard Income Statement" sheetId="18" r:id="rId15"/>
    <sheet name="Charts" sheetId="17" r:id="rId16"/>
    <sheet name="Equity Beta" sheetId="11" r:id="rId17"/>
    <sheet name="Market data" sheetId="15" r:id="rId18"/>
    <sheet name="Comps Data" sheetId="25" r:id="rId19"/>
    <sheet name="COMPS" sheetId="19" r:id="rId20"/>
    <sheet name="DCF Valuation" sheetId="12" r:id="rId21"/>
  </sheets>
  <definedNames>
    <definedName name="_xlnm._FilterDatabase" localSheetId="16" hidden="1">'Equity Beta'!$B$7:$F$7</definedName>
    <definedName name="_xlnm._FilterDatabase" localSheetId="17" hidden="1">'Market data'!$B$7:$D$7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12" l="1"/>
  <c r="E15" i="12"/>
  <c r="F15" i="12"/>
  <c r="G15" i="12"/>
  <c r="H15" i="12"/>
  <c r="I15" i="12"/>
  <c r="J15" i="12"/>
  <c r="K15" i="12"/>
  <c r="L15" i="12"/>
  <c r="M15" i="12"/>
  <c r="N15" i="12"/>
  <c r="O15" i="12"/>
  <c r="P15" i="12"/>
  <c r="Q15" i="12"/>
  <c r="C2489" i="15" l="1"/>
  <c r="C2491" i="15" s="1"/>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953" i="15"/>
  <c r="D954" i="15"/>
  <c r="D955"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1333" i="15"/>
  <c r="D1334" i="15"/>
  <c r="D1335" i="15"/>
  <c r="D1336" i="15"/>
  <c r="D1337" i="15"/>
  <c r="D1338" i="15"/>
  <c r="D1339" i="15"/>
  <c r="D1340" i="15"/>
  <c r="D1341" i="15"/>
  <c r="D1342" i="15"/>
  <c r="D1343" i="15"/>
  <c r="D1344" i="15"/>
  <c r="D1345" i="15"/>
  <c r="D1346" i="15"/>
  <c r="D1347" i="15"/>
  <c r="D1348" i="15"/>
  <c r="D1349" i="15"/>
  <c r="D1350" i="15"/>
  <c r="D1351" i="15"/>
  <c r="D1352" i="15"/>
  <c r="D1353" i="15"/>
  <c r="D1354" i="15"/>
  <c r="D1355" i="15"/>
  <c r="D1356" i="15"/>
  <c r="D1357" i="15"/>
  <c r="D1358" i="15"/>
  <c r="D1359" i="15"/>
  <c r="D1360" i="15"/>
  <c r="D1361" i="15"/>
  <c r="D1362" i="15"/>
  <c r="D1363" i="15"/>
  <c r="D1364" i="15"/>
  <c r="D1365" i="15"/>
  <c r="D1366" i="15"/>
  <c r="D1367" i="15"/>
  <c r="D1368" i="15"/>
  <c r="D1369" i="15"/>
  <c r="D1370" i="15"/>
  <c r="D1371" i="15"/>
  <c r="D1372" i="15"/>
  <c r="D1373" i="15"/>
  <c r="D1374" i="15"/>
  <c r="D1375" i="15"/>
  <c r="D1376" i="15"/>
  <c r="D1377" i="15"/>
  <c r="D1378" i="15"/>
  <c r="D1379" i="15"/>
  <c r="D1380" i="15"/>
  <c r="D1381" i="15"/>
  <c r="D1382" i="15"/>
  <c r="D1383" i="15"/>
  <c r="D1384" i="15"/>
  <c r="D1385" i="15"/>
  <c r="D1386" i="15"/>
  <c r="D1387" i="15"/>
  <c r="D1388" i="15"/>
  <c r="D1389" i="15"/>
  <c r="D1390" i="15"/>
  <c r="D1391" i="15"/>
  <c r="D1392" i="15"/>
  <c r="D1393" i="15"/>
  <c r="D1394" i="15"/>
  <c r="D1395" i="15"/>
  <c r="D1396" i="15"/>
  <c r="D1397" i="15"/>
  <c r="D1398" i="15"/>
  <c r="D1399" i="15"/>
  <c r="D1400" i="15"/>
  <c r="D1401" i="15"/>
  <c r="D1402" i="15"/>
  <c r="D1403" i="15"/>
  <c r="D1404" i="15"/>
  <c r="D1405" i="15"/>
  <c r="D1406" i="15"/>
  <c r="D1407" i="15"/>
  <c r="D1408" i="15"/>
  <c r="D1409" i="15"/>
  <c r="D1410" i="15"/>
  <c r="D1411" i="15"/>
  <c r="D1412" i="15"/>
  <c r="D1413" i="15"/>
  <c r="D1414" i="15"/>
  <c r="D1415" i="15"/>
  <c r="D1416" i="15"/>
  <c r="D1417" i="15"/>
  <c r="D1418" i="15"/>
  <c r="D1419" i="15"/>
  <c r="D1420" i="15"/>
  <c r="D1421" i="15"/>
  <c r="D1422" i="15"/>
  <c r="D1423" i="15"/>
  <c r="D1424" i="15"/>
  <c r="D1425" i="15"/>
  <c r="D1426" i="15"/>
  <c r="D1427" i="15"/>
  <c r="D1428" i="15"/>
  <c r="D1429" i="15"/>
  <c r="D1430" i="15"/>
  <c r="D1431" i="15"/>
  <c r="D1432" i="15"/>
  <c r="D1433" i="15"/>
  <c r="D1434" i="15"/>
  <c r="D1435" i="15"/>
  <c r="D1436" i="15"/>
  <c r="D1437" i="15"/>
  <c r="D1438" i="15"/>
  <c r="D1439" i="15"/>
  <c r="D1440" i="15"/>
  <c r="D1441" i="15"/>
  <c r="D1442" i="15"/>
  <c r="D1443" i="15"/>
  <c r="D1444" i="15"/>
  <c r="D1445" i="15"/>
  <c r="D1446" i="15"/>
  <c r="D1447" i="15"/>
  <c r="D1448" i="15"/>
  <c r="D1449" i="15"/>
  <c r="D1450" i="15"/>
  <c r="D1451" i="15"/>
  <c r="D1452" i="15"/>
  <c r="D1453" i="15"/>
  <c r="D1454" i="15"/>
  <c r="D1455" i="15"/>
  <c r="D1456" i="15"/>
  <c r="D1457" i="15"/>
  <c r="D1458" i="15"/>
  <c r="D1459" i="15"/>
  <c r="D1460" i="15"/>
  <c r="D1461" i="15"/>
  <c r="D1462" i="15"/>
  <c r="D1463" i="15"/>
  <c r="D1464" i="15"/>
  <c r="D1465" i="15"/>
  <c r="D1466" i="15"/>
  <c r="D1467" i="15"/>
  <c r="D1468" i="15"/>
  <c r="D1469" i="15"/>
  <c r="D1470" i="15"/>
  <c r="D1471" i="15"/>
  <c r="D1472" i="15"/>
  <c r="D1473" i="15"/>
  <c r="D1474" i="15"/>
  <c r="D1475" i="15"/>
  <c r="D1476" i="15"/>
  <c r="D1477" i="15"/>
  <c r="D1478" i="15"/>
  <c r="D1479" i="15"/>
  <c r="D1480" i="15"/>
  <c r="D1481" i="15"/>
  <c r="D1482" i="15"/>
  <c r="D1483" i="15"/>
  <c r="D1484" i="15"/>
  <c r="D1485" i="15"/>
  <c r="D1486" i="15"/>
  <c r="D1487" i="15"/>
  <c r="D1488" i="15"/>
  <c r="D1489" i="15"/>
  <c r="D1490" i="15"/>
  <c r="D1491" i="15"/>
  <c r="D1492" i="15"/>
  <c r="D1493" i="15"/>
  <c r="D1494" i="15"/>
  <c r="D1495" i="15"/>
  <c r="D1496" i="15"/>
  <c r="D1497" i="15"/>
  <c r="D1498" i="15"/>
  <c r="D1499" i="15"/>
  <c r="D1500" i="15"/>
  <c r="D1501" i="15"/>
  <c r="D1502" i="15"/>
  <c r="D1503" i="15"/>
  <c r="D1504" i="15"/>
  <c r="D1505" i="15"/>
  <c r="D1506" i="15"/>
  <c r="D1507" i="15"/>
  <c r="D1508" i="15"/>
  <c r="D1509" i="15"/>
  <c r="D1510" i="15"/>
  <c r="D1511" i="15"/>
  <c r="D1512" i="15"/>
  <c r="D1513" i="15"/>
  <c r="D1514" i="15"/>
  <c r="D1515" i="15"/>
  <c r="D1516" i="15"/>
  <c r="D1517" i="15"/>
  <c r="D1518" i="15"/>
  <c r="D1519" i="15"/>
  <c r="D1520" i="15"/>
  <c r="D1521" i="15"/>
  <c r="D1522" i="15"/>
  <c r="D1523" i="15"/>
  <c r="D1524" i="15"/>
  <c r="D1525" i="15"/>
  <c r="D1526" i="15"/>
  <c r="D1527" i="15"/>
  <c r="D1528" i="15"/>
  <c r="D1529" i="15"/>
  <c r="D1530" i="15"/>
  <c r="D1531" i="15"/>
  <c r="D1532" i="15"/>
  <c r="D1533" i="15"/>
  <c r="D1534" i="15"/>
  <c r="D1535" i="15"/>
  <c r="D1536" i="15"/>
  <c r="D1537" i="15"/>
  <c r="D1538" i="15"/>
  <c r="D1539" i="15"/>
  <c r="D1540" i="15"/>
  <c r="D1541" i="15"/>
  <c r="D1542" i="15"/>
  <c r="D1543" i="15"/>
  <c r="D1544" i="15"/>
  <c r="D1545" i="15"/>
  <c r="D1546" i="15"/>
  <c r="D1547" i="15"/>
  <c r="D1548" i="15"/>
  <c r="D1549" i="15"/>
  <c r="D1550" i="15"/>
  <c r="D1551" i="15"/>
  <c r="D1552" i="15"/>
  <c r="D1553" i="15"/>
  <c r="D1554" i="15"/>
  <c r="D1555" i="15"/>
  <c r="D1556" i="15"/>
  <c r="D1557" i="15"/>
  <c r="D1558" i="15"/>
  <c r="D1559" i="15"/>
  <c r="D1560" i="15"/>
  <c r="D1561" i="15"/>
  <c r="D1562" i="15"/>
  <c r="D1563" i="15"/>
  <c r="D1564" i="15"/>
  <c r="D1565" i="15"/>
  <c r="D1566" i="15"/>
  <c r="D1567" i="15"/>
  <c r="D1568" i="15"/>
  <c r="D1569" i="15"/>
  <c r="D1570" i="15"/>
  <c r="D1571" i="15"/>
  <c r="D1572" i="15"/>
  <c r="D1573" i="15"/>
  <c r="D1574" i="15"/>
  <c r="D1575" i="15"/>
  <c r="D1576" i="15"/>
  <c r="D1577" i="15"/>
  <c r="D1578" i="15"/>
  <c r="D1579" i="15"/>
  <c r="D1580" i="15"/>
  <c r="D1581" i="15"/>
  <c r="D1582" i="15"/>
  <c r="D1583" i="15"/>
  <c r="D1584" i="15"/>
  <c r="D1585" i="15"/>
  <c r="D1586" i="15"/>
  <c r="D1587" i="15"/>
  <c r="D1588" i="15"/>
  <c r="D1589" i="15"/>
  <c r="D1590" i="15"/>
  <c r="D1591" i="15"/>
  <c r="D1592" i="15"/>
  <c r="D1593" i="15"/>
  <c r="D1594" i="15"/>
  <c r="D1595" i="15"/>
  <c r="D1596" i="15"/>
  <c r="D1597" i="15"/>
  <c r="D1598" i="15"/>
  <c r="D1599" i="15"/>
  <c r="D1600" i="15"/>
  <c r="D1601" i="15"/>
  <c r="D1602" i="15"/>
  <c r="D1603" i="15"/>
  <c r="D1604" i="15"/>
  <c r="D1605" i="15"/>
  <c r="D1606" i="15"/>
  <c r="D1607" i="15"/>
  <c r="D1608" i="15"/>
  <c r="D1609" i="15"/>
  <c r="D1610" i="15"/>
  <c r="D1611" i="15"/>
  <c r="D1612" i="15"/>
  <c r="D1613" i="15"/>
  <c r="D1614" i="15"/>
  <c r="D1615" i="15"/>
  <c r="D1616" i="15"/>
  <c r="D1617" i="15"/>
  <c r="D1618" i="15"/>
  <c r="D1619" i="15"/>
  <c r="D1620" i="15"/>
  <c r="D1621" i="15"/>
  <c r="D1622" i="15"/>
  <c r="D1623" i="15"/>
  <c r="D1624" i="15"/>
  <c r="D1625" i="15"/>
  <c r="D1626" i="15"/>
  <c r="D1627" i="15"/>
  <c r="D1628" i="15"/>
  <c r="D1629" i="15"/>
  <c r="D1630" i="15"/>
  <c r="D1631" i="15"/>
  <c r="D1632" i="15"/>
  <c r="D1633" i="15"/>
  <c r="D1634" i="15"/>
  <c r="D1635" i="15"/>
  <c r="D1636" i="15"/>
  <c r="D1637" i="15"/>
  <c r="D1638" i="15"/>
  <c r="D1639" i="15"/>
  <c r="D1640" i="15"/>
  <c r="D1641" i="15"/>
  <c r="D1642" i="15"/>
  <c r="D1643" i="15"/>
  <c r="D1644" i="15"/>
  <c r="D1645" i="15"/>
  <c r="D1646" i="15"/>
  <c r="D1647" i="15"/>
  <c r="D1648" i="15"/>
  <c r="D1649" i="15"/>
  <c r="D1650" i="15"/>
  <c r="D1651" i="15"/>
  <c r="D1652" i="15"/>
  <c r="D1653" i="15"/>
  <c r="D1654" i="15"/>
  <c r="D1655" i="15"/>
  <c r="D1656" i="15"/>
  <c r="D1657" i="15"/>
  <c r="D1658" i="15"/>
  <c r="D1659" i="15"/>
  <c r="D1660" i="15"/>
  <c r="D1661" i="15"/>
  <c r="D1662" i="15"/>
  <c r="D1663" i="15"/>
  <c r="D1664" i="15"/>
  <c r="D1665" i="15"/>
  <c r="D1666" i="15"/>
  <c r="D1667" i="15"/>
  <c r="D1668" i="15"/>
  <c r="D1669" i="15"/>
  <c r="D1670" i="15"/>
  <c r="D1671" i="15"/>
  <c r="D1672" i="15"/>
  <c r="D1673" i="15"/>
  <c r="D1674" i="15"/>
  <c r="D1675" i="15"/>
  <c r="D1676" i="15"/>
  <c r="D1677" i="15"/>
  <c r="D1678" i="15"/>
  <c r="D1679" i="15"/>
  <c r="D1680" i="15"/>
  <c r="D1681" i="15"/>
  <c r="D1682" i="15"/>
  <c r="D1683" i="15"/>
  <c r="D1684" i="15"/>
  <c r="D1685" i="15"/>
  <c r="D1686" i="15"/>
  <c r="D1687" i="15"/>
  <c r="D1688" i="15"/>
  <c r="D1689" i="15"/>
  <c r="D1690" i="15"/>
  <c r="D1691" i="15"/>
  <c r="D1692" i="15"/>
  <c r="D1693" i="15"/>
  <c r="D1694" i="15"/>
  <c r="D1695" i="15"/>
  <c r="D1696" i="15"/>
  <c r="D1697" i="15"/>
  <c r="D1698" i="15"/>
  <c r="D1699" i="15"/>
  <c r="D1700" i="15"/>
  <c r="D1701" i="15"/>
  <c r="D1702" i="15"/>
  <c r="D1703" i="15"/>
  <c r="D1704" i="15"/>
  <c r="D1705" i="15"/>
  <c r="D1706" i="15"/>
  <c r="D1707" i="15"/>
  <c r="D1708" i="15"/>
  <c r="D1709" i="15"/>
  <c r="D1710" i="15"/>
  <c r="D1711" i="15"/>
  <c r="D1712" i="15"/>
  <c r="D1713" i="15"/>
  <c r="D1714" i="15"/>
  <c r="D1715" i="15"/>
  <c r="D1716" i="15"/>
  <c r="D1717" i="15"/>
  <c r="D1718" i="15"/>
  <c r="D1719" i="15"/>
  <c r="D1720" i="15"/>
  <c r="D1721" i="15"/>
  <c r="D1722" i="15"/>
  <c r="D1723" i="15"/>
  <c r="D1724" i="15"/>
  <c r="D1725" i="15"/>
  <c r="D1726" i="15"/>
  <c r="D1727" i="15"/>
  <c r="D1728" i="15"/>
  <c r="D1729" i="15"/>
  <c r="D1730" i="15"/>
  <c r="D1731" i="15"/>
  <c r="D1732" i="15"/>
  <c r="D1733" i="15"/>
  <c r="D1734" i="15"/>
  <c r="D1735" i="15"/>
  <c r="D1736" i="15"/>
  <c r="D1737" i="15"/>
  <c r="D1738" i="15"/>
  <c r="D1739" i="15"/>
  <c r="D1740" i="15"/>
  <c r="D1741" i="15"/>
  <c r="D1742" i="15"/>
  <c r="D1743" i="15"/>
  <c r="D1744" i="15"/>
  <c r="D1745" i="15"/>
  <c r="D1746" i="15"/>
  <c r="D1747" i="15"/>
  <c r="D1748" i="15"/>
  <c r="D1749" i="15"/>
  <c r="D1750" i="15"/>
  <c r="D1751" i="15"/>
  <c r="D1752" i="15"/>
  <c r="D1753" i="15"/>
  <c r="D1754" i="15"/>
  <c r="D1755" i="15"/>
  <c r="D1756" i="15"/>
  <c r="D1757" i="15"/>
  <c r="D1758" i="15"/>
  <c r="D1759" i="15"/>
  <c r="D1760" i="15"/>
  <c r="D1761" i="15"/>
  <c r="D1762" i="15"/>
  <c r="D1763" i="15"/>
  <c r="D1764" i="15"/>
  <c r="D1765" i="15"/>
  <c r="D1766" i="15"/>
  <c r="D1767" i="15"/>
  <c r="D1768" i="15"/>
  <c r="D1769" i="15"/>
  <c r="D1770" i="15"/>
  <c r="D1771" i="15"/>
  <c r="D1772" i="15"/>
  <c r="D1773" i="15"/>
  <c r="D1774" i="15"/>
  <c r="D1775" i="15"/>
  <c r="D1776" i="15"/>
  <c r="D1777" i="15"/>
  <c r="D1778" i="15"/>
  <c r="D1779" i="15"/>
  <c r="D1780" i="15"/>
  <c r="D1781" i="15"/>
  <c r="D1782" i="15"/>
  <c r="D1783" i="15"/>
  <c r="D1784" i="15"/>
  <c r="D1785" i="15"/>
  <c r="D1786" i="15"/>
  <c r="D1787" i="15"/>
  <c r="D1788" i="15"/>
  <c r="D1789" i="15"/>
  <c r="D1790" i="15"/>
  <c r="D1791" i="15"/>
  <c r="D1792" i="15"/>
  <c r="D1793" i="15"/>
  <c r="D1794" i="15"/>
  <c r="D1795" i="15"/>
  <c r="D1796" i="15"/>
  <c r="D1797" i="15"/>
  <c r="D1798" i="15"/>
  <c r="D1799" i="15"/>
  <c r="D1800" i="15"/>
  <c r="D1801" i="15"/>
  <c r="D1802" i="15"/>
  <c r="D1803" i="15"/>
  <c r="D1804" i="15"/>
  <c r="D1805" i="15"/>
  <c r="D1806" i="15"/>
  <c r="D1807" i="15"/>
  <c r="D1808" i="15"/>
  <c r="D1809" i="15"/>
  <c r="D1810" i="15"/>
  <c r="D1811" i="15"/>
  <c r="D1812" i="15"/>
  <c r="D1813" i="15"/>
  <c r="D1814" i="15"/>
  <c r="D1815" i="15"/>
  <c r="D1816" i="15"/>
  <c r="D1817" i="15"/>
  <c r="D1818" i="15"/>
  <c r="D1819" i="15"/>
  <c r="D1820" i="15"/>
  <c r="D1821" i="15"/>
  <c r="D1822" i="15"/>
  <c r="D1823" i="15"/>
  <c r="D1824" i="15"/>
  <c r="D1825" i="15"/>
  <c r="D1826" i="15"/>
  <c r="D1827" i="15"/>
  <c r="D1828" i="15"/>
  <c r="D1829" i="15"/>
  <c r="D1830" i="15"/>
  <c r="D1831" i="15"/>
  <c r="D1832" i="15"/>
  <c r="D1833" i="15"/>
  <c r="D1834" i="15"/>
  <c r="D1835" i="15"/>
  <c r="D1836" i="15"/>
  <c r="D1837" i="15"/>
  <c r="D1838" i="15"/>
  <c r="D1839" i="15"/>
  <c r="D1840" i="15"/>
  <c r="D1841" i="15"/>
  <c r="D1842" i="15"/>
  <c r="D1843" i="15"/>
  <c r="D1844" i="15"/>
  <c r="D1845" i="15"/>
  <c r="D1846" i="15"/>
  <c r="D1847" i="15"/>
  <c r="D1848" i="15"/>
  <c r="D1849" i="15"/>
  <c r="D1850" i="15"/>
  <c r="D1851" i="15"/>
  <c r="D1852" i="15"/>
  <c r="D1853" i="15"/>
  <c r="D1854" i="15"/>
  <c r="D1855" i="15"/>
  <c r="D1856" i="15"/>
  <c r="D1857" i="15"/>
  <c r="D1858" i="15"/>
  <c r="D1859" i="15"/>
  <c r="D1860" i="15"/>
  <c r="D1861" i="15"/>
  <c r="D1862" i="15"/>
  <c r="D1863" i="15"/>
  <c r="D1864" i="15"/>
  <c r="D1865" i="15"/>
  <c r="D1866" i="15"/>
  <c r="D1867" i="15"/>
  <c r="D1868" i="15"/>
  <c r="D1869" i="15"/>
  <c r="D1870" i="15"/>
  <c r="D1871" i="15"/>
  <c r="D1872" i="15"/>
  <c r="D1873" i="15"/>
  <c r="D1874" i="15"/>
  <c r="D1875" i="15"/>
  <c r="D1876" i="15"/>
  <c r="D1877" i="15"/>
  <c r="D1878" i="15"/>
  <c r="D1879" i="15"/>
  <c r="D1880" i="15"/>
  <c r="D1881" i="15"/>
  <c r="D1882" i="15"/>
  <c r="D1883" i="15"/>
  <c r="D1884" i="15"/>
  <c r="D1885" i="15"/>
  <c r="D1886" i="15"/>
  <c r="D1887" i="15"/>
  <c r="D1888" i="15"/>
  <c r="D1889" i="15"/>
  <c r="D1890" i="15"/>
  <c r="D1891" i="15"/>
  <c r="D1892" i="15"/>
  <c r="D1893" i="15"/>
  <c r="D1894" i="15"/>
  <c r="D1895" i="15"/>
  <c r="D1896" i="15"/>
  <c r="D1897" i="15"/>
  <c r="D1898" i="15"/>
  <c r="D1899" i="15"/>
  <c r="D1900" i="15"/>
  <c r="D1901" i="15"/>
  <c r="D1902" i="15"/>
  <c r="D1903" i="15"/>
  <c r="D1904" i="15"/>
  <c r="D1905" i="15"/>
  <c r="D1906" i="15"/>
  <c r="D1907" i="15"/>
  <c r="D1908" i="15"/>
  <c r="D1909" i="15"/>
  <c r="D1910" i="15"/>
  <c r="D1911" i="15"/>
  <c r="D1912" i="15"/>
  <c r="D1913" i="15"/>
  <c r="D1914" i="15"/>
  <c r="D1915" i="15"/>
  <c r="D1916" i="15"/>
  <c r="D1917" i="15"/>
  <c r="D1918" i="15"/>
  <c r="D1919" i="15"/>
  <c r="D1920" i="15"/>
  <c r="D1921" i="15"/>
  <c r="D1922" i="15"/>
  <c r="D1923" i="15"/>
  <c r="D1924" i="15"/>
  <c r="D1925" i="15"/>
  <c r="D1926" i="15"/>
  <c r="D1927" i="15"/>
  <c r="D1928" i="15"/>
  <c r="D1929" i="15"/>
  <c r="D1930" i="15"/>
  <c r="D1931" i="15"/>
  <c r="D1932" i="15"/>
  <c r="D1933" i="15"/>
  <c r="D1934" i="15"/>
  <c r="D1935" i="15"/>
  <c r="D1936" i="15"/>
  <c r="D1937" i="15"/>
  <c r="D1938" i="15"/>
  <c r="D1939" i="15"/>
  <c r="D1940" i="15"/>
  <c r="D1941" i="15"/>
  <c r="D1942" i="15"/>
  <c r="D1943" i="15"/>
  <c r="D1944" i="15"/>
  <c r="D1945" i="15"/>
  <c r="D1946" i="15"/>
  <c r="D1947" i="15"/>
  <c r="D1948" i="15"/>
  <c r="D1949" i="15"/>
  <c r="D1950" i="15"/>
  <c r="D1951" i="15"/>
  <c r="D1952" i="15"/>
  <c r="D1953" i="15"/>
  <c r="D1954" i="15"/>
  <c r="D1955" i="15"/>
  <c r="D1956" i="15"/>
  <c r="D1957" i="15"/>
  <c r="D1958" i="15"/>
  <c r="D1959" i="15"/>
  <c r="D1960" i="15"/>
  <c r="D1961" i="15"/>
  <c r="D1962" i="15"/>
  <c r="D1963" i="15"/>
  <c r="D1964" i="15"/>
  <c r="D1965" i="15"/>
  <c r="D1966" i="15"/>
  <c r="D1967" i="15"/>
  <c r="D1968" i="15"/>
  <c r="D1969" i="15"/>
  <c r="D1970" i="15"/>
  <c r="D1971" i="15"/>
  <c r="D1972" i="15"/>
  <c r="D1973" i="15"/>
  <c r="D1974" i="15"/>
  <c r="D1975" i="15"/>
  <c r="D1976" i="15"/>
  <c r="D1977" i="15"/>
  <c r="D1978" i="15"/>
  <c r="D1979" i="15"/>
  <c r="D1980" i="15"/>
  <c r="D1981" i="15"/>
  <c r="D1982" i="15"/>
  <c r="D1983" i="15"/>
  <c r="D1984" i="15"/>
  <c r="D1985" i="15"/>
  <c r="D1986" i="15"/>
  <c r="D1987" i="15"/>
  <c r="D1988" i="15"/>
  <c r="D1989" i="15"/>
  <c r="D1990" i="15"/>
  <c r="D1991" i="15"/>
  <c r="D1992" i="15"/>
  <c r="D1993" i="15"/>
  <c r="D1994" i="15"/>
  <c r="D1995" i="15"/>
  <c r="D1996" i="15"/>
  <c r="D1997" i="15"/>
  <c r="D1998" i="15"/>
  <c r="D1999" i="15"/>
  <c r="D2000" i="15"/>
  <c r="D2001" i="15"/>
  <c r="D2002" i="15"/>
  <c r="D2003" i="15"/>
  <c r="D2004" i="15"/>
  <c r="D2005" i="15"/>
  <c r="D2006" i="15"/>
  <c r="D2007" i="15"/>
  <c r="D2008" i="15"/>
  <c r="D2009" i="15"/>
  <c r="D2010" i="15"/>
  <c r="D2011" i="15"/>
  <c r="D2012" i="15"/>
  <c r="D2013" i="15"/>
  <c r="D2014" i="15"/>
  <c r="D2015" i="15"/>
  <c r="D2016" i="15"/>
  <c r="D2017" i="15"/>
  <c r="D2018" i="15"/>
  <c r="D2019" i="15"/>
  <c r="D2020" i="15"/>
  <c r="D2021" i="15"/>
  <c r="D2022" i="15"/>
  <c r="D2023" i="15"/>
  <c r="D2024" i="15"/>
  <c r="D2025" i="15"/>
  <c r="D2026" i="15"/>
  <c r="D2027" i="15"/>
  <c r="D2028" i="15"/>
  <c r="D2029" i="15"/>
  <c r="D2030" i="15"/>
  <c r="D2031" i="15"/>
  <c r="D2032" i="15"/>
  <c r="D2033" i="15"/>
  <c r="D2034" i="15"/>
  <c r="D2035" i="15"/>
  <c r="D2036" i="15"/>
  <c r="D2037" i="15"/>
  <c r="D2038" i="15"/>
  <c r="D2039" i="15"/>
  <c r="D2040" i="15"/>
  <c r="D2041" i="15"/>
  <c r="D2042" i="15"/>
  <c r="D2043" i="15"/>
  <c r="D2044" i="15"/>
  <c r="D2045" i="15"/>
  <c r="D2046" i="15"/>
  <c r="D2047" i="15"/>
  <c r="D2048" i="15"/>
  <c r="D2049" i="15"/>
  <c r="D2050" i="15"/>
  <c r="D2051" i="15"/>
  <c r="D2052" i="15"/>
  <c r="D2053" i="15"/>
  <c r="D2054" i="15"/>
  <c r="D2055" i="15"/>
  <c r="D2056" i="15"/>
  <c r="D2057" i="15"/>
  <c r="D2058" i="15"/>
  <c r="D2059" i="15"/>
  <c r="D2060" i="15"/>
  <c r="D2061" i="15"/>
  <c r="D2062" i="15"/>
  <c r="D2063" i="15"/>
  <c r="D2064" i="15"/>
  <c r="D2065" i="15"/>
  <c r="D2066" i="15"/>
  <c r="D2067" i="15"/>
  <c r="D2068" i="15"/>
  <c r="D2069" i="15"/>
  <c r="D2070" i="15"/>
  <c r="D2071" i="15"/>
  <c r="D2072" i="15"/>
  <c r="D2073" i="15"/>
  <c r="D2074" i="15"/>
  <c r="D2075" i="15"/>
  <c r="D2076" i="15"/>
  <c r="D2077" i="15"/>
  <c r="D2078" i="15"/>
  <c r="D2079" i="15"/>
  <c r="D2080" i="15"/>
  <c r="D2081" i="15"/>
  <c r="D2082" i="15"/>
  <c r="D2083" i="15"/>
  <c r="D2084" i="15"/>
  <c r="D2085" i="15"/>
  <c r="D2086" i="15"/>
  <c r="D2087" i="15"/>
  <c r="D2088" i="15"/>
  <c r="D2089" i="15"/>
  <c r="D2090" i="15"/>
  <c r="D2091" i="15"/>
  <c r="D2092" i="15"/>
  <c r="D2093" i="15"/>
  <c r="D2094" i="15"/>
  <c r="D2095" i="15"/>
  <c r="D2096" i="15"/>
  <c r="D2097" i="15"/>
  <c r="D2098" i="15"/>
  <c r="D2099" i="15"/>
  <c r="D2100" i="15"/>
  <c r="D2101" i="15"/>
  <c r="D2102" i="15"/>
  <c r="D2103" i="15"/>
  <c r="D2104" i="15"/>
  <c r="D2105" i="15"/>
  <c r="D2106" i="15"/>
  <c r="D2107" i="15"/>
  <c r="D2108" i="15"/>
  <c r="D2109" i="15"/>
  <c r="D2110" i="15"/>
  <c r="D2111" i="15"/>
  <c r="D2112" i="15"/>
  <c r="D2113" i="15"/>
  <c r="D2114" i="15"/>
  <c r="D2115" i="15"/>
  <c r="D2116" i="15"/>
  <c r="D2117" i="15"/>
  <c r="D2118" i="15"/>
  <c r="D2119" i="15"/>
  <c r="D2120" i="15"/>
  <c r="D2121" i="15"/>
  <c r="D2122" i="15"/>
  <c r="D2123" i="15"/>
  <c r="D2124" i="15"/>
  <c r="D2125" i="15"/>
  <c r="D2126" i="15"/>
  <c r="D2127" i="15"/>
  <c r="D2128" i="15"/>
  <c r="D2129" i="15"/>
  <c r="D2130" i="15"/>
  <c r="D2131" i="15"/>
  <c r="D2132" i="15"/>
  <c r="D2133" i="15"/>
  <c r="D2134" i="15"/>
  <c r="D2135" i="15"/>
  <c r="D2136" i="15"/>
  <c r="D2137" i="15"/>
  <c r="D2138" i="15"/>
  <c r="D2139" i="15"/>
  <c r="D2140" i="15"/>
  <c r="D2141" i="15"/>
  <c r="D2142" i="15"/>
  <c r="D2143" i="15"/>
  <c r="D2144" i="15"/>
  <c r="D2145" i="15"/>
  <c r="D2146" i="15"/>
  <c r="D2147" i="15"/>
  <c r="D2148" i="15"/>
  <c r="D2149" i="15"/>
  <c r="D2150" i="15"/>
  <c r="D2151" i="15"/>
  <c r="D2152" i="15"/>
  <c r="D2153" i="15"/>
  <c r="D2154" i="15"/>
  <c r="D2155" i="15"/>
  <c r="D2156" i="15"/>
  <c r="D2157" i="15"/>
  <c r="D2158" i="15"/>
  <c r="D2159" i="15"/>
  <c r="D2160" i="15"/>
  <c r="D2161" i="15"/>
  <c r="D2162" i="15"/>
  <c r="D2163" i="15"/>
  <c r="D2164" i="15"/>
  <c r="D2165" i="15"/>
  <c r="D2166" i="15"/>
  <c r="D2167" i="15"/>
  <c r="D2168" i="15"/>
  <c r="D2169" i="15"/>
  <c r="D2170" i="15"/>
  <c r="D2171" i="15"/>
  <c r="D2172" i="15"/>
  <c r="D2173" i="15"/>
  <c r="D2174" i="15"/>
  <c r="D2175" i="15"/>
  <c r="D2176" i="15"/>
  <c r="D2177" i="15"/>
  <c r="D2178" i="15"/>
  <c r="D2179" i="15"/>
  <c r="D2180" i="15"/>
  <c r="D2181" i="15"/>
  <c r="D2182" i="15"/>
  <c r="D2183" i="15"/>
  <c r="D2184" i="15"/>
  <c r="D2185" i="15"/>
  <c r="D2186" i="15"/>
  <c r="D2187" i="15"/>
  <c r="D2188" i="15"/>
  <c r="D2189" i="15"/>
  <c r="D2190" i="15"/>
  <c r="D2191" i="15"/>
  <c r="D2192" i="15"/>
  <c r="D2193" i="15"/>
  <c r="D2194" i="15"/>
  <c r="D2195" i="15"/>
  <c r="D2196" i="15"/>
  <c r="D2197" i="15"/>
  <c r="D2198" i="15"/>
  <c r="D2199" i="15"/>
  <c r="D2200" i="15"/>
  <c r="D2201" i="15"/>
  <c r="D2202" i="15"/>
  <c r="D2203" i="15"/>
  <c r="D2204" i="15"/>
  <c r="D2205" i="15"/>
  <c r="D2206" i="15"/>
  <c r="D2207" i="15"/>
  <c r="D2208" i="15"/>
  <c r="D2209" i="15"/>
  <c r="D2210" i="15"/>
  <c r="D2211" i="15"/>
  <c r="D2212" i="15"/>
  <c r="D2213" i="15"/>
  <c r="D2214" i="15"/>
  <c r="D2215" i="15"/>
  <c r="D2216" i="15"/>
  <c r="D2217" i="15"/>
  <c r="D2218" i="15"/>
  <c r="D2219" i="15"/>
  <c r="D2220" i="15"/>
  <c r="D2221" i="15"/>
  <c r="D2222" i="15"/>
  <c r="D2223" i="15"/>
  <c r="D2224" i="15"/>
  <c r="D2225" i="15"/>
  <c r="D2226" i="15"/>
  <c r="D2227" i="15"/>
  <c r="D2228" i="15"/>
  <c r="D2229" i="15"/>
  <c r="D2230" i="15"/>
  <c r="D2231" i="15"/>
  <c r="D2232" i="15"/>
  <c r="D2233" i="15"/>
  <c r="D2234" i="15"/>
  <c r="D2235" i="15"/>
  <c r="D2236" i="15"/>
  <c r="D2237" i="15"/>
  <c r="D2238" i="15"/>
  <c r="D2239" i="15"/>
  <c r="D2240" i="15"/>
  <c r="D2241" i="15"/>
  <c r="D2242" i="15"/>
  <c r="D2243" i="15"/>
  <c r="D2244" i="15"/>
  <c r="D2245" i="15"/>
  <c r="D2246" i="15"/>
  <c r="D2247" i="15"/>
  <c r="D2248" i="15"/>
  <c r="D2249" i="15"/>
  <c r="D2250" i="15"/>
  <c r="D2251" i="15"/>
  <c r="D2252" i="15"/>
  <c r="D2253" i="15"/>
  <c r="D2254" i="15"/>
  <c r="D2255" i="15"/>
  <c r="D2256" i="15"/>
  <c r="D2257" i="15"/>
  <c r="D2258" i="15"/>
  <c r="D2259" i="15"/>
  <c r="D2260" i="15"/>
  <c r="D2261" i="15"/>
  <c r="D2262" i="15"/>
  <c r="D2263" i="15"/>
  <c r="D2264" i="15"/>
  <c r="D2265" i="15"/>
  <c r="D2266" i="15"/>
  <c r="D2267" i="15"/>
  <c r="D2268" i="15"/>
  <c r="D2269" i="15"/>
  <c r="D2270" i="15"/>
  <c r="D2271" i="15"/>
  <c r="D2272" i="15"/>
  <c r="D2273" i="15"/>
  <c r="D2274" i="15"/>
  <c r="D2275" i="15"/>
  <c r="D2276" i="15"/>
  <c r="D2277" i="15"/>
  <c r="D2278" i="15"/>
  <c r="D2279" i="15"/>
  <c r="D2280" i="15"/>
  <c r="D2281" i="15"/>
  <c r="D2282" i="15"/>
  <c r="D2283" i="15"/>
  <c r="D2284" i="15"/>
  <c r="D2285" i="15"/>
  <c r="D2286" i="15"/>
  <c r="D2287" i="15"/>
  <c r="D2288" i="15"/>
  <c r="D2289" i="15"/>
  <c r="D2290" i="15"/>
  <c r="D2291" i="15"/>
  <c r="D2292" i="15"/>
  <c r="D2293" i="15"/>
  <c r="D2294" i="15"/>
  <c r="D2295" i="15"/>
  <c r="D2296" i="15"/>
  <c r="D2297" i="15"/>
  <c r="D2298" i="15"/>
  <c r="D2299" i="15"/>
  <c r="D2300" i="15"/>
  <c r="D2301" i="15"/>
  <c r="D2302" i="15"/>
  <c r="D2303" i="15"/>
  <c r="D2304" i="15"/>
  <c r="D2305" i="15"/>
  <c r="D2306" i="15"/>
  <c r="D2307" i="15"/>
  <c r="D2308" i="15"/>
  <c r="D2309" i="15"/>
  <c r="D2310" i="15"/>
  <c r="D2311" i="15"/>
  <c r="D2312" i="15"/>
  <c r="D2313" i="15"/>
  <c r="D2314" i="15"/>
  <c r="D2315" i="15"/>
  <c r="D2316" i="15"/>
  <c r="D2317" i="15"/>
  <c r="D2318" i="15"/>
  <c r="D2319" i="15"/>
  <c r="D2320" i="15"/>
  <c r="D2321" i="15"/>
  <c r="D2322" i="15"/>
  <c r="D2323" i="15"/>
  <c r="D2324" i="15"/>
  <c r="D2325" i="15"/>
  <c r="D2326" i="15"/>
  <c r="D2327" i="15"/>
  <c r="D2328" i="15"/>
  <c r="D2329" i="15"/>
  <c r="D2330" i="15"/>
  <c r="D2331" i="15"/>
  <c r="D2332" i="15"/>
  <c r="D2333" i="15"/>
  <c r="D2334" i="15"/>
  <c r="D2335" i="15"/>
  <c r="D2336" i="15"/>
  <c r="D2337" i="15"/>
  <c r="D2338" i="15"/>
  <c r="D2339" i="15"/>
  <c r="D2340" i="15"/>
  <c r="D2341" i="15"/>
  <c r="D2342" i="15"/>
  <c r="D2343" i="15"/>
  <c r="D2344" i="15"/>
  <c r="D2345" i="15"/>
  <c r="D2346" i="15"/>
  <c r="D2347" i="15"/>
  <c r="D2348" i="15"/>
  <c r="D2349" i="15"/>
  <c r="D2350" i="15"/>
  <c r="D2351" i="15"/>
  <c r="D2352" i="15"/>
  <c r="D2353" i="15"/>
  <c r="D2354" i="15"/>
  <c r="D2355" i="15"/>
  <c r="D2356" i="15"/>
  <c r="D2357" i="15"/>
  <c r="D2358" i="15"/>
  <c r="D2359" i="15"/>
  <c r="D2360" i="15"/>
  <c r="D2361" i="15"/>
  <c r="D2362" i="15"/>
  <c r="D2363" i="15"/>
  <c r="D2364" i="15"/>
  <c r="D2365" i="15"/>
  <c r="D2366" i="15"/>
  <c r="D2367" i="15"/>
  <c r="D2368" i="15"/>
  <c r="D2369" i="15"/>
  <c r="D2370" i="15"/>
  <c r="D2371" i="15"/>
  <c r="D2372" i="15"/>
  <c r="D2373" i="15"/>
  <c r="D2374" i="15"/>
  <c r="D2375" i="15"/>
  <c r="D2376" i="15"/>
  <c r="D2377" i="15"/>
  <c r="D2378" i="15"/>
  <c r="D2379" i="15"/>
  <c r="D2380" i="15"/>
  <c r="D2381" i="15"/>
  <c r="D2382" i="15"/>
  <c r="D2383" i="15"/>
  <c r="D2384" i="15"/>
  <c r="D2385" i="15"/>
  <c r="D2386" i="15"/>
  <c r="D2387" i="15"/>
  <c r="D2388" i="15"/>
  <c r="D2389" i="15"/>
  <c r="D2390" i="15"/>
  <c r="D2391" i="15"/>
  <c r="D2392" i="15"/>
  <c r="D2393" i="15"/>
  <c r="D2394" i="15"/>
  <c r="D2395" i="15"/>
  <c r="D2396" i="15"/>
  <c r="D2397" i="15"/>
  <c r="D2398" i="15"/>
  <c r="D2399" i="15"/>
  <c r="D2400" i="15"/>
  <c r="D2401" i="15"/>
  <c r="D2402" i="15"/>
  <c r="D2403" i="15"/>
  <c r="D2404" i="15"/>
  <c r="D2405" i="15"/>
  <c r="D2406" i="15"/>
  <c r="D2407" i="15"/>
  <c r="D2408" i="15"/>
  <c r="D2409" i="15"/>
  <c r="D2410" i="15"/>
  <c r="D2411" i="15"/>
  <c r="D2412" i="15"/>
  <c r="D2413" i="15"/>
  <c r="D2414" i="15"/>
  <c r="D2415" i="15"/>
  <c r="D2416" i="15"/>
  <c r="D2417" i="15"/>
  <c r="D2418" i="15"/>
  <c r="D2419" i="15"/>
  <c r="D2420" i="15"/>
  <c r="D2421" i="15"/>
  <c r="D2422" i="15"/>
  <c r="D2423" i="15"/>
  <c r="D2424" i="15"/>
  <c r="D2425" i="15"/>
  <c r="D2426" i="15"/>
  <c r="D2427" i="15"/>
  <c r="D2428" i="15"/>
  <c r="D2429" i="15"/>
  <c r="D2430" i="15"/>
  <c r="D2431" i="15"/>
  <c r="D2432" i="15"/>
  <c r="D2433" i="15"/>
  <c r="D2434" i="15"/>
  <c r="D2435" i="15"/>
  <c r="D2436" i="15"/>
  <c r="D2437" i="15"/>
  <c r="D2438" i="15"/>
  <c r="D2439" i="15"/>
  <c r="D2440" i="15"/>
  <c r="D2441" i="15"/>
  <c r="D2442" i="15"/>
  <c r="D2443" i="15"/>
  <c r="D2444" i="15"/>
  <c r="D2445" i="15"/>
  <c r="D2446" i="15"/>
  <c r="D2447" i="15"/>
  <c r="D2448" i="15"/>
  <c r="D2449" i="15"/>
  <c r="D2450" i="15"/>
  <c r="D2451" i="15"/>
  <c r="D2452" i="15"/>
  <c r="D2453" i="15"/>
  <c r="D2454" i="15"/>
  <c r="D2455" i="15"/>
  <c r="D2456" i="15"/>
  <c r="D2457" i="15"/>
  <c r="D2458" i="15"/>
  <c r="D2459" i="15"/>
  <c r="D2460" i="15"/>
  <c r="D2461" i="15"/>
  <c r="D2462" i="15"/>
  <c r="D2463" i="15"/>
  <c r="D2464" i="15"/>
  <c r="D2465" i="15"/>
  <c r="D2466" i="15"/>
  <c r="D2467" i="15"/>
  <c r="D2468" i="15"/>
  <c r="D2469" i="15"/>
  <c r="D2470" i="15"/>
  <c r="D2471" i="15"/>
  <c r="D2472" i="15"/>
  <c r="D2473" i="15"/>
  <c r="D2474" i="15"/>
  <c r="D2475" i="15"/>
  <c r="D2476" i="15"/>
  <c r="D2477" i="15"/>
  <c r="D2478" i="15"/>
  <c r="D2479" i="15"/>
  <c r="D2480" i="15"/>
  <c r="D2481" i="15"/>
  <c r="D2482" i="15"/>
  <c r="D2483" i="15"/>
  <c r="D2484" i="15"/>
  <c r="D2485" i="15"/>
  <c r="D9" i="15"/>
  <c r="I41" i="5"/>
  <c r="K59" i="5"/>
  <c r="L59" i="5" s="1"/>
  <c r="M59" i="5" s="1"/>
  <c r="N59" i="5" s="1"/>
  <c r="O59" i="5" s="1"/>
  <c r="P59" i="5" s="1"/>
  <c r="Q59" i="5" s="1"/>
  <c r="J59" i="5"/>
  <c r="I59" i="5"/>
  <c r="H59" i="5"/>
  <c r="K53" i="5"/>
  <c r="L53" i="5" s="1"/>
  <c r="M53" i="5" s="1"/>
  <c r="N53" i="5" s="1"/>
  <c r="O53" i="5" s="1"/>
  <c r="P53" i="5" s="1"/>
  <c r="Q53" i="5" s="1"/>
  <c r="J53" i="5"/>
  <c r="I53" i="5"/>
  <c r="H53" i="5"/>
  <c r="K47" i="5"/>
  <c r="L47" i="5" s="1"/>
  <c r="M47" i="5" s="1"/>
  <c r="N47" i="5" s="1"/>
  <c r="O47" i="5" s="1"/>
  <c r="P47" i="5" s="1"/>
  <c r="Q47" i="5" s="1"/>
  <c r="J47" i="5"/>
  <c r="I47" i="5"/>
  <c r="H47" i="5"/>
  <c r="J41" i="5"/>
  <c r="K41" i="5" s="1"/>
  <c r="L41" i="5" s="1"/>
  <c r="M41" i="5" s="1"/>
  <c r="N41" i="5" s="1"/>
  <c r="O41" i="5" s="1"/>
  <c r="P41" i="5" s="1"/>
  <c r="Q41" i="5" s="1"/>
  <c r="H41" i="5"/>
  <c r="F257" i="11" l="1"/>
  <c r="D257" i="11"/>
  <c r="D9" i="11"/>
  <c r="B29" i="10"/>
  <c r="G66" i="10" l="1"/>
  <c r="H66" i="10"/>
  <c r="I66" i="10"/>
  <c r="J66" i="10"/>
  <c r="K66" i="10"/>
  <c r="L66" i="10"/>
  <c r="M66" i="10"/>
  <c r="N66" i="10"/>
  <c r="O66" i="10"/>
  <c r="P66" i="10"/>
  <c r="Q66" i="10"/>
  <c r="G65" i="10"/>
  <c r="H65" i="10"/>
  <c r="I65" i="10"/>
  <c r="J65" i="10"/>
  <c r="K65" i="10"/>
  <c r="L65" i="10"/>
  <c r="M65" i="10"/>
  <c r="N65" i="10"/>
  <c r="O65" i="10"/>
  <c r="P65" i="10"/>
  <c r="Q65" i="10"/>
  <c r="G63" i="10"/>
  <c r="G62" i="10"/>
  <c r="G61" i="10"/>
  <c r="G60" i="10"/>
  <c r="G59" i="10"/>
  <c r="D73" i="10"/>
  <c r="D65" i="10" l="1"/>
  <c r="E65" i="10"/>
  <c r="F65" i="10"/>
  <c r="F63" i="10" l="1"/>
  <c r="E63" i="10"/>
  <c r="D63" i="10"/>
  <c r="F62" i="10"/>
  <c r="E62" i="10"/>
  <c r="D62" i="10"/>
  <c r="F61" i="10"/>
  <c r="E61" i="10"/>
  <c r="D61" i="10"/>
  <c r="F60" i="10"/>
  <c r="E60" i="10"/>
  <c r="D60" i="10"/>
  <c r="D66" i="10"/>
  <c r="E66" i="10"/>
  <c r="F66" i="10"/>
  <c r="D59" i="10"/>
  <c r="E59" i="10"/>
  <c r="F59" i="10"/>
  <c r="G52" i="10"/>
  <c r="G51" i="10"/>
  <c r="G50" i="10"/>
  <c r="G49" i="10"/>
  <c r="G48" i="10"/>
  <c r="G45" i="10"/>
  <c r="H45" i="10"/>
  <c r="I45" i="10"/>
  <c r="J45" i="10"/>
  <c r="K45" i="10"/>
  <c r="L45" i="10"/>
  <c r="M45" i="10"/>
  <c r="N45" i="10"/>
  <c r="O45" i="10"/>
  <c r="P45" i="10"/>
  <c r="Q45" i="10"/>
  <c r="F52" i="10"/>
  <c r="E52" i="10"/>
  <c r="D52" i="10"/>
  <c r="F51" i="10"/>
  <c r="E51" i="10"/>
  <c r="D51" i="10"/>
  <c r="F50" i="10"/>
  <c r="E50" i="10"/>
  <c r="D50" i="10"/>
  <c r="F49" i="10"/>
  <c r="E49" i="10"/>
  <c r="D49" i="10"/>
  <c r="D48" i="10"/>
  <c r="E48" i="10"/>
  <c r="F48" i="10"/>
  <c r="D45" i="10"/>
  <c r="E45" i="10"/>
  <c r="F45" i="10"/>
  <c r="G35" i="10"/>
  <c r="G34" i="10"/>
  <c r="G33" i="10"/>
  <c r="G32" i="10"/>
  <c r="G31" i="10"/>
  <c r="G25" i="10"/>
  <c r="G24" i="10"/>
  <c r="G23" i="10"/>
  <c r="G22" i="10"/>
  <c r="G21" i="10"/>
  <c r="G20" i="10"/>
  <c r="G19" i="10"/>
  <c r="G18" i="10"/>
  <c r="D35" i="10"/>
  <c r="E35" i="10"/>
  <c r="F35" i="10"/>
  <c r="D34" i="10"/>
  <c r="E34" i="10"/>
  <c r="F34" i="10"/>
  <c r="D33" i="10"/>
  <c r="E33" i="10"/>
  <c r="F33" i="10"/>
  <c r="D32" i="10"/>
  <c r="E32" i="10"/>
  <c r="F32" i="10"/>
  <c r="D31" i="10"/>
  <c r="E31" i="10"/>
  <c r="F31" i="10"/>
  <c r="D18" i="10"/>
  <c r="E18" i="10"/>
  <c r="F18" i="10"/>
  <c r="D65" i="29"/>
  <c r="E65" i="29"/>
  <c r="F65" i="29"/>
  <c r="G65" i="29"/>
  <c r="H65" i="29"/>
  <c r="D54" i="29"/>
  <c r="E54" i="29"/>
  <c r="F54" i="29"/>
  <c r="G54" i="29"/>
  <c r="H54" i="29"/>
  <c r="D27" i="29"/>
  <c r="D34" i="29" s="1"/>
  <c r="D37" i="29" s="1"/>
  <c r="D82" i="29" s="1"/>
  <c r="E27" i="29"/>
  <c r="E34" i="29" s="1"/>
  <c r="E37" i="29" s="1"/>
  <c r="E79" i="29" s="1"/>
  <c r="F27" i="29"/>
  <c r="F34" i="29" s="1"/>
  <c r="F37" i="29" s="1"/>
  <c r="G27" i="29"/>
  <c r="G34" i="29" s="1"/>
  <c r="G37" i="29" s="1"/>
  <c r="G78" i="29" s="1"/>
  <c r="H27" i="29"/>
  <c r="H34" i="29" s="1"/>
  <c r="H37" i="29" s="1"/>
  <c r="H81" i="29" s="1"/>
  <c r="H19" i="5"/>
  <c r="H23" i="5"/>
  <c r="J34" i="5"/>
  <c r="J33" i="5"/>
  <c r="J32" i="5"/>
  <c r="C28" i="5"/>
  <c r="D28" i="5"/>
  <c r="E28" i="5"/>
  <c r="F28" i="5"/>
  <c r="G28" i="5"/>
  <c r="C30" i="16"/>
  <c r="D30" i="16"/>
  <c r="E30" i="16"/>
  <c r="F30" i="16"/>
  <c r="G30" i="16"/>
  <c r="C29" i="16"/>
  <c r="D29" i="16"/>
  <c r="E29" i="16"/>
  <c r="F29" i="16"/>
  <c r="G29" i="16"/>
  <c r="C28" i="16"/>
  <c r="D28" i="16"/>
  <c r="E28" i="16"/>
  <c r="F28" i="16"/>
  <c r="G28" i="16"/>
  <c r="F68" i="29" l="1"/>
  <c r="D76" i="29"/>
  <c r="E78" i="29"/>
  <c r="D78" i="29"/>
  <c r="G80" i="29"/>
  <c r="G76" i="29"/>
  <c r="E80" i="29"/>
  <c r="D79" i="29"/>
  <c r="H76" i="29"/>
  <c r="D83" i="29"/>
  <c r="E83" i="29"/>
  <c r="G81" i="29"/>
  <c r="F81" i="29"/>
  <c r="E81" i="29"/>
  <c r="E76" i="29"/>
  <c r="G77" i="29"/>
  <c r="D80" i="29"/>
  <c r="F83" i="29"/>
  <c r="H82" i="29"/>
  <c r="G82" i="29"/>
  <c r="F82" i="29"/>
  <c r="E82" i="29"/>
  <c r="F80" i="29"/>
  <c r="F76" i="29"/>
  <c r="H77" i="29"/>
  <c r="F77" i="29"/>
  <c r="H79" i="29"/>
  <c r="G83" i="29"/>
  <c r="H78" i="29"/>
  <c r="E77" i="29"/>
  <c r="G79" i="29"/>
  <c r="H83" i="29"/>
  <c r="D77" i="29"/>
  <c r="F79" i="29"/>
  <c r="D81" i="29"/>
  <c r="F78" i="29"/>
  <c r="H80" i="29"/>
  <c r="H68" i="29"/>
  <c r="E68" i="29"/>
  <c r="G68" i="29"/>
  <c r="D68" i="29"/>
  <c r="D72" i="29" s="1"/>
  <c r="E69" i="29" s="1"/>
  <c r="H32" i="5"/>
  <c r="H33" i="5"/>
  <c r="H34" i="5"/>
  <c r="H35" i="5"/>
  <c r="E72" i="29" l="1"/>
  <c r="F69" i="29" s="1"/>
  <c r="F72" i="29" s="1"/>
  <c r="G69" i="29" s="1"/>
  <c r="G72" i="29" s="1"/>
  <c r="H69" i="29" s="1"/>
  <c r="H72" i="29" s="1"/>
  <c r="G11" i="5"/>
  <c r="C11" i="5"/>
  <c r="D11" i="5"/>
  <c r="E11" i="5"/>
  <c r="F11" i="5"/>
  <c r="D15" i="5"/>
  <c r="E15" i="5"/>
  <c r="F15" i="5"/>
  <c r="G15" i="5"/>
  <c r="C15" i="5"/>
  <c r="G62" i="5"/>
  <c r="F62" i="5" l="1"/>
  <c r="E62" i="5"/>
  <c r="D62" i="5"/>
  <c r="C62" i="5"/>
  <c r="D57" i="5" l="1"/>
  <c r="E57" i="5"/>
  <c r="F57" i="5"/>
  <c r="G57" i="5"/>
  <c r="D51" i="5"/>
  <c r="E51" i="5"/>
  <c r="F51" i="5"/>
  <c r="G51" i="5"/>
  <c r="D45" i="5"/>
  <c r="E45" i="5"/>
  <c r="F45" i="5"/>
  <c r="G45" i="5"/>
  <c r="D39" i="5"/>
  <c r="E39" i="5"/>
  <c r="F39" i="5"/>
  <c r="G39" i="5"/>
  <c r="H48" i="5" l="1"/>
  <c r="H46" i="5"/>
  <c r="E80" i="3"/>
  <c r="F80" i="3"/>
  <c r="G80" i="3"/>
  <c r="H80" i="3"/>
  <c r="E81" i="3"/>
  <c r="F81" i="3"/>
  <c r="G81" i="3"/>
  <c r="H81" i="3"/>
  <c r="D81" i="3"/>
  <c r="D80" i="3"/>
  <c r="H60" i="5" l="1"/>
  <c r="H58" i="5"/>
  <c r="H42" i="5"/>
  <c r="H40" i="5"/>
  <c r="H52" i="5"/>
  <c r="H54" i="5"/>
  <c r="I48" i="5"/>
  <c r="I46" i="5"/>
  <c r="I6" i="25"/>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F9" i="11"/>
  <c r="E260" i="11" s="1"/>
  <c r="H166" i="13"/>
  <c r="I166" i="13" s="1"/>
  <c r="J166" i="13" s="1"/>
  <c r="K166" i="13" s="1"/>
  <c r="L166" i="13" s="1"/>
  <c r="M166" i="13" s="1"/>
  <c r="N166" i="13" s="1"/>
  <c r="O166" i="13" s="1"/>
  <c r="P166" i="13" s="1"/>
  <c r="Q166" i="13" s="1"/>
  <c r="H165" i="13"/>
  <c r="I165" i="13" s="1"/>
  <c r="J165" i="13" s="1"/>
  <c r="K165" i="13" s="1"/>
  <c r="L165" i="13" s="1"/>
  <c r="M165" i="13" s="1"/>
  <c r="N165" i="13" s="1"/>
  <c r="O165" i="13" s="1"/>
  <c r="P165" i="13" s="1"/>
  <c r="Q165" i="13" s="1"/>
  <c r="H161" i="13"/>
  <c r="I161" i="13" s="1"/>
  <c r="J161" i="13" s="1"/>
  <c r="K161" i="13" s="1"/>
  <c r="L161" i="13" s="1"/>
  <c r="M161" i="13" s="1"/>
  <c r="N161" i="13" s="1"/>
  <c r="O161" i="13" s="1"/>
  <c r="P161" i="13" s="1"/>
  <c r="Q161" i="13" s="1"/>
  <c r="H160" i="13"/>
  <c r="I160" i="13" s="1"/>
  <c r="J160" i="13" s="1"/>
  <c r="K160" i="13" s="1"/>
  <c r="L160" i="13" s="1"/>
  <c r="M160" i="13" s="1"/>
  <c r="N160" i="13" s="1"/>
  <c r="O160" i="13" s="1"/>
  <c r="P160" i="13" s="1"/>
  <c r="Q160" i="13" s="1"/>
  <c r="H155" i="13"/>
  <c r="I155" i="13" s="1"/>
  <c r="J155" i="13" s="1"/>
  <c r="K155" i="13" s="1"/>
  <c r="L155" i="13" s="1"/>
  <c r="M155" i="13" s="1"/>
  <c r="N155" i="13" s="1"/>
  <c r="O155" i="13" s="1"/>
  <c r="P155" i="13" s="1"/>
  <c r="Q155" i="13" s="1"/>
  <c r="H154" i="13"/>
  <c r="I154" i="13" s="1"/>
  <c r="J154" i="13" s="1"/>
  <c r="K154" i="13" s="1"/>
  <c r="L154" i="13" s="1"/>
  <c r="M154" i="13" s="1"/>
  <c r="N154" i="13" s="1"/>
  <c r="O154" i="13" s="1"/>
  <c r="P154" i="13" s="1"/>
  <c r="Q154" i="13" s="1"/>
  <c r="H151" i="13"/>
  <c r="I151" i="13" s="1"/>
  <c r="J151" i="13" s="1"/>
  <c r="K151" i="13" s="1"/>
  <c r="L151" i="13" s="1"/>
  <c r="M151" i="13" s="1"/>
  <c r="N151" i="13" s="1"/>
  <c r="O151" i="13" s="1"/>
  <c r="P151" i="13" s="1"/>
  <c r="Q151" i="13" s="1"/>
  <c r="H150" i="13"/>
  <c r="I150" i="13" s="1"/>
  <c r="J150" i="13" s="1"/>
  <c r="K150" i="13" s="1"/>
  <c r="L150" i="13" s="1"/>
  <c r="M150" i="13" s="1"/>
  <c r="N150" i="13" s="1"/>
  <c r="O150" i="13" s="1"/>
  <c r="P150" i="13" s="1"/>
  <c r="Q150" i="13" s="1"/>
  <c r="H145" i="13"/>
  <c r="I145" i="13" s="1"/>
  <c r="J145" i="13" s="1"/>
  <c r="K145" i="13" s="1"/>
  <c r="L145" i="13" s="1"/>
  <c r="M145" i="13" s="1"/>
  <c r="N145" i="13" s="1"/>
  <c r="O145" i="13" s="1"/>
  <c r="P145" i="13" s="1"/>
  <c r="Q145" i="13" s="1"/>
  <c r="H144" i="13"/>
  <c r="I144" i="13" s="1"/>
  <c r="J144" i="13" s="1"/>
  <c r="K144" i="13" s="1"/>
  <c r="L144" i="13" s="1"/>
  <c r="M144" i="13" s="1"/>
  <c r="N144" i="13" s="1"/>
  <c r="O144" i="13" s="1"/>
  <c r="P144" i="13" s="1"/>
  <c r="Q144" i="13" s="1"/>
  <c r="H143" i="13"/>
  <c r="I143" i="13" s="1"/>
  <c r="J143" i="13" s="1"/>
  <c r="K143" i="13" s="1"/>
  <c r="L143" i="13" s="1"/>
  <c r="M143" i="13" s="1"/>
  <c r="N143" i="13" s="1"/>
  <c r="O143" i="13" s="1"/>
  <c r="P143" i="13" s="1"/>
  <c r="Q143" i="13" s="1"/>
  <c r="H140" i="13"/>
  <c r="I140" i="13" s="1"/>
  <c r="J140" i="13" s="1"/>
  <c r="K140" i="13" s="1"/>
  <c r="L140" i="13" s="1"/>
  <c r="M140" i="13" s="1"/>
  <c r="N140" i="13" s="1"/>
  <c r="O140" i="13" s="1"/>
  <c r="P140" i="13" s="1"/>
  <c r="Q140" i="13" s="1"/>
  <c r="H139" i="13"/>
  <c r="I139" i="13" s="1"/>
  <c r="J139" i="13" s="1"/>
  <c r="K139" i="13" s="1"/>
  <c r="L139" i="13" s="1"/>
  <c r="M139" i="13" s="1"/>
  <c r="N139" i="13" s="1"/>
  <c r="O139" i="13" s="1"/>
  <c r="P139" i="13" s="1"/>
  <c r="Q139" i="13" s="1"/>
  <c r="H138" i="13"/>
  <c r="I138" i="13" s="1"/>
  <c r="J138" i="13" s="1"/>
  <c r="K138" i="13" s="1"/>
  <c r="L138" i="13" s="1"/>
  <c r="M138" i="13" s="1"/>
  <c r="N138" i="13" s="1"/>
  <c r="O138" i="13" s="1"/>
  <c r="P138" i="13" s="1"/>
  <c r="Q138" i="13" s="1"/>
  <c r="H129" i="13"/>
  <c r="I129" i="13" s="1"/>
  <c r="J129" i="13" s="1"/>
  <c r="K129" i="13" s="1"/>
  <c r="L129" i="13" s="1"/>
  <c r="M129" i="13" s="1"/>
  <c r="N129" i="13" s="1"/>
  <c r="O129" i="13" s="1"/>
  <c r="P129" i="13" s="1"/>
  <c r="Q129" i="13" s="1"/>
  <c r="H128" i="13"/>
  <c r="I128" i="13" s="1"/>
  <c r="J128" i="13" s="1"/>
  <c r="K128" i="13" s="1"/>
  <c r="L128" i="13" s="1"/>
  <c r="M128" i="13" s="1"/>
  <c r="N128" i="13" s="1"/>
  <c r="O128" i="13" s="1"/>
  <c r="P128" i="13" s="1"/>
  <c r="Q128" i="13" s="1"/>
  <c r="H127" i="13"/>
  <c r="I127" i="13" s="1"/>
  <c r="J127" i="13" s="1"/>
  <c r="K127" i="13" s="1"/>
  <c r="L127" i="13" s="1"/>
  <c r="M127" i="13" s="1"/>
  <c r="N127" i="13" s="1"/>
  <c r="O127" i="13" s="1"/>
  <c r="P127" i="13" s="1"/>
  <c r="Q127" i="13" s="1"/>
  <c r="H124" i="13"/>
  <c r="I124" i="13" s="1"/>
  <c r="J124" i="13" s="1"/>
  <c r="K124" i="13" s="1"/>
  <c r="L124" i="13" s="1"/>
  <c r="M124" i="13" s="1"/>
  <c r="N124" i="13" s="1"/>
  <c r="O124" i="13" s="1"/>
  <c r="P124" i="13" s="1"/>
  <c r="Q124" i="13" s="1"/>
  <c r="H123" i="13"/>
  <c r="I123" i="13" s="1"/>
  <c r="J123" i="13" s="1"/>
  <c r="K123" i="13" s="1"/>
  <c r="L123" i="13" s="1"/>
  <c r="M123" i="13" s="1"/>
  <c r="N123" i="13" s="1"/>
  <c r="O123" i="13" s="1"/>
  <c r="P123" i="13" s="1"/>
  <c r="Q123" i="13" s="1"/>
  <c r="H122" i="13"/>
  <c r="I122" i="13" s="1"/>
  <c r="J122" i="13" s="1"/>
  <c r="K122" i="13" s="1"/>
  <c r="L122" i="13" s="1"/>
  <c r="M122" i="13" s="1"/>
  <c r="N122" i="13" s="1"/>
  <c r="O122" i="13" s="1"/>
  <c r="P122" i="13" s="1"/>
  <c r="Q122" i="13" s="1"/>
  <c r="H112" i="13"/>
  <c r="I112" i="13" s="1"/>
  <c r="J112" i="13" s="1"/>
  <c r="K112" i="13" s="1"/>
  <c r="L112" i="13" s="1"/>
  <c r="M112" i="13" s="1"/>
  <c r="N112" i="13" s="1"/>
  <c r="O112" i="13" s="1"/>
  <c r="P112" i="13" s="1"/>
  <c r="Q112" i="13" s="1"/>
  <c r="H111" i="13"/>
  <c r="I111" i="13" s="1"/>
  <c r="J111" i="13" s="1"/>
  <c r="K111" i="13" s="1"/>
  <c r="L111" i="13" s="1"/>
  <c r="M111" i="13" s="1"/>
  <c r="N111" i="13" s="1"/>
  <c r="O111" i="13" s="1"/>
  <c r="P111" i="13" s="1"/>
  <c r="Q111" i="13" s="1"/>
  <c r="H110" i="13"/>
  <c r="I110" i="13" s="1"/>
  <c r="J110" i="13" s="1"/>
  <c r="K110" i="13" s="1"/>
  <c r="L110" i="13" s="1"/>
  <c r="M110" i="13" s="1"/>
  <c r="N110" i="13" s="1"/>
  <c r="O110" i="13" s="1"/>
  <c r="P110" i="13" s="1"/>
  <c r="Q110" i="13" s="1"/>
  <c r="H107" i="13"/>
  <c r="I107" i="13" s="1"/>
  <c r="J107" i="13" s="1"/>
  <c r="K107" i="13" s="1"/>
  <c r="L107" i="13" s="1"/>
  <c r="M107" i="13" s="1"/>
  <c r="N107" i="13" s="1"/>
  <c r="O107" i="13" s="1"/>
  <c r="P107" i="13" s="1"/>
  <c r="Q107" i="13" s="1"/>
  <c r="H106" i="13"/>
  <c r="I106" i="13" s="1"/>
  <c r="J106" i="13" s="1"/>
  <c r="K106" i="13" s="1"/>
  <c r="L106" i="13" s="1"/>
  <c r="M106" i="13" s="1"/>
  <c r="N106" i="13" s="1"/>
  <c r="O106" i="13" s="1"/>
  <c r="P106" i="13" s="1"/>
  <c r="Q106" i="13" s="1"/>
  <c r="H105" i="13"/>
  <c r="I105" i="13" s="1"/>
  <c r="J105" i="13" s="1"/>
  <c r="K105" i="13" s="1"/>
  <c r="L105" i="13" s="1"/>
  <c r="M105" i="13" s="1"/>
  <c r="N105" i="13" s="1"/>
  <c r="O105" i="13" s="1"/>
  <c r="P105" i="13" s="1"/>
  <c r="Q105" i="13" s="1"/>
  <c r="H100" i="13"/>
  <c r="I100" i="13" s="1"/>
  <c r="J100" i="13" s="1"/>
  <c r="K100" i="13" s="1"/>
  <c r="L100" i="13" s="1"/>
  <c r="M100" i="13" s="1"/>
  <c r="N100" i="13" s="1"/>
  <c r="O100" i="13" s="1"/>
  <c r="P100" i="13" s="1"/>
  <c r="Q100" i="13" s="1"/>
  <c r="H99" i="13"/>
  <c r="I99" i="13" s="1"/>
  <c r="J99" i="13" s="1"/>
  <c r="K99" i="13" s="1"/>
  <c r="L99" i="13" s="1"/>
  <c r="M99" i="13" s="1"/>
  <c r="N99" i="13" s="1"/>
  <c r="O99" i="13" s="1"/>
  <c r="P99" i="13" s="1"/>
  <c r="Q99" i="13" s="1"/>
  <c r="H96" i="13"/>
  <c r="I96" i="13" s="1"/>
  <c r="J96" i="13" s="1"/>
  <c r="K96" i="13" s="1"/>
  <c r="L96" i="13" s="1"/>
  <c r="M96" i="13" s="1"/>
  <c r="N96" i="13" s="1"/>
  <c r="O96" i="13" s="1"/>
  <c r="P96" i="13" s="1"/>
  <c r="Q96" i="13" s="1"/>
  <c r="H95" i="13"/>
  <c r="I95" i="13" s="1"/>
  <c r="J95" i="13" s="1"/>
  <c r="K95" i="13" s="1"/>
  <c r="L95" i="13" s="1"/>
  <c r="M95" i="13" s="1"/>
  <c r="N95" i="13" s="1"/>
  <c r="O95" i="13" s="1"/>
  <c r="P95" i="13" s="1"/>
  <c r="Q95" i="13" s="1"/>
  <c r="H94" i="13"/>
  <c r="I94" i="13" s="1"/>
  <c r="J94" i="13" s="1"/>
  <c r="K94" i="13" s="1"/>
  <c r="L94" i="13" s="1"/>
  <c r="M94" i="13" s="1"/>
  <c r="N94" i="13" s="1"/>
  <c r="O94" i="13" s="1"/>
  <c r="P94" i="13" s="1"/>
  <c r="Q94" i="13" s="1"/>
  <c r="H81" i="13"/>
  <c r="I81" i="13" s="1"/>
  <c r="J81" i="13" s="1"/>
  <c r="K81" i="13" s="1"/>
  <c r="L81" i="13" s="1"/>
  <c r="M81" i="13" s="1"/>
  <c r="N81" i="13" s="1"/>
  <c r="O81" i="13" s="1"/>
  <c r="P81" i="13" s="1"/>
  <c r="Q81" i="13" s="1"/>
  <c r="H80" i="13"/>
  <c r="I80" i="13" s="1"/>
  <c r="J80" i="13" s="1"/>
  <c r="K80" i="13" s="1"/>
  <c r="L80" i="13" s="1"/>
  <c r="M80" i="13" s="1"/>
  <c r="N80" i="13" s="1"/>
  <c r="O80" i="13" s="1"/>
  <c r="P80" i="13" s="1"/>
  <c r="Q80" i="13" s="1"/>
  <c r="H79" i="13"/>
  <c r="I79" i="13" s="1"/>
  <c r="J79" i="13" s="1"/>
  <c r="K79" i="13" s="1"/>
  <c r="L79" i="13" s="1"/>
  <c r="M79" i="13" s="1"/>
  <c r="N79" i="13" s="1"/>
  <c r="O79" i="13" s="1"/>
  <c r="P79" i="13" s="1"/>
  <c r="Q79" i="13" s="1"/>
  <c r="H76" i="13"/>
  <c r="I76" i="13" s="1"/>
  <c r="J76" i="13" s="1"/>
  <c r="K76" i="13" s="1"/>
  <c r="L76" i="13" s="1"/>
  <c r="M76" i="13" s="1"/>
  <c r="N76" i="13" s="1"/>
  <c r="O76" i="13" s="1"/>
  <c r="P76" i="13" s="1"/>
  <c r="Q76" i="13" s="1"/>
  <c r="H75" i="13"/>
  <c r="I75" i="13" s="1"/>
  <c r="J75" i="13" s="1"/>
  <c r="K75" i="13" s="1"/>
  <c r="L75" i="13" s="1"/>
  <c r="M75" i="13" s="1"/>
  <c r="N75" i="13" s="1"/>
  <c r="O75" i="13" s="1"/>
  <c r="P75" i="13" s="1"/>
  <c r="Q75" i="13" s="1"/>
  <c r="H74" i="13"/>
  <c r="I74" i="13" s="1"/>
  <c r="J74" i="13" s="1"/>
  <c r="K74" i="13" s="1"/>
  <c r="L74" i="13" s="1"/>
  <c r="M74" i="13" s="1"/>
  <c r="N74" i="13" s="1"/>
  <c r="O74" i="13" s="1"/>
  <c r="P74" i="13" s="1"/>
  <c r="Q74" i="13" s="1"/>
  <c r="H69" i="13"/>
  <c r="I69" i="13" s="1"/>
  <c r="J69" i="13" s="1"/>
  <c r="K69" i="13" s="1"/>
  <c r="L69" i="13" s="1"/>
  <c r="M69" i="13" s="1"/>
  <c r="N69" i="13" s="1"/>
  <c r="O69" i="13" s="1"/>
  <c r="P69" i="13" s="1"/>
  <c r="Q69" i="13" s="1"/>
  <c r="H68" i="13"/>
  <c r="I68" i="13" s="1"/>
  <c r="J68" i="13" s="1"/>
  <c r="K68" i="13" s="1"/>
  <c r="L68" i="13" s="1"/>
  <c r="M68" i="13" s="1"/>
  <c r="N68" i="13" s="1"/>
  <c r="O68" i="13" s="1"/>
  <c r="P68" i="13" s="1"/>
  <c r="Q68" i="13" s="1"/>
  <c r="H67" i="13"/>
  <c r="I67" i="13" s="1"/>
  <c r="J67" i="13" s="1"/>
  <c r="K67" i="13" s="1"/>
  <c r="L67" i="13" s="1"/>
  <c r="M67" i="13" s="1"/>
  <c r="N67" i="13" s="1"/>
  <c r="O67" i="13" s="1"/>
  <c r="P67" i="13" s="1"/>
  <c r="Q67" i="13" s="1"/>
  <c r="H64" i="13"/>
  <c r="I64" i="13" s="1"/>
  <c r="J64" i="13" s="1"/>
  <c r="K64" i="13" s="1"/>
  <c r="L64" i="13" s="1"/>
  <c r="M64" i="13" s="1"/>
  <c r="N64" i="13" s="1"/>
  <c r="O64" i="13" s="1"/>
  <c r="P64" i="13" s="1"/>
  <c r="Q64" i="13" s="1"/>
  <c r="H63" i="13"/>
  <c r="I63" i="13" s="1"/>
  <c r="J63" i="13" s="1"/>
  <c r="K63" i="13" s="1"/>
  <c r="L63" i="13" s="1"/>
  <c r="M63" i="13" s="1"/>
  <c r="N63" i="13" s="1"/>
  <c r="O63" i="13" s="1"/>
  <c r="P63" i="13" s="1"/>
  <c r="Q63" i="13" s="1"/>
  <c r="H62" i="13"/>
  <c r="I62" i="13" s="1"/>
  <c r="J62" i="13" s="1"/>
  <c r="K62" i="13" s="1"/>
  <c r="L62" i="13" s="1"/>
  <c r="M62" i="13" s="1"/>
  <c r="N62" i="13" s="1"/>
  <c r="O62" i="13" s="1"/>
  <c r="P62" i="13" s="1"/>
  <c r="Q62" i="13" s="1"/>
  <c r="H56" i="13"/>
  <c r="I56" i="13" s="1"/>
  <c r="J56" i="13" s="1"/>
  <c r="K56" i="13" s="1"/>
  <c r="L56" i="13" s="1"/>
  <c r="M56" i="13" s="1"/>
  <c r="N56" i="13" s="1"/>
  <c r="O56" i="13" s="1"/>
  <c r="P56" i="13" s="1"/>
  <c r="Q56" i="13" s="1"/>
  <c r="H55" i="13"/>
  <c r="I55" i="13" s="1"/>
  <c r="J55" i="13" s="1"/>
  <c r="K55" i="13" s="1"/>
  <c r="L55" i="13" s="1"/>
  <c r="M55" i="13" s="1"/>
  <c r="N55" i="13" s="1"/>
  <c r="O55" i="13" s="1"/>
  <c r="P55" i="13" s="1"/>
  <c r="Q55" i="13" s="1"/>
  <c r="H54" i="13"/>
  <c r="I54" i="13" s="1"/>
  <c r="J54" i="13" s="1"/>
  <c r="K54" i="13" s="1"/>
  <c r="L54" i="13" s="1"/>
  <c r="M54" i="13" s="1"/>
  <c r="N54" i="13" s="1"/>
  <c r="O54" i="13" s="1"/>
  <c r="P54" i="13" s="1"/>
  <c r="Q54" i="13" s="1"/>
  <c r="H51" i="13"/>
  <c r="I51" i="13" s="1"/>
  <c r="J51" i="13" s="1"/>
  <c r="K51" i="13" s="1"/>
  <c r="L51" i="13" s="1"/>
  <c r="M51" i="13" s="1"/>
  <c r="N51" i="13" s="1"/>
  <c r="O51" i="13" s="1"/>
  <c r="P51" i="13" s="1"/>
  <c r="Q51" i="13" s="1"/>
  <c r="H50" i="13"/>
  <c r="I50" i="13" s="1"/>
  <c r="J50" i="13" s="1"/>
  <c r="K50" i="13" s="1"/>
  <c r="L50" i="13" s="1"/>
  <c r="M50" i="13" s="1"/>
  <c r="N50" i="13" s="1"/>
  <c r="O50" i="13" s="1"/>
  <c r="P50" i="13" s="1"/>
  <c r="Q50" i="13" s="1"/>
  <c r="H49" i="13"/>
  <c r="I49" i="13" s="1"/>
  <c r="J49" i="13" s="1"/>
  <c r="K49" i="13" s="1"/>
  <c r="L49" i="13" s="1"/>
  <c r="M49" i="13" s="1"/>
  <c r="N49" i="13" s="1"/>
  <c r="O49" i="13" s="1"/>
  <c r="P49" i="13" s="1"/>
  <c r="Q49" i="13" s="1"/>
  <c r="H43" i="13"/>
  <c r="I43" i="13" s="1"/>
  <c r="J43" i="13" s="1"/>
  <c r="K43" i="13" s="1"/>
  <c r="L43" i="13" s="1"/>
  <c r="M43" i="13" s="1"/>
  <c r="N43" i="13" s="1"/>
  <c r="O43" i="13" s="1"/>
  <c r="P43" i="13" s="1"/>
  <c r="Q43" i="13" s="1"/>
  <c r="H42" i="13"/>
  <c r="I42" i="13" s="1"/>
  <c r="J42" i="13" s="1"/>
  <c r="K42" i="13" s="1"/>
  <c r="L42" i="13" s="1"/>
  <c r="M42" i="13" s="1"/>
  <c r="N42" i="13" s="1"/>
  <c r="O42" i="13" s="1"/>
  <c r="P42" i="13" s="1"/>
  <c r="Q42" i="13" s="1"/>
  <c r="H41" i="13"/>
  <c r="I41" i="13" s="1"/>
  <c r="J41" i="13" s="1"/>
  <c r="K41" i="13" s="1"/>
  <c r="L41" i="13" s="1"/>
  <c r="M41" i="13" s="1"/>
  <c r="N41" i="13" s="1"/>
  <c r="O41" i="13" s="1"/>
  <c r="P41" i="13" s="1"/>
  <c r="Q41" i="13" s="1"/>
  <c r="H38" i="13"/>
  <c r="I38" i="13" s="1"/>
  <c r="J38" i="13" s="1"/>
  <c r="K38" i="13" s="1"/>
  <c r="L38" i="13" s="1"/>
  <c r="M38" i="13" s="1"/>
  <c r="N38" i="13" s="1"/>
  <c r="O38" i="13" s="1"/>
  <c r="P38" i="13" s="1"/>
  <c r="Q38" i="13" s="1"/>
  <c r="H37" i="13"/>
  <c r="I37" i="13" s="1"/>
  <c r="J37" i="13" s="1"/>
  <c r="K37" i="13" s="1"/>
  <c r="L37" i="13" s="1"/>
  <c r="M37" i="13" s="1"/>
  <c r="N37" i="13" s="1"/>
  <c r="O37" i="13" s="1"/>
  <c r="P37" i="13" s="1"/>
  <c r="Q37" i="13" s="1"/>
  <c r="H36" i="13"/>
  <c r="I36" i="13" s="1"/>
  <c r="J36" i="13" s="1"/>
  <c r="K36" i="13" s="1"/>
  <c r="L36" i="13" s="1"/>
  <c r="M36" i="13" s="1"/>
  <c r="N36" i="13" s="1"/>
  <c r="O36" i="13" s="1"/>
  <c r="P36" i="13" s="1"/>
  <c r="Q36" i="13" s="1"/>
  <c r="H17" i="13"/>
  <c r="I17" i="13" s="1"/>
  <c r="J17" i="13" s="1"/>
  <c r="K17" i="13" s="1"/>
  <c r="L17" i="13" s="1"/>
  <c r="M17" i="13" s="1"/>
  <c r="N17" i="13" s="1"/>
  <c r="O17" i="13" s="1"/>
  <c r="P17" i="13" s="1"/>
  <c r="Q17" i="13" s="1"/>
  <c r="H29" i="13"/>
  <c r="I29" i="13" s="1"/>
  <c r="J29" i="13" s="1"/>
  <c r="K29" i="13" s="1"/>
  <c r="L29" i="13" s="1"/>
  <c r="M29" i="13" s="1"/>
  <c r="N29" i="13" s="1"/>
  <c r="O29" i="13" s="1"/>
  <c r="P29" i="13" s="1"/>
  <c r="Q29" i="13" s="1"/>
  <c r="H31" i="13"/>
  <c r="I31" i="13" s="1"/>
  <c r="J31" i="13" s="1"/>
  <c r="K31" i="13" s="1"/>
  <c r="L31" i="13" s="1"/>
  <c r="M31" i="13" s="1"/>
  <c r="N31" i="13" s="1"/>
  <c r="O31" i="13" s="1"/>
  <c r="P31" i="13" s="1"/>
  <c r="Q31" i="13" s="1"/>
  <c r="H30" i="13"/>
  <c r="I30" i="13" s="1"/>
  <c r="J30" i="13" s="1"/>
  <c r="K30" i="13" s="1"/>
  <c r="L30" i="13" s="1"/>
  <c r="M30" i="13" s="1"/>
  <c r="N30" i="13" s="1"/>
  <c r="O30" i="13" s="1"/>
  <c r="P30" i="13" s="1"/>
  <c r="Q30" i="13" s="1"/>
  <c r="H26" i="13"/>
  <c r="I26" i="13" s="1"/>
  <c r="J26" i="13" s="1"/>
  <c r="K26" i="13" s="1"/>
  <c r="L26" i="13" s="1"/>
  <c r="M26" i="13" s="1"/>
  <c r="N26" i="13" s="1"/>
  <c r="O26" i="13" s="1"/>
  <c r="P26" i="13" s="1"/>
  <c r="Q26" i="13" s="1"/>
  <c r="H25" i="13"/>
  <c r="I25" i="13" s="1"/>
  <c r="J25" i="13" s="1"/>
  <c r="K25" i="13" s="1"/>
  <c r="L25" i="13" s="1"/>
  <c r="M25" i="13" s="1"/>
  <c r="N25" i="13" s="1"/>
  <c r="O25" i="13" s="1"/>
  <c r="P25" i="13" s="1"/>
  <c r="Q25" i="13" s="1"/>
  <c r="H24" i="13"/>
  <c r="I24" i="13" s="1"/>
  <c r="J24" i="13" s="1"/>
  <c r="K24" i="13" s="1"/>
  <c r="L24" i="13" s="1"/>
  <c r="M24" i="13" s="1"/>
  <c r="N24" i="13" s="1"/>
  <c r="O24" i="13" s="1"/>
  <c r="P24" i="13" s="1"/>
  <c r="Q24" i="13" s="1"/>
  <c r="H13" i="13"/>
  <c r="I13" i="13" s="1"/>
  <c r="J13" i="13" s="1"/>
  <c r="K13" i="13" s="1"/>
  <c r="L13" i="13" s="1"/>
  <c r="M13" i="13" s="1"/>
  <c r="N13" i="13" s="1"/>
  <c r="O13" i="13" s="1"/>
  <c r="P13" i="13" s="1"/>
  <c r="Q13" i="13" s="1"/>
  <c r="C260" i="11" l="1"/>
  <c r="J48" i="5"/>
  <c r="J46" i="5"/>
  <c r="I40" i="5"/>
  <c r="I42" i="5"/>
  <c r="I52" i="5"/>
  <c r="I54" i="5"/>
  <c r="I58" i="5"/>
  <c r="I60" i="5"/>
  <c r="J42" i="5" l="1"/>
  <c r="J40" i="5"/>
  <c r="J60" i="5"/>
  <c r="J58" i="5"/>
  <c r="J54" i="5"/>
  <c r="J52" i="5"/>
  <c r="K46" i="5"/>
  <c r="K48" i="5"/>
  <c r="C52" i="12"/>
  <c r="K23" i="19"/>
  <c r="L23" i="19"/>
  <c r="M23" i="19"/>
  <c r="G23" i="19"/>
  <c r="G28" i="19" s="1"/>
  <c r="H23" i="19"/>
  <c r="D23" i="19"/>
  <c r="E23" i="19"/>
  <c r="I27" i="19" s="1"/>
  <c r="C23" i="19"/>
  <c r="B23" i="19"/>
  <c r="K11" i="19"/>
  <c r="L11" i="19"/>
  <c r="M11" i="19"/>
  <c r="K12" i="19"/>
  <c r="L12" i="19"/>
  <c r="M12" i="19"/>
  <c r="K13" i="19"/>
  <c r="L13" i="19"/>
  <c r="M13" i="19"/>
  <c r="K14" i="19"/>
  <c r="L14" i="19"/>
  <c r="M14" i="19"/>
  <c r="K15" i="19"/>
  <c r="L15" i="19"/>
  <c r="M15" i="19"/>
  <c r="K16" i="19"/>
  <c r="L16" i="19"/>
  <c r="M16" i="19"/>
  <c r="K17" i="19"/>
  <c r="L17" i="19"/>
  <c r="M17" i="19"/>
  <c r="G11" i="19"/>
  <c r="H11" i="19"/>
  <c r="G12" i="19"/>
  <c r="H12" i="19"/>
  <c r="G13" i="19"/>
  <c r="H13" i="19"/>
  <c r="G14" i="19"/>
  <c r="H14" i="19"/>
  <c r="G15" i="19"/>
  <c r="H15" i="19"/>
  <c r="G16" i="19"/>
  <c r="H16" i="19"/>
  <c r="G17" i="19"/>
  <c r="H17" i="19"/>
  <c r="D11" i="19"/>
  <c r="E11" i="19"/>
  <c r="D12" i="19"/>
  <c r="F12" i="19" s="1"/>
  <c r="I12" i="19" s="1"/>
  <c r="E12" i="19"/>
  <c r="D13" i="19"/>
  <c r="E13" i="19"/>
  <c r="D14" i="19"/>
  <c r="F14" i="19" s="1"/>
  <c r="E14" i="19"/>
  <c r="D15" i="19"/>
  <c r="E15" i="19"/>
  <c r="D16" i="19"/>
  <c r="E16" i="19"/>
  <c r="D17" i="19"/>
  <c r="E17" i="19"/>
  <c r="C11" i="19"/>
  <c r="C12" i="19"/>
  <c r="C13" i="19"/>
  <c r="C14" i="19"/>
  <c r="C15" i="19"/>
  <c r="C16" i="19"/>
  <c r="C17" i="19"/>
  <c r="B11" i="19"/>
  <c r="B12" i="19"/>
  <c r="B13" i="19"/>
  <c r="B14" i="19"/>
  <c r="B15" i="19"/>
  <c r="B16" i="19"/>
  <c r="B17" i="19"/>
  <c r="I45" i="9"/>
  <c r="J45" i="9"/>
  <c r="K45" i="9" s="1"/>
  <c r="L45" i="9" s="1"/>
  <c r="M45" i="9" s="1"/>
  <c r="N45" i="9" s="1"/>
  <c r="O45" i="9" s="1"/>
  <c r="P45" i="9" s="1"/>
  <c r="Q45" i="9" s="1"/>
  <c r="R45" i="9" s="1"/>
  <c r="I47" i="9"/>
  <c r="J47" i="9" s="1"/>
  <c r="K47" i="9" s="1"/>
  <c r="H88" i="13"/>
  <c r="I88" i="13"/>
  <c r="J88" i="13"/>
  <c r="K88" i="13"/>
  <c r="L88" i="13"/>
  <c r="M88" i="13"/>
  <c r="N88" i="13"/>
  <c r="O88" i="13"/>
  <c r="P88" i="13" s="1"/>
  <c r="Q88" i="13" s="1"/>
  <c r="H49" i="9"/>
  <c r="D19" i="9"/>
  <c r="E19" i="9"/>
  <c r="F19" i="9"/>
  <c r="G19" i="9"/>
  <c r="H19" i="9"/>
  <c r="D13" i="14"/>
  <c r="D14" i="14" s="1"/>
  <c r="E13" i="14"/>
  <c r="E14" i="14" s="1"/>
  <c r="F13" i="14"/>
  <c r="F14" i="14" s="1"/>
  <c r="G13" i="14"/>
  <c r="G14" i="14" s="1"/>
  <c r="H13" i="14"/>
  <c r="H14" i="14" s="1"/>
  <c r="C41" i="4"/>
  <c r="D8" i="14"/>
  <c r="E8" i="14"/>
  <c r="F8" i="14"/>
  <c r="G8" i="14"/>
  <c r="H8" i="14"/>
  <c r="I8" i="14"/>
  <c r="J8" i="14"/>
  <c r="K8" i="14"/>
  <c r="L8" i="14"/>
  <c r="M8" i="14"/>
  <c r="N8" i="14"/>
  <c r="O8" i="14"/>
  <c r="P8" i="14"/>
  <c r="Q8" i="14"/>
  <c r="R8" i="14"/>
  <c r="C8" i="5"/>
  <c r="C8" i="6" s="1"/>
  <c r="D8" i="5"/>
  <c r="D8" i="6" s="1"/>
  <c r="E8" i="5"/>
  <c r="E8" i="6" s="1"/>
  <c r="F8" i="5"/>
  <c r="F8" i="6" s="1"/>
  <c r="G8" i="5"/>
  <c r="G8" i="6" s="1"/>
  <c r="H8" i="5"/>
  <c r="H8" i="6" s="1"/>
  <c r="I8" i="5"/>
  <c r="I8" i="6" s="1"/>
  <c r="J8" i="5"/>
  <c r="J8" i="6" s="1"/>
  <c r="K8" i="5"/>
  <c r="K8" i="6" s="1"/>
  <c r="L8" i="5"/>
  <c r="L8" i="6" s="1"/>
  <c r="M8" i="5"/>
  <c r="M8" i="6" s="1"/>
  <c r="N8" i="5"/>
  <c r="N8" i="6" s="1"/>
  <c r="O8" i="5"/>
  <c r="O8" i="6" s="1"/>
  <c r="P8" i="5"/>
  <c r="P8" i="6" s="1"/>
  <c r="Q8" i="5"/>
  <c r="Q8" i="6" s="1"/>
  <c r="D8" i="4"/>
  <c r="E8" i="4"/>
  <c r="F8" i="4"/>
  <c r="G8" i="4"/>
  <c r="H8" i="4"/>
  <c r="C8" i="8"/>
  <c r="D8" i="9" s="1"/>
  <c r="C8" i="10" s="1"/>
  <c r="C8" i="16" s="1"/>
  <c r="C8" i="18" s="1"/>
  <c r="C8" i="12" s="1"/>
  <c r="D8" i="8"/>
  <c r="E8" i="9" s="1"/>
  <c r="D8" i="10" s="1"/>
  <c r="D8" i="16" s="1"/>
  <c r="D8" i="18" s="1"/>
  <c r="D8" i="12" s="1"/>
  <c r="E8" i="8"/>
  <c r="F8" i="9" s="1"/>
  <c r="E8" i="10" s="1"/>
  <c r="E8" i="16" s="1"/>
  <c r="E8" i="18" s="1"/>
  <c r="E8" i="12" s="1"/>
  <c r="F8" i="8"/>
  <c r="G8" i="9" s="1"/>
  <c r="F8" i="10" s="1"/>
  <c r="F8" i="16" s="1"/>
  <c r="F8" i="18" s="1"/>
  <c r="F8" i="12" s="1"/>
  <c r="G8" i="8"/>
  <c r="H8" i="9" s="1"/>
  <c r="G8" i="10" s="1"/>
  <c r="G8" i="16" s="1"/>
  <c r="G8" i="18" s="1"/>
  <c r="G8" i="12" s="1"/>
  <c r="H8" i="8"/>
  <c r="I8" i="9" s="1"/>
  <c r="H8" i="10" s="1"/>
  <c r="H8" i="16" s="1"/>
  <c r="H8" i="18" s="1"/>
  <c r="H8" i="12" s="1"/>
  <c r="I8" i="8"/>
  <c r="J8" i="9" s="1"/>
  <c r="I8" i="10" s="1"/>
  <c r="I8" i="16" s="1"/>
  <c r="I8" i="18" s="1"/>
  <c r="I8" i="12" s="1"/>
  <c r="J8" i="8"/>
  <c r="K8" i="9" s="1"/>
  <c r="J8" i="10" s="1"/>
  <c r="J8" i="16" s="1"/>
  <c r="J8" i="18" s="1"/>
  <c r="J8" i="12" s="1"/>
  <c r="K8" i="8"/>
  <c r="L8" i="9" s="1"/>
  <c r="K8" i="10" s="1"/>
  <c r="K8" i="16" s="1"/>
  <c r="K8" i="18" s="1"/>
  <c r="K8" i="12" s="1"/>
  <c r="L8" i="8"/>
  <c r="M8" i="9" s="1"/>
  <c r="L8" i="10" s="1"/>
  <c r="L8" i="16" s="1"/>
  <c r="L8" i="18" s="1"/>
  <c r="L8" i="12" s="1"/>
  <c r="M8" i="8"/>
  <c r="N8" i="9" s="1"/>
  <c r="M8" i="10" s="1"/>
  <c r="M8" i="16" s="1"/>
  <c r="M8" i="18" s="1"/>
  <c r="M8" i="12" s="1"/>
  <c r="N8" i="8"/>
  <c r="O8" i="9" s="1"/>
  <c r="N8" i="10" s="1"/>
  <c r="N8" i="16" s="1"/>
  <c r="N8" i="18" s="1"/>
  <c r="N8" i="12" s="1"/>
  <c r="O8" i="8"/>
  <c r="P8" i="9" s="1"/>
  <c r="O8" i="10" s="1"/>
  <c r="O8" i="16" s="1"/>
  <c r="O8" i="18" s="1"/>
  <c r="O8" i="12" s="1"/>
  <c r="P8" i="8"/>
  <c r="Q8" i="9" s="1"/>
  <c r="P8" i="10" s="1"/>
  <c r="P8" i="16" s="1"/>
  <c r="P8" i="18" s="1"/>
  <c r="P8" i="12" s="1"/>
  <c r="Q8" i="8"/>
  <c r="R8" i="9" s="1"/>
  <c r="Q8" i="10" s="1"/>
  <c r="Q8" i="16" s="1"/>
  <c r="Q8" i="18" s="1"/>
  <c r="Q8" i="12" s="1"/>
  <c r="D78" i="13"/>
  <c r="E78" i="13" s="1"/>
  <c r="F78" i="13" s="1"/>
  <c r="G78" i="13" s="1"/>
  <c r="H78" i="13" s="1"/>
  <c r="I78" i="13" s="1"/>
  <c r="J78" i="13" s="1"/>
  <c r="K78" i="13" s="1"/>
  <c r="L78" i="13" s="1"/>
  <c r="M78" i="13" s="1"/>
  <c r="N78" i="13" s="1"/>
  <c r="O78" i="13" s="1"/>
  <c r="P78" i="13" s="1"/>
  <c r="Q78" i="13" s="1"/>
  <c r="C77" i="13"/>
  <c r="D73" i="13" s="1"/>
  <c r="D77" i="13" s="1"/>
  <c r="C65" i="13"/>
  <c r="D60" i="13" s="1"/>
  <c r="D65" i="13" s="1"/>
  <c r="E60" i="13" s="1"/>
  <c r="E65" i="13" s="1"/>
  <c r="F60" i="13" s="1"/>
  <c r="F65" i="13" s="1"/>
  <c r="G60" i="13" s="1"/>
  <c r="G65" i="13" s="1"/>
  <c r="D53" i="13"/>
  <c r="E53" i="13" s="1"/>
  <c r="F53" i="13" s="1"/>
  <c r="G53" i="13" s="1"/>
  <c r="C52" i="13"/>
  <c r="D47" i="13" s="1"/>
  <c r="D52" i="13" s="1"/>
  <c r="D40" i="13"/>
  <c r="E40" i="13" s="1"/>
  <c r="F40" i="13" s="1"/>
  <c r="G40" i="13" s="1"/>
  <c r="H40" i="13" s="1"/>
  <c r="I40" i="13" s="1"/>
  <c r="J40" i="13" s="1"/>
  <c r="K40" i="13" s="1"/>
  <c r="L40" i="13" s="1"/>
  <c r="M40" i="13" s="1"/>
  <c r="N40" i="13" s="1"/>
  <c r="O40" i="13" s="1"/>
  <c r="P40" i="13" s="1"/>
  <c r="Q40" i="13" s="1"/>
  <c r="C39" i="13"/>
  <c r="C44" i="13" s="1"/>
  <c r="D28" i="13"/>
  <c r="E28" i="13" s="1"/>
  <c r="F28" i="13" s="1"/>
  <c r="G28" i="13" s="1"/>
  <c r="C27" i="13"/>
  <c r="D22" i="13" s="1"/>
  <c r="D27" i="13" s="1"/>
  <c r="D16" i="13"/>
  <c r="E16" i="13" s="1"/>
  <c r="F16" i="13" s="1"/>
  <c r="G16" i="13" s="1"/>
  <c r="H16" i="13" s="1"/>
  <c r="C15" i="13"/>
  <c r="D12" i="13" s="1"/>
  <c r="D15" i="13" s="1"/>
  <c r="E12" i="13" s="1"/>
  <c r="E15" i="13" s="1"/>
  <c r="F12" i="13" s="1"/>
  <c r="F15" i="13" s="1"/>
  <c r="G12" i="13" s="1"/>
  <c r="G15" i="13" s="1"/>
  <c r="C89" i="13"/>
  <c r="D87" i="13"/>
  <c r="D89" i="13" s="1"/>
  <c r="D85" i="13"/>
  <c r="E85" i="13"/>
  <c r="F85" i="13"/>
  <c r="G85" i="13"/>
  <c r="D98" i="13"/>
  <c r="E98" i="13" s="1"/>
  <c r="F98" i="13" s="1"/>
  <c r="G98" i="13" s="1"/>
  <c r="C97" i="13"/>
  <c r="D92" i="13" s="1"/>
  <c r="D97" i="13" s="1"/>
  <c r="E92" i="13" s="1"/>
  <c r="E97" i="13" s="1"/>
  <c r="D109" i="13"/>
  <c r="E109" i="13" s="1"/>
  <c r="F109" i="13" s="1"/>
  <c r="G109" i="13" s="1"/>
  <c r="H109" i="13" s="1"/>
  <c r="I109" i="13" s="1"/>
  <c r="J109" i="13" s="1"/>
  <c r="K109" i="13" s="1"/>
  <c r="L109" i="13" s="1"/>
  <c r="M109" i="13" s="1"/>
  <c r="N109" i="13" s="1"/>
  <c r="O109" i="13" s="1"/>
  <c r="P109" i="13" s="1"/>
  <c r="Q109" i="13" s="1"/>
  <c r="C108" i="13"/>
  <c r="D104" i="13" s="1"/>
  <c r="D108" i="13" s="1"/>
  <c r="D142" i="13"/>
  <c r="E142" i="13" s="1"/>
  <c r="F142" i="13" s="1"/>
  <c r="G142" i="13" s="1"/>
  <c r="H142" i="13" s="1"/>
  <c r="I142" i="13" s="1"/>
  <c r="J142" i="13" s="1"/>
  <c r="K142" i="13" s="1"/>
  <c r="C141" i="13"/>
  <c r="D137" i="13" s="1"/>
  <c r="D141" i="13" s="1"/>
  <c r="D153" i="13"/>
  <c r="E153" i="13" s="1"/>
  <c r="F153" i="13" s="1"/>
  <c r="C152" i="13"/>
  <c r="C156" i="13" s="1"/>
  <c r="D163" i="13"/>
  <c r="E163" i="13" s="1"/>
  <c r="F163" i="13" s="1"/>
  <c r="G163" i="13" s="1"/>
  <c r="H163" i="13" s="1"/>
  <c r="C162" i="13"/>
  <c r="C167" i="13" s="1"/>
  <c r="D126" i="13"/>
  <c r="E126" i="13" s="1"/>
  <c r="F126" i="13" s="1"/>
  <c r="G126" i="13" s="1"/>
  <c r="H126" i="13" s="1"/>
  <c r="I126" i="13" s="1"/>
  <c r="J126" i="13" s="1"/>
  <c r="K126" i="13" s="1"/>
  <c r="L126" i="13" s="1"/>
  <c r="M126" i="13" s="1"/>
  <c r="N126" i="13" s="1"/>
  <c r="O126" i="13" s="1"/>
  <c r="P126" i="13" s="1"/>
  <c r="Q126" i="13" s="1"/>
  <c r="C125" i="13"/>
  <c r="C130" i="13" s="1"/>
  <c r="D12" i="8"/>
  <c r="E12" i="8"/>
  <c r="F12" i="8"/>
  <c r="G12" i="8"/>
  <c r="C12" i="8"/>
  <c r="B12" i="8"/>
  <c r="D60" i="14"/>
  <c r="E60" i="14"/>
  <c r="F60" i="14"/>
  <c r="G60" i="14"/>
  <c r="H60" i="14"/>
  <c r="D58" i="14"/>
  <c r="D59" i="14" s="1"/>
  <c r="I59" i="14" s="1"/>
  <c r="E58" i="14"/>
  <c r="E59" i="14" s="1"/>
  <c r="F58" i="14"/>
  <c r="F59" i="14" s="1"/>
  <c r="G58" i="14"/>
  <c r="G59" i="14" s="1"/>
  <c r="H58" i="14"/>
  <c r="H59" i="14" s="1"/>
  <c r="D56" i="14"/>
  <c r="D57" i="14" s="1"/>
  <c r="E56" i="14"/>
  <c r="E57" i="14" s="1"/>
  <c r="F56" i="14"/>
  <c r="F57" i="14" s="1"/>
  <c r="G56" i="14"/>
  <c r="G57" i="14" s="1"/>
  <c r="H56" i="14"/>
  <c r="H57" i="14" s="1"/>
  <c r="D54" i="14"/>
  <c r="D55" i="14" s="1"/>
  <c r="E54" i="14"/>
  <c r="E55" i="14" s="1"/>
  <c r="F54" i="14"/>
  <c r="F55" i="14" s="1"/>
  <c r="G54" i="14"/>
  <c r="G55" i="14" s="1"/>
  <c r="H54" i="14"/>
  <c r="H55" i="14" s="1"/>
  <c r="D52" i="14"/>
  <c r="D53" i="14" s="1"/>
  <c r="E52" i="14"/>
  <c r="E53" i="14" s="1"/>
  <c r="F52" i="14"/>
  <c r="F53" i="14" s="1"/>
  <c r="G52" i="14"/>
  <c r="G53" i="14" s="1"/>
  <c r="H52" i="14"/>
  <c r="H53" i="14" s="1"/>
  <c r="D50" i="14"/>
  <c r="D51" i="14" s="1"/>
  <c r="E50" i="14"/>
  <c r="E51" i="14" s="1"/>
  <c r="F50" i="14"/>
  <c r="F51" i="14" s="1"/>
  <c r="G50" i="14"/>
  <c r="G51" i="14" s="1"/>
  <c r="H50" i="14"/>
  <c r="H51" i="14" s="1"/>
  <c r="D48" i="14"/>
  <c r="D49" i="14" s="1"/>
  <c r="E48" i="14"/>
  <c r="E49" i="14" s="1"/>
  <c r="F48" i="14"/>
  <c r="F49" i="14" s="1"/>
  <c r="G48" i="14"/>
  <c r="G49" i="14" s="1"/>
  <c r="H48" i="14"/>
  <c r="H49" i="14" s="1"/>
  <c r="D44" i="14"/>
  <c r="D45" i="14" s="1"/>
  <c r="E44" i="14"/>
  <c r="E45" i="14" s="1"/>
  <c r="F44" i="14"/>
  <c r="F45" i="14" s="1"/>
  <c r="G44" i="14"/>
  <c r="G45" i="14" s="1"/>
  <c r="H44" i="14"/>
  <c r="H45" i="14" s="1"/>
  <c r="D42" i="14"/>
  <c r="D43" i="14" s="1"/>
  <c r="E42" i="14"/>
  <c r="E43" i="14" s="1"/>
  <c r="F42" i="14"/>
  <c r="F43" i="14" s="1"/>
  <c r="G42" i="14"/>
  <c r="G43" i="14" s="1"/>
  <c r="H42" i="14"/>
  <c r="H43" i="14" s="1"/>
  <c r="D40" i="14"/>
  <c r="D41" i="14" s="1"/>
  <c r="E40" i="14"/>
  <c r="E41" i="14" s="1"/>
  <c r="F40" i="14"/>
  <c r="F41" i="14" s="1"/>
  <c r="G40" i="14"/>
  <c r="G41" i="14" s="1"/>
  <c r="H40" i="14"/>
  <c r="H41" i="14" s="1"/>
  <c r="D38" i="14"/>
  <c r="D39" i="14" s="1"/>
  <c r="E38" i="14"/>
  <c r="E39" i="14" s="1"/>
  <c r="F38" i="14"/>
  <c r="F39" i="14" s="1"/>
  <c r="G38" i="14"/>
  <c r="G39" i="14" s="1"/>
  <c r="H38" i="14"/>
  <c r="H39" i="14" s="1"/>
  <c r="D36" i="14"/>
  <c r="E36" i="14"/>
  <c r="F36" i="14"/>
  <c r="G36" i="14"/>
  <c r="H36" i="14"/>
  <c r="D30" i="14"/>
  <c r="D31" i="14" s="1"/>
  <c r="E30" i="14"/>
  <c r="E31" i="14" s="1"/>
  <c r="F30" i="14"/>
  <c r="F31" i="14" s="1"/>
  <c r="G30" i="14"/>
  <c r="G31" i="14" s="1"/>
  <c r="H30" i="14"/>
  <c r="H31" i="14" s="1"/>
  <c r="D28" i="14"/>
  <c r="D29" i="14" s="1"/>
  <c r="E28" i="14"/>
  <c r="E29" i="14" s="1"/>
  <c r="F28" i="14"/>
  <c r="F29" i="14" s="1"/>
  <c r="G28" i="14"/>
  <c r="G29" i="14" s="1"/>
  <c r="H28" i="14"/>
  <c r="H29" i="14" s="1"/>
  <c r="D26" i="14"/>
  <c r="D27" i="14" s="1"/>
  <c r="E26" i="14"/>
  <c r="E27" i="14" s="1"/>
  <c r="F26" i="14"/>
  <c r="F27" i="14" s="1"/>
  <c r="G26" i="14"/>
  <c r="G27" i="14" s="1"/>
  <c r="H26" i="14"/>
  <c r="H27" i="14" s="1"/>
  <c r="D24" i="14"/>
  <c r="E24" i="14"/>
  <c r="F24" i="14"/>
  <c r="G24" i="14"/>
  <c r="H24" i="14"/>
  <c r="D21" i="14"/>
  <c r="D22" i="14" s="1"/>
  <c r="E21" i="14"/>
  <c r="E22" i="14" s="1"/>
  <c r="F21" i="14"/>
  <c r="F22" i="14" s="1"/>
  <c r="G21" i="14"/>
  <c r="G22" i="14" s="1"/>
  <c r="H21" i="14"/>
  <c r="H22" i="14" s="1"/>
  <c r="D19" i="14"/>
  <c r="D20" i="14" s="1"/>
  <c r="E19" i="14"/>
  <c r="E20" i="14" s="1"/>
  <c r="F19" i="14"/>
  <c r="F20" i="14" s="1"/>
  <c r="G19" i="14"/>
  <c r="G20" i="14" s="1"/>
  <c r="H19" i="14"/>
  <c r="H20" i="14" s="1"/>
  <c r="D17" i="14"/>
  <c r="D18" i="14" s="1"/>
  <c r="E17" i="14"/>
  <c r="E18" i="14" s="1"/>
  <c r="F17" i="14"/>
  <c r="F18" i="14" s="1"/>
  <c r="G17" i="14"/>
  <c r="G18" i="14" s="1"/>
  <c r="H17" i="14"/>
  <c r="H18" i="14" s="1"/>
  <c r="D15" i="14"/>
  <c r="D16" i="14" s="1"/>
  <c r="E15" i="14"/>
  <c r="E16" i="14" s="1"/>
  <c r="F15" i="14"/>
  <c r="F16" i="14" s="1"/>
  <c r="G15" i="14"/>
  <c r="G16" i="14" s="1"/>
  <c r="H15" i="14"/>
  <c r="H16" i="14" s="1"/>
  <c r="E26" i="4"/>
  <c r="E28" i="4"/>
  <c r="F28" i="4"/>
  <c r="G28" i="4"/>
  <c r="H28" i="4"/>
  <c r="E14" i="4"/>
  <c r="E12" i="4"/>
  <c r="D14" i="2"/>
  <c r="E11" i="4" s="1"/>
  <c r="E14" i="2"/>
  <c r="F26" i="4" s="1"/>
  <c r="F14" i="2"/>
  <c r="G23" i="4" s="1"/>
  <c r="G14" i="2"/>
  <c r="H25" i="4" s="1"/>
  <c r="C14" i="2"/>
  <c r="D28" i="4" s="1"/>
  <c r="H49" i="3"/>
  <c r="D49" i="3"/>
  <c r="E49" i="3"/>
  <c r="F49" i="3"/>
  <c r="D38" i="3"/>
  <c r="F38" i="3"/>
  <c r="G38" i="3"/>
  <c r="H38" i="3"/>
  <c r="E38" i="3"/>
  <c r="D27" i="3"/>
  <c r="G49" i="3"/>
  <c r="D44" i="2"/>
  <c r="D25" i="1"/>
  <c r="F16" i="19"/>
  <c r="I16" i="19" s="1"/>
  <c r="G29" i="19" l="1"/>
  <c r="G27" i="19"/>
  <c r="F11" i="19"/>
  <c r="I11" i="19" s="1"/>
  <c r="P11" i="19" s="1"/>
  <c r="F15" i="19"/>
  <c r="I15" i="19" s="1"/>
  <c r="P15" i="19" s="1"/>
  <c r="F17" i="19"/>
  <c r="I17" i="19" s="1"/>
  <c r="P17" i="19" s="1"/>
  <c r="F13" i="19"/>
  <c r="I13" i="19" s="1"/>
  <c r="O13" i="19" s="1"/>
  <c r="D23" i="4"/>
  <c r="D17" i="4"/>
  <c r="H26" i="4"/>
  <c r="I27" i="14"/>
  <c r="I49" i="14"/>
  <c r="J49" i="14" s="1"/>
  <c r="K49" i="14" s="1"/>
  <c r="L49" i="14" s="1"/>
  <c r="M49" i="14" s="1"/>
  <c r="N49" i="14" s="1"/>
  <c r="O49" i="14" s="1"/>
  <c r="P49" i="14" s="1"/>
  <c r="Q49" i="14" s="1"/>
  <c r="R49" i="14" s="1"/>
  <c r="D26" i="4"/>
  <c r="I31" i="14"/>
  <c r="J31" i="14" s="1"/>
  <c r="D11" i="4"/>
  <c r="D12" i="4"/>
  <c r="F23" i="4"/>
  <c r="F14" i="4"/>
  <c r="E23" i="4"/>
  <c r="P12" i="19"/>
  <c r="K60" i="5"/>
  <c r="K58" i="5"/>
  <c r="L46" i="5"/>
  <c r="L48" i="5"/>
  <c r="K40" i="5"/>
  <c r="K42" i="5"/>
  <c r="K54" i="5"/>
  <c r="K52" i="5"/>
  <c r="I53" i="14"/>
  <c r="H61" i="14"/>
  <c r="H70" i="9"/>
  <c r="I45" i="14"/>
  <c r="G61" i="14"/>
  <c r="G70" i="9"/>
  <c r="I20" i="14"/>
  <c r="J20" i="14" s="1"/>
  <c r="I41" i="14"/>
  <c r="F61" i="14"/>
  <c r="F70" i="9"/>
  <c r="E25" i="10" s="1"/>
  <c r="I29" i="14"/>
  <c r="I39" i="14"/>
  <c r="I57" i="14"/>
  <c r="I51" i="14"/>
  <c r="E61" i="14"/>
  <c r="E70" i="9"/>
  <c r="I22" i="14"/>
  <c r="J22" i="14" s="1"/>
  <c r="I43" i="14"/>
  <c r="D61" i="14"/>
  <c r="D70" i="9"/>
  <c r="I18" i="14"/>
  <c r="J59" i="14"/>
  <c r="K59" i="14" s="1"/>
  <c r="L59" i="14" s="1"/>
  <c r="I16" i="14"/>
  <c r="I55" i="14"/>
  <c r="I14" i="14"/>
  <c r="D84" i="3"/>
  <c r="O16" i="19"/>
  <c r="I14" i="19"/>
  <c r="O14" i="19" s="1"/>
  <c r="P16" i="19"/>
  <c r="L47" i="9"/>
  <c r="H11" i="4"/>
  <c r="H23" i="4"/>
  <c r="H17" i="4"/>
  <c r="H18" i="4"/>
  <c r="H14" i="4"/>
  <c r="H30" i="4"/>
  <c r="H12" i="4"/>
  <c r="F25" i="4"/>
  <c r="G17" i="4"/>
  <c r="D25" i="4"/>
  <c r="E30" i="4"/>
  <c r="G25" i="4"/>
  <c r="G11" i="4"/>
  <c r="D14" i="4"/>
  <c r="F17" i="4"/>
  <c r="D30" i="4"/>
  <c r="E25" i="4"/>
  <c r="F11" i="4"/>
  <c r="E17" i="4"/>
  <c r="G26" i="4"/>
  <c r="G18" i="4"/>
  <c r="F12" i="4"/>
  <c r="F18" i="4"/>
  <c r="G30" i="4"/>
  <c r="G12" i="4"/>
  <c r="E18" i="4"/>
  <c r="F30" i="4"/>
  <c r="G14" i="4"/>
  <c r="D18" i="4"/>
  <c r="E73" i="13"/>
  <c r="E77" i="13" s="1"/>
  <c r="D82" i="13"/>
  <c r="C82" i="13"/>
  <c r="D149" i="13"/>
  <c r="D152" i="13" s="1"/>
  <c r="E149" i="13" s="1"/>
  <c r="E152" i="13" s="1"/>
  <c r="F149" i="13" s="1"/>
  <c r="F152" i="13" s="1"/>
  <c r="G149" i="13" s="1"/>
  <c r="G152" i="13" s="1"/>
  <c r="H149" i="13" s="1"/>
  <c r="H152" i="13" s="1"/>
  <c r="I149" i="13" s="1"/>
  <c r="I152" i="13" s="1"/>
  <c r="J149" i="13" s="1"/>
  <c r="J152" i="13" s="1"/>
  <c r="K149" i="13" s="1"/>
  <c r="K152" i="13" s="1"/>
  <c r="L149" i="13" s="1"/>
  <c r="L152" i="13" s="1"/>
  <c r="M149" i="13" s="1"/>
  <c r="M152" i="13" s="1"/>
  <c r="N149" i="13" s="1"/>
  <c r="N152" i="13" s="1"/>
  <c r="O149" i="13" s="1"/>
  <c r="O152" i="13" s="1"/>
  <c r="P149" i="13" s="1"/>
  <c r="P152" i="13" s="1"/>
  <c r="Q149" i="13" s="1"/>
  <c r="Q152" i="13" s="1"/>
  <c r="G19" i="13"/>
  <c r="C57" i="13"/>
  <c r="D35" i="13"/>
  <c r="D39" i="13" s="1"/>
  <c r="E35" i="13" s="1"/>
  <c r="E39" i="13" s="1"/>
  <c r="F35" i="13" s="1"/>
  <c r="F39" i="13" s="1"/>
  <c r="G35" i="13" s="1"/>
  <c r="G39" i="13" s="1"/>
  <c r="G44" i="13" s="1"/>
  <c r="C69" i="13"/>
  <c r="D66" i="13" s="1"/>
  <c r="D69" i="13" s="1"/>
  <c r="D70" i="13" s="1"/>
  <c r="E47" i="13"/>
  <c r="E52" i="13" s="1"/>
  <c r="D57" i="13"/>
  <c r="E22" i="13"/>
  <c r="E27" i="13" s="1"/>
  <c r="D32" i="13"/>
  <c r="C32" i="13"/>
  <c r="E19" i="13"/>
  <c r="F19" i="13"/>
  <c r="D19" i="13"/>
  <c r="C19" i="13"/>
  <c r="C101" i="13"/>
  <c r="E87" i="13"/>
  <c r="E104" i="13"/>
  <c r="E108" i="13" s="1"/>
  <c r="D113" i="13"/>
  <c r="C113" i="13"/>
  <c r="F92" i="13"/>
  <c r="F97" i="13" s="1"/>
  <c r="E101" i="13"/>
  <c r="D101" i="13"/>
  <c r="G153" i="13"/>
  <c r="E137" i="13"/>
  <c r="E141" i="13" s="1"/>
  <c r="E146" i="13" s="1"/>
  <c r="D146" i="13"/>
  <c r="D159" i="13"/>
  <c r="D162" i="13" s="1"/>
  <c r="C146" i="13"/>
  <c r="C170" i="13" s="1"/>
  <c r="E156" i="13"/>
  <c r="D120" i="13"/>
  <c r="D125" i="13" s="1"/>
  <c r="I163" i="13"/>
  <c r="J163" i="13" s="1"/>
  <c r="K163" i="13" s="1"/>
  <c r="L163" i="13" s="1"/>
  <c r="M163" i="13" s="1"/>
  <c r="N163" i="13" s="1"/>
  <c r="O163" i="13" s="1"/>
  <c r="P163" i="13" s="1"/>
  <c r="L142" i="13"/>
  <c r="C133" i="13"/>
  <c r="H85" i="13"/>
  <c r="H86" i="13" s="1"/>
  <c r="I85" i="13" s="1"/>
  <c r="I86" i="13" s="1"/>
  <c r="J85" i="13" s="1"/>
  <c r="J86" i="13" s="1"/>
  <c r="K85" i="13" s="1"/>
  <c r="K86" i="13" s="1"/>
  <c r="L85" i="13" s="1"/>
  <c r="L86" i="13" s="1"/>
  <c r="M85" i="13" s="1"/>
  <c r="M86" i="13" s="1"/>
  <c r="N85" i="13" s="1"/>
  <c r="N86" i="13" s="1"/>
  <c r="O85" i="13" s="1"/>
  <c r="O86" i="13" s="1"/>
  <c r="P85" i="13" s="1"/>
  <c r="P86" i="13" s="1"/>
  <c r="Q85" i="13" s="1"/>
  <c r="Q86" i="13" s="1"/>
  <c r="H98" i="13"/>
  <c r="I98" i="13" s="1"/>
  <c r="J98" i="13" s="1"/>
  <c r="K98" i="13" s="1"/>
  <c r="L98" i="13" s="1"/>
  <c r="M98" i="13" s="1"/>
  <c r="N98" i="13" s="1"/>
  <c r="O98" i="13" s="1"/>
  <c r="P98" i="13" s="1"/>
  <c r="Q98" i="13" s="1"/>
  <c r="H53" i="13"/>
  <c r="I53" i="13" s="1"/>
  <c r="J53" i="13" s="1"/>
  <c r="K53" i="13" s="1"/>
  <c r="L53" i="13" s="1"/>
  <c r="M53" i="13" s="1"/>
  <c r="N53" i="13" s="1"/>
  <c r="O53" i="13" s="1"/>
  <c r="P53" i="13" s="1"/>
  <c r="Q53" i="13" s="1"/>
  <c r="F23" i="19"/>
  <c r="I23" i="19" s="1"/>
  <c r="P23" i="19" s="1"/>
  <c r="I28" i="19"/>
  <c r="I29" i="19"/>
  <c r="Q14" i="19"/>
  <c r="Q16" i="19"/>
  <c r="Q12" i="19"/>
  <c r="O12" i="19"/>
  <c r="Q17" i="19" l="1"/>
  <c r="Q15" i="19"/>
  <c r="Q11" i="19"/>
  <c r="O17" i="19"/>
  <c r="O15" i="19"/>
  <c r="O11" i="19"/>
  <c r="O20" i="19" s="1"/>
  <c r="Q13" i="19"/>
  <c r="L42" i="5"/>
  <c r="L40" i="5"/>
  <c r="L54" i="5"/>
  <c r="L52" i="5"/>
  <c r="M46" i="5"/>
  <c r="M48" i="5"/>
  <c r="L58" i="5"/>
  <c r="L60" i="5"/>
  <c r="F25" i="10"/>
  <c r="I61" i="14"/>
  <c r="D25" i="10"/>
  <c r="P14" i="19"/>
  <c r="P13" i="19"/>
  <c r="P21" i="19" s="1"/>
  <c r="C28" i="19" s="1"/>
  <c r="F28" i="19" s="1"/>
  <c r="H28" i="19" s="1"/>
  <c r="J28" i="19" s="1"/>
  <c r="M47" i="9"/>
  <c r="M59" i="14"/>
  <c r="G156" i="13"/>
  <c r="F156" i="13"/>
  <c r="D156" i="13"/>
  <c r="F73" i="13"/>
  <c r="F77" i="13" s="1"/>
  <c r="E82" i="13"/>
  <c r="E44" i="13"/>
  <c r="D44" i="13"/>
  <c r="C70" i="13"/>
  <c r="F44" i="13"/>
  <c r="E66" i="13"/>
  <c r="F47" i="13"/>
  <c r="F52" i="13" s="1"/>
  <c r="E57" i="13"/>
  <c r="F22" i="13"/>
  <c r="F27" i="13" s="1"/>
  <c r="E32" i="13"/>
  <c r="E89" i="13"/>
  <c r="F87" i="13"/>
  <c r="F104" i="13"/>
  <c r="F108" i="13" s="1"/>
  <c r="E113" i="13"/>
  <c r="F101" i="13"/>
  <c r="G92" i="13"/>
  <c r="G97" i="13" s="1"/>
  <c r="G101" i="13" s="1"/>
  <c r="F137" i="13"/>
  <c r="F141" i="13" s="1"/>
  <c r="F146" i="13" s="1"/>
  <c r="E159" i="13"/>
  <c r="E162" i="13" s="1"/>
  <c r="D167" i="13"/>
  <c r="D170" i="13" s="1"/>
  <c r="E120" i="13"/>
  <c r="E125" i="13" s="1"/>
  <c r="D130" i="13"/>
  <c r="D133" i="13" s="1"/>
  <c r="M142" i="13"/>
  <c r="Q163" i="13"/>
  <c r="K31" i="14"/>
  <c r="K20" i="14"/>
  <c r="K22" i="14"/>
  <c r="Q23" i="19"/>
  <c r="O23" i="19"/>
  <c r="Q21" i="19"/>
  <c r="C29" i="19" s="1"/>
  <c r="H29" i="19" s="1"/>
  <c r="J29" i="19" s="1"/>
  <c r="Q20" i="19"/>
  <c r="O21" i="19"/>
  <c r="C27" i="19" s="1"/>
  <c r="F27" i="19" s="1"/>
  <c r="M60" i="5" l="1"/>
  <c r="M58" i="5"/>
  <c r="M42" i="5"/>
  <c r="M40" i="5"/>
  <c r="M54" i="5"/>
  <c r="M52" i="5"/>
  <c r="N48" i="5"/>
  <c r="N46" i="5"/>
  <c r="P20" i="19"/>
  <c r="H27" i="19"/>
  <c r="J27" i="19" s="1"/>
  <c r="F29" i="19"/>
  <c r="N47" i="9"/>
  <c r="N59" i="14"/>
  <c r="G73" i="13"/>
  <c r="G77" i="13" s="1"/>
  <c r="G82" i="13" s="1"/>
  <c r="F82" i="13"/>
  <c r="E69" i="13"/>
  <c r="F66" i="13" s="1"/>
  <c r="G47" i="13"/>
  <c r="G52" i="13" s="1"/>
  <c r="G57" i="13" s="1"/>
  <c r="F57" i="13"/>
  <c r="G22" i="13"/>
  <c r="G27" i="13" s="1"/>
  <c r="G32" i="13" s="1"/>
  <c r="F32" i="13"/>
  <c r="G87" i="13"/>
  <c r="F89" i="13"/>
  <c r="G137" i="13"/>
  <c r="G141" i="13" s="1"/>
  <c r="H137" i="13" s="1"/>
  <c r="H141" i="13" s="1"/>
  <c r="G104" i="13"/>
  <c r="G108" i="13" s="1"/>
  <c r="G113" i="13" s="1"/>
  <c r="F113" i="13"/>
  <c r="F159" i="13"/>
  <c r="F162" i="13" s="1"/>
  <c r="E167" i="13"/>
  <c r="E170" i="13" s="1"/>
  <c r="F120" i="13"/>
  <c r="F125" i="13" s="1"/>
  <c r="E130" i="13"/>
  <c r="E133" i="13" s="1"/>
  <c r="N142" i="13"/>
  <c r="L31" i="14"/>
  <c r="L22" i="14"/>
  <c r="L20" i="14"/>
  <c r="H153" i="13"/>
  <c r="H92" i="13"/>
  <c r="H97" i="13" s="1"/>
  <c r="H73" i="13"/>
  <c r="H77" i="13" s="1"/>
  <c r="N54" i="5" l="1"/>
  <c r="N52" i="5"/>
  <c r="N40" i="5"/>
  <c r="N42" i="5"/>
  <c r="O48" i="5"/>
  <c r="O46" i="5"/>
  <c r="N58" i="5"/>
  <c r="N60" i="5"/>
  <c r="O47" i="9"/>
  <c r="O59" i="14"/>
  <c r="F69" i="13"/>
  <c r="G66" i="13" s="1"/>
  <c r="E70" i="13"/>
  <c r="G146" i="13"/>
  <c r="H104" i="13"/>
  <c r="H108" i="13" s="1"/>
  <c r="I104" i="13" s="1"/>
  <c r="I108" i="13" s="1"/>
  <c r="G89" i="13"/>
  <c r="H87" i="13"/>
  <c r="G159" i="13"/>
  <c r="G162" i="13" s="1"/>
  <c r="F167" i="13"/>
  <c r="F170" i="13" s="1"/>
  <c r="I137" i="13"/>
  <c r="I141" i="13" s="1"/>
  <c r="H146" i="13"/>
  <c r="G120" i="13"/>
  <c r="G125" i="13" s="1"/>
  <c r="G130" i="13" s="1"/>
  <c r="G133" i="13" s="1"/>
  <c r="F130" i="13"/>
  <c r="F133" i="13" s="1"/>
  <c r="O142" i="13"/>
  <c r="M31" i="14"/>
  <c r="M20" i="14"/>
  <c r="M22" i="14"/>
  <c r="I153" i="13"/>
  <c r="H156" i="13"/>
  <c r="I92" i="13"/>
  <c r="I97" i="13" s="1"/>
  <c r="H101" i="13"/>
  <c r="H82" i="13"/>
  <c r="I73" i="13"/>
  <c r="I77" i="13" s="1"/>
  <c r="H47" i="13"/>
  <c r="H52" i="13" s="1"/>
  <c r="H35" i="13"/>
  <c r="H39" i="13" s="1"/>
  <c r="H12" i="13"/>
  <c r="H15" i="13" s="1"/>
  <c r="O60" i="5" l="1"/>
  <c r="O58" i="5"/>
  <c r="O42" i="5"/>
  <c r="O40" i="5"/>
  <c r="O54" i="5"/>
  <c r="O52" i="5"/>
  <c r="P46" i="5"/>
  <c r="P48" i="5"/>
  <c r="H113" i="13"/>
  <c r="P47" i="9"/>
  <c r="P59" i="14"/>
  <c r="G69" i="13"/>
  <c r="H66" i="13" s="1"/>
  <c r="I66" i="13" s="1"/>
  <c r="J66" i="13" s="1"/>
  <c r="K66" i="13" s="1"/>
  <c r="L66" i="13" s="1"/>
  <c r="M66" i="13" s="1"/>
  <c r="N66" i="13" s="1"/>
  <c r="O66" i="13" s="1"/>
  <c r="P66" i="13" s="1"/>
  <c r="Q66" i="13" s="1"/>
  <c r="F70" i="13"/>
  <c r="I87" i="13"/>
  <c r="H89" i="13"/>
  <c r="H120" i="13"/>
  <c r="H125" i="13" s="1"/>
  <c r="I120" i="13" s="1"/>
  <c r="I125" i="13" s="1"/>
  <c r="H159" i="13"/>
  <c r="H162" i="13" s="1"/>
  <c r="G167" i="13"/>
  <c r="G170" i="13" s="1"/>
  <c r="J137" i="13"/>
  <c r="J141" i="13" s="1"/>
  <c r="I146" i="13"/>
  <c r="P142" i="13"/>
  <c r="N31" i="14"/>
  <c r="N22" i="14"/>
  <c r="N20" i="14"/>
  <c r="J153" i="13"/>
  <c r="I156" i="13"/>
  <c r="J92" i="13"/>
  <c r="J97" i="13" s="1"/>
  <c r="I101" i="13"/>
  <c r="J104" i="13"/>
  <c r="J108" i="13" s="1"/>
  <c r="I113" i="13"/>
  <c r="H60" i="13"/>
  <c r="H65" i="13" s="1"/>
  <c r="I82" i="13"/>
  <c r="J73" i="13"/>
  <c r="J77" i="13" s="1"/>
  <c r="I47" i="13"/>
  <c r="I52" i="13" s="1"/>
  <c r="H57" i="13"/>
  <c r="I35" i="13"/>
  <c r="I39" i="13" s="1"/>
  <c r="H44" i="13"/>
  <c r="I12" i="13"/>
  <c r="I15" i="13" s="1"/>
  <c r="J12" i="13" s="1"/>
  <c r="J15" i="13" s="1"/>
  <c r="K12" i="13" s="1"/>
  <c r="K15" i="13" s="1"/>
  <c r="L12" i="13" s="1"/>
  <c r="L15" i="13" s="1"/>
  <c r="M12" i="13" s="1"/>
  <c r="M15" i="13" s="1"/>
  <c r="N12" i="13" s="1"/>
  <c r="N15" i="13" s="1"/>
  <c r="O12" i="13" s="1"/>
  <c r="O15" i="13" s="1"/>
  <c r="P12" i="13" s="1"/>
  <c r="P15" i="13" s="1"/>
  <c r="Q12" i="13" s="1"/>
  <c r="Q15" i="13" s="1"/>
  <c r="H19" i="13"/>
  <c r="C41" i="12"/>
  <c r="C22" i="12"/>
  <c r="P52" i="5" l="1"/>
  <c r="P54" i="5"/>
  <c r="Q48" i="5"/>
  <c r="Q46" i="5"/>
  <c r="P42" i="5"/>
  <c r="P40" i="5"/>
  <c r="P60" i="5"/>
  <c r="P58" i="5"/>
  <c r="Q47" i="9"/>
  <c r="Q59" i="14"/>
  <c r="G70" i="13"/>
  <c r="H130" i="13"/>
  <c r="H133" i="13" s="1"/>
  <c r="I14" i="9" s="1"/>
  <c r="I89" i="13"/>
  <c r="J87" i="13"/>
  <c r="I159" i="13"/>
  <c r="I162" i="13" s="1"/>
  <c r="H167" i="13"/>
  <c r="K137" i="13"/>
  <c r="K141" i="13" s="1"/>
  <c r="J146" i="13"/>
  <c r="Q142" i="13"/>
  <c r="O31" i="14"/>
  <c r="O20" i="14"/>
  <c r="O22" i="14"/>
  <c r="K153" i="13"/>
  <c r="J156" i="13"/>
  <c r="J120" i="13"/>
  <c r="J125" i="13" s="1"/>
  <c r="I130" i="13"/>
  <c r="I133" i="13" s="1"/>
  <c r="J14" i="9" s="1"/>
  <c r="K104" i="13"/>
  <c r="K108" i="13" s="1"/>
  <c r="J113" i="13"/>
  <c r="K92" i="13"/>
  <c r="K97" i="13" s="1"/>
  <c r="J101" i="13"/>
  <c r="I60" i="13"/>
  <c r="I65" i="13" s="1"/>
  <c r="H70" i="13"/>
  <c r="K73" i="13"/>
  <c r="K77" i="13" s="1"/>
  <c r="J82" i="13"/>
  <c r="J47" i="13"/>
  <c r="J52" i="13" s="1"/>
  <c r="I57" i="13"/>
  <c r="J35" i="13"/>
  <c r="J39" i="13" s="1"/>
  <c r="I44" i="13"/>
  <c r="H28" i="13"/>
  <c r="Q58" i="5" l="1"/>
  <c r="Q60" i="5"/>
  <c r="Q52" i="5"/>
  <c r="Q54" i="5"/>
  <c r="Q40" i="5"/>
  <c r="Q42" i="5"/>
  <c r="H170" i="13"/>
  <c r="I19" i="9"/>
  <c r="R47" i="9"/>
  <c r="R59" i="14"/>
  <c r="K87" i="13"/>
  <c r="J89" i="13"/>
  <c r="J159" i="13"/>
  <c r="J162" i="13" s="1"/>
  <c r="I167" i="13"/>
  <c r="L137" i="13"/>
  <c r="L141" i="13" s="1"/>
  <c r="K146" i="13"/>
  <c r="P31" i="14"/>
  <c r="P20" i="14"/>
  <c r="P22" i="14"/>
  <c r="L153" i="13"/>
  <c r="K156" i="13"/>
  <c r="K120" i="13"/>
  <c r="K125" i="13" s="1"/>
  <c r="J130" i="13"/>
  <c r="J133" i="13" s="1"/>
  <c r="K14" i="9" s="1"/>
  <c r="L92" i="13"/>
  <c r="L97" i="13" s="1"/>
  <c r="K101" i="13"/>
  <c r="L104" i="13"/>
  <c r="L108" i="13" s="1"/>
  <c r="K113" i="13"/>
  <c r="J60" i="13"/>
  <c r="J65" i="13" s="1"/>
  <c r="I70" i="13"/>
  <c r="L73" i="13"/>
  <c r="L77" i="13" s="1"/>
  <c r="K82" i="13"/>
  <c r="K47" i="13"/>
  <c r="K52" i="13" s="1"/>
  <c r="J57" i="13"/>
  <c r="K35" i="13"/>
  <c r="K39" i="13" s="1"/>
  <c r="J44" i="13"/>
  <c r="I170" i="13" l="1"/>
  <c r="J19" i="9"/>
  <c r="L87" i="13"/>
  <c r="K89" i="13"/>
  <c r="K159" i="13"/>
  <c r="K162" i="13" s="1"/>
  <c r="J167" i="13"/>
  <c r="M137" i="13"/>
  <c r="M141" i="13" s="1"/>
  <c r="L146" i="13"/>
  <c r="Q31" i="14"/>
  <c r="Q22" i="14"/>
  <c r="Q20" i="14"/>
  <c r="M153" i="13"/>
  <c r="L156" i="13"/>
  <c r="L120" i="13"/>
  <c r="L125" i="13" s="1"/>
  <c r="K130" i="13"/>
  <c r="K133" i="13" s="1"/>
  <c r="L14" i="9" s="1"/>
  <c r="M92" i="13"/>
  <c r="M97" i="13" s="1"/>
  <c r="L101" i="13"/>
  <c r="M104" i="13"/>
  <c r="M108" i="13" s="1"/>
  <c r="L113" i="13"/>
  <c r="K60" i="13"/>
  <c r="K65" i="13" s="1"/>
  <c r="J70" i="13"/>
  <c r="M73" i="13"/>
  <c r="M77" i="13" s="1"/>
  <c r="L82" i="13"/>
  <c r="L47" i="13"/>
  <c r="L52" i="13" s="1"/>
  <c r="K57" i="13"/>
  <c r="L35" i="13"/>
  <c r="L39" i="13" s="1"/>
  <c r="K44" i="13"/>
  <c r="I28" i="13"/>
  <c r="J28" i="13" s="1"/>
  <c r="K28" i="13" s="1"/>
  <c r="L28" i="13" s="1"/>
  <c r="M28" i="13" s="1"/>
  <c r="N28" i="13" s="1"/>
  <c r="O28" i="13" s="1"/>
  <c r="P28" i="13" s="1"/>
  <c r="Q28" i="13" s="1"/>
  <c r="D25" i="9"/>
  <c r="E25" i="9"/>
  <c r="F25" i="9"/>
  <c r="G25" i="9"/>
  <c r="H25" i="9"/>
  <c r="H31" i="9"/>
  <c r="G31" i="9"/>
  <c r="F31" i="9"/>
  <c r="E31" i="9"/>
  <c r="D31" i="9"/>
  <c r="E21" i="9"/>
  <c r="F21" i="9"/>
  <c r="G21" i="9"/>
  <c r="H21" i="9"/>
  <c r="E22" i="9"/>
  <c r="F22" i="9"/>
  <c r="G22" i="9"/>
  <c r="H22" i="9"/>
  <c r="E23" i="9"/>
  <c r="F23" i="9"/>
  <c r="G23" i="9"/>
  <c r="H23" i="9"/>
  <c r="E24" i="9"/>
  <c r="F24" i="9"/>
  <c r="G24" i="9"/>
  <c r="H24" i="9"/>
  <c r="D21" i="9"/>
  <c r="D22" i="9"/>
  <c r="D23" i="9"/>
  <c r="D24" i="9"/>
  <c r="E13" i="9"/>
  <c r="F13" i="9"/>
  <c r="G13" i="9"/>
  <c r="H13" i="9"/>
  <c r="E14" i="9"/>
  <c r="D176" i="13" s="1"/>
  <c r="F14" i="9"/>
  <c r="E176" i="13" s="1"/>
  <c r="G14" i="9"/>
  <c r="F176" i="13" s="1"/>
  <c r="H14" i="9"/>
  <c r="G176" i="13" s="1"/>
  <c r="E15" i="9"/>
  <c r="F15" i="9"/>
  <c r="G15" i="9"/>
  <c r="H15" i="9"/>
  <c r="E16" i="9"/>
  <c r="F16" i="9"/>
  <c r="G16" i="9"/>
  <c r="H16" i="9"/>
  <c r="E17" i="9"/>
  <c r="F17" i="9"/>
  <c r="G17" i="9"/>
  <c r="H17" i="9"/>
  <c r="I17" i="9" s="1"/>
  <c r="J17" i="9" s="1"/>
  <c r="K17" i="9" s="1"/>
  <c r="L17" i="9" s="1"/>
  <c r="M17" i="9" s="1"/>
  <c r="N17" i="9" s="1"/>
  <c r="O17" i="9" s="1"/>
  <c r="P17" i="9" s="1"/>
  <c r="Q17" i="9" s="1"/>
  <c r="R17" i="9" s="1"/>
  <c r="E18" i="9"/>
  <c r="F18" i="9"/>
  <c r="G18" i="9"/>
  <c r="H18" i="9"/>
  <c r="I18" i="9" s="1"/>
  <c r="J18" i="9" s="1"/>
  <c r="K18" i="9" s="1"/>
  <c r="L18" i="9" s="1"/>
  <c r="M18" i="9" s="1"/>
  <c r="N18" i="9" s="1"/>
  <c r="O18" i="9" s="1"/>
  <c r="P18" i="9" s="1"/>
  <c r="Q18" i="9" s="1"/>
  <c r="R18" i="9" s="1"/>
  <c r="D18" i="9"/>
  <c r="D17" i="9"/>
  <c r="D16" i="9"/>
  <c r="D15" i="9"/>
  <c r="D14" i="9"/>
  <c r="C176" i="13" s="1"/>
  <c r="D13" i="9"/>
  <c r="D27" i="9" l="1"/>
  <c r="G27" i="9"/>
  <c r="F27" i="9"/>
  <c r="H27" i="9"/>
  <c r="E27" i="9"/>
  <c r="J170" i="13"/>
  <c r="K19" i="9"/>
  <c r="M87" i="13"/>
  <c r="L89" i="13"/>
  <c r="L159" i="13"/>
  <c r="L162" i="13" s="1"/>
  <c r="K167" i="13"/>
  <c r="N137" i="13"/>
  <c r="N141" i="13" s="1"/>
  <c r="M146" i="13"/>
  <c r="R31" i="14"/>
  <c r="R20" i="14"/>
  <c r="R22" i="14"/>
  <c r="N153" i="13"/>
  <c r="M156" i="13"/>
  <c r="M120" i="13"/>
  <c r="M125" i="13" s="1"/>
  <c r="L130" i="13"/>
  <c r="L133" i="13" s="1"/>
  <c r="M14" i="9" s="1"/>
  <c r="N104" i="13"/>
  <c r="N108" i="13" s="1"/>
  <c r="M113" i="13"/>
  <c r="N92" i="13"/>
  <c r="N97" i="13" s="1"/>
  <c r="M101" i="13"/>
  <c r="L60" i="13"/>
  <c r="L65" i="13" s="1"/>
  <c r="K70" i="13"/>
  <c r="N73" i="13"/>
  <c r="N77" i="13" s="1"/>
  <c r="M82" i="13"/>
  <c r="M47" i="13"/>
  <c r="M52" i="13" s="1"/>
  <c r="L57" i="13"/>
  <c r="M35" i="13"/>
  <c r="M39" i="13" s="1"/>
  <c r="L44" i="13"/>
  <c r="C262" i="11"/>
  <c r="C23" i="12" s="1"/>
  <c r="J29" i="14"/>
  <c r="J14" i="14"/>
  <c r="K170" i="13" l="1"/>
  <c r="L19" i="9"/>
  <c r="M89" i="13"/>
  <c r="N87" i="13"/>
  <c r="M159" i="13"/>
  <c r="M162" i="13" s="1"/>
  <c r="L167" i="13"/>
  <c r="O137" i="13"/>
  <c r="O141" i="13" s="1"/>
  <c r="N146" i="13"/>
  <c r="O153" i="13"/>
  <c r="N156" i="13"/>
  <c r="N120" i="13"/>
  <c r="N125" i="13" s="1"/>
  <c r="M130" i="13"/>
  <c r="M133" i="13" s="1"/>
  <c r="N14" i="9" s="1"/>
  <c r="O92" i="13"/>
  <c r="O97" i="13" s="1"/>
  <c r="N101" i="13"/>
  <c r="O104" i="13"/>
  <c r="O108" i="13" s="1"/>
  <c r="N113" i="13"/>
  <c r="M60" i="13"/>
  <c r="M65" i="13" s="1"/>
  <c r="L70" i="13"/>
  <c r="N82" i="13"/>
  <c r="O73" i="13"/>
  <c r="O77" i="13" s="1"/>
  <c r="N47" i="13"/>
  <c r="N52" i="13" s="1"/>
  <c r="M57" i="13"/>
  <c r="N35" i="13"/>
  <c r="N39" i="13" s="1"/>
  <c r="M44" i="13"/>
  <c r="K29" i="14"/>
  <c r="K14" i="14"/>
  <c r="L170" i="13" l="1"/>
  <c r="M19" i="9"/>
  <c r="O87" i="13"/>
  <c r="N89" i="13"/>
  <c r="N159" i="13"/>
  <c r="N162" i="13" s="1"/>
  <c r="M167" i="13"/>
  <c r="P137" i="13"/>
  <c r="P141" i="13" s="1"/>
  <c r="O146" i="13"/>
  <c r="P153" i="13"/>
  <c r="O156" i="13"/>
  <c r="O120" i="13"/>
  <c r="O125" i="13" s="1"/>
  <c r="N130" i="13"/>
  <c r="N133" i="13" s="1"/>
  <c r="O14" i="9" s="1"/>
  <c r="P104" i="13"/>
  <c r="P108" i="13" s="1"/>
  <c r="O113" i="13"/>
  <c r="P92" i="13"/>
  <c r="P97" i="13" s="1"/>
  <c r="O101" i="13"/>
  <c r="N60" i="13"/>
  <c r="N65" i="13" s="1"/>
  <c r="M70" i="13"/>
  <c r="O82" i="13"/>
  <c r="P73" i="13"/>
  <c r="P77" i="13" s="1"/>
  <c r="O47" i="13"/>
  <c r="O52" i="13" s="1"/>
  <c r="N57" i="13"/>
  <c r="O35" i="13"/>
  <c r="O39" i="13" s="1"/>
  <c r="N44" i="13"/>
  <c r="I16" i="13"/>
  <c r="I19" i="13" s="1"/>
  <c r="L29" i="14"/>
  <c r="L14" i="14"/>
  <c r="M170" i="13" l="1"/>
  <c r="N19" i="9"/>
  <c r="O89" i="13"/>
  <c r="P87" i="13"/>
  <c r="O159" i="13"/>
  <c r="O162" i="13" s="1"/>
  <c r="N167" i="13"/>
  <c r="Q137" i="13"/>
  <c r="Q141" i="13" s="1"/>
  <c r="Q146" i="13" s="1"/>
  <c r="P146" i="13"/>
  <c r="Q153" i="13"/>
  <c r="Q156" i="13" s="1"/>
  <c r="P156" i="13"/>
  <c r="P120" i="13"/>
  <c r="P125" i="13" s="1"/>
  <c r="O130" i="13"/>
  <c r="O133" i="13" s="1"/>
  <c r="P14" i="9" s="1"/>
  <c r="Q92" i="13"/>
  <c r="Q97" i="13" s="1"/>
  <c r="Q101" i="13" s="1"/>
  <c r="P101" i="13"/>
  <c r="Q104" i="13"/>
  <c r="Q108" i="13" s="1"/>
  <c r="Q113" i="13" s="1"/>
  <c r="P113" i="13"/>
  <c r="O60" i="13"/>
  <c r="O65" i="13" s="1"/>
  <c r="N70" i="13"/>
  <c r="P82" i="13"/>
  <c r="Q73" i="13"/>
  <c r="Q77" i="13" s="1"/>
  <c r="Q82" i="13" s="1"/>
  <c r="P47" i="13"/>
  <c r="P52" i="13" s="1"/>
  <c r="O57" i="13"/>
  <c r="P35" i="13"/>
  <c r="P39" i="13" s="1"/>
  <c r="O44" i="13"/>
  <c r="J16" i="13"/>
  <c r="J19" i="13" s="1"/>
  <c r="M29" i="14"/>
  <c r="M14" i="14"/>
  <c r="N170" i="13" l="1"/>
  <c r="O19" i="9"/>
  <c r="P89" i="13"/>
  <c r="Q87" i="13"/>
  <c r="Q89" i="13" s="1"/>
  <c r="P159" i="13"/>
  <c r="P162" i="13" s="1"/>
  <c r="O167" i="13"/>
  <c r="Q120" i="13"/>
  <c r="Q125" i="13" s="1"/>
  <c r="Q130" i="13" s="1"/>
  <c r="Q133" i="13" s="1"/>
  <c r="R14" i="9" s="1"/>
  <c r="P130" i="13"/>
  <c r="P133" i="13" s="1"/>
  <c r="Q14" i="9" s="1"/>
  <c r="P60" i="13"/>
  <c r="P65" i="13" s="1"/>
  <c r="O70" i="13"/>
  <c r="Q47" i="13"/>
  <c r="Q52" i="13" s="1"/>
  <c r="Q57" i="13" s="1"/>
  <c r="P57" i="13"/>
  <c r="Q35" i="13"/>
  <c r="Q39" i="13" s="1"/>
  <c r="Q44" i="13" s="1"/>
  <c r="P44" i="13"/>
  <c r="K16" i="13"/>
  <c r="K19" i="13" s="1"/>
  <c r="N29" i="14"/>
  <c r="N14" i="14"/>
  <c r="O170" i="13" l="1"/>
  <c r="P19" i="9"/>
  <c r="Q159" i="13"/>
  <c r="Q162" i="13" s="1"/>
  <c r="Q167" i="13" s="1"/>
  <c r="P167" i="13"/>
  <c r="Q60" i="13"/>
  <c r="Q65" i="13" s="1"/>
  <c r="Q70" i="13" s="1"/>
  <c r="P70" i="13"/>
  <c r="L16" i="13"/>
  <c r="L19" i="13" s="1"/>
  <c r="O29" i="14"/>
  <c r="O14" i="14"/>
  <c r="Q170" i="13" l="1"/>
  <c r="R19" i="9"/>
  <c r="P170" i="13"/>
  <c r="Q19" i="9"/>
  <c r="M16" i="13"/>
  <c r="M19" i="13" s="1"/>
  <c r="P29" i="14"/>
  <c r="P14" i="14"/>
  <c r="N16" i="13" l="1"/>
  <c r="N19" i="13" s="1"/>
  <c r="Q29" i="14"/>
  <c r="Q14" i="14"/>
  <c r="O16" i="13" l="1"/>
  <c r="O19" i="13" s="1"/>
  <c r="R29" i="14"/>
  <c r="R14" i="14"/>
  <c r="P16" i="13" l="1"/>
  <c r="P19" i="13" s="1"/>
  <c r="Q16" i="13" l="1"/>
  <c r="Q19" i="13" s="1"/>
  <c r="J18" i="14"/>
  <c r="K18" i="14" l="1"/>
  <c r="C116" i="13" l="1"/>
  <c r="L18" i="14"/>
  <c r="D116" i="13" l="1"/>
  <c r="M18" i="14"/>
  <c r="E116" i="13" l="1"/>
  <c r="N18" i="14"/>
  <c r="F116" i="13" l="1"/>
  <c r="O18" i="14"/>
  <c r="H22" i="13" l="1"/>
  <c r="H27" i="13" s="1"/>
  <c r="H32" i="13" s="1"/>
  <c r="H116" i="13" s="1"/>
  <c r="I13" i="9" s="1"/>
  <c r="G116" i="13"/>
  <c r="P18" i="14"/>
  <c r="E84" i="3"/>
  <c r="F84" i="3"/>
  <c r="G84" i="3"/>
  <c r="H84" i="3"/>
  <c r="E27" i="3"/>
  <c r="F27" i="3"/>
  <c r="G27" i="3"/>
  <c r="H27" i="3"/>
  <c r="D20" i="2"/>
  <c r="E20" i="4" s="1"/>
  <c r="E20" i="2"/>
  <c r="F20" i="4" s="1"/>
  <c r="F20" i="2"/>
  <c r="G20" i="4" s="1"/>
  <c r="G20" i="2"/>
  <c r="H20" i="4" s="1"/>
  <c r="C20" i="2"/>
  <c r="D20" i="4" s="1"/>
  <c r="E13" i="5" l="1"/>
  <c r="E23" i="5"/>
  <c r="F13" i="5"/>
  <c r="F23" i="5"/>
  <c r="C13" i="5"/>
  <c r="C23" i="5"/>
  <c r="G13" i="5"/>
  <c r="G23" i="5"/>
  <c r="D13" i="5"/>
  <c r="D23" i="5"/>
  <c r="I22" i="13"/>
  <c r="I27" i="13" s="1"/>
  <c r="Q18" i="14"/>
  <c r="D34" i="9"/>
  <c r="E34" i="9"/>
  <c r="F34" i="9"/>
  <c r="G34" i="9"/>
  <c r="H34" i="9"/>
  <c r="D35" i="9"/>
  <c r="E35" i="9"/>
  <c r="F35" i="9"/>
  <c r="G35" i="9"/>
  <c r="H35" i="9"/>
  <c r="D36" i="9"/>
  <c r="E36" i="9"/>
  <c r="F36" i="9"/>
  <c r="G36" i="9"/>
  <c r="H36" i="9"/>
  <c r="D173" i="13"/>
  <c r="E173" i="13"/>
  <c r="F173" i="13"/>
  <c r="G173" i="13"/>
  <c r="C173" i="13"/>
  <c r="H33" i="9"/>
  <c r="C50" i="12" s="1"/>
  <c r="G33" i="9"/>
  <c r="F33" i="9"/>
  <c r="E33" i="9"/>
  <c r="D33" i="9"/>
  <c r="I23" i="5" l="1"/>
  <c r="J23" i="5" s="1"/>
  <c r="K23" i="5" s="1"/>
  <c r="L23" i="5" s="1"/>
  <c r="M23" i="5" s="1"/>
  <c r="N23" i="5" s="1"/>
  <c r="O23" i="5" s="1"/>
  <c r="P23" i="5" s="1"/>
  <c r="Q23" i="5" s="1"/>
  <c r="H13" i="5"/>
  <c r="I13" i="5" s="1"/>
  <c r="J13" i="5" s="1"/>
  <c r="K13" i="5" s="1"/>
  <c r="L13" i="5" s="1"/>
  <c r="M13" i="5" s="1"/>
  <c r="N13" i="5" s="1"/>
  <c r="O13" i="5" s="1"/>
  <c r="P13" i="5" s="1"/>
  <c r="Q13" i="5" s="1"/>
  <c r="J22" i="13"/>
  <c r="J27" i="13" s="1"/>
  <c r="I32" i="13"/>
  <c r="I116" i="13" s="1"/>
  <c r="J13" i="9" s="1"/>
  <c r="R18" i="14"/>
  <c r="K22" i="13" l="1"/>
  <c r="K27" i="13" s="1"/>
  <c r="J32" i="13"/>
  <c r="J116" i="13" s="1"/>
  <c r="K13" i="9" s="1"/>
  <c r="L22" i="13" l="1"/>
  <c r="L27" i="13" s="1"/>
  <c r="K32" i="13"/>
  <c r="K116" i="13" s="1"/>
  <c r="L13" i="9" s="1"/>
  <c r="M22" i="13" l="1"/>
  <c r="M27" i="13" s="1"/>
  <c r="L32" i="13"/>
  <c r="L116" i="13" s="1"/>
  <c r="M13" i="9" s="1"/>
  <c r="D69" i="9"/>
  <c r="D68" i="9"/>
  <c r="D67" i="9"/>
  <c r="D66" i="9"/>
  <c r="D64" i="9"/>
  <c r="D63" i="9"/>
  <c r="D57" i="9"/>
  <c r="D56" i="9"/>
  <c r="D55" i="9"/>
  <c r="D54" i="9"/>
  <c r="D53" i="9"/>
  <c r="C38" i="8"/>
  <c r="C25" i="18" s="1"/>
  <c r="C34" i="8"/>
  <c r="C30" i="8"/>
  <c r="C21" i="18" s="1"/>
  <c r="C28" i="8"/>
  <c r="C22" i="18" s="1"/>
  <c r="C20" i="8"/>
  <c r="C18" i="8"/>
  <c r="C13" i="18" s="1"/>
  <c r="C19" i="6"/>
  <c r="C20" i="6" s="1"/>
  <c r="C16" i="6"/>
  <c r="C13" i="6"/>
  <c r="C11" i="7"/>
  <c r="C13" i="7"/>
  <c r="C14" i="7" s="1"/>
  <c r="D59" i="3"/>
  <c r="C15" i="18" l="1"/>
  <c r="D39" i="16"/>
  <c r="C12" i="7"/>
  <c r="D32" i="9"/>
  <c r="C16" i="7"/>
  <c r="N22" i="13"/>
  <c r="N27" i="13" s="1"/>
  <c r="M32" i="13"/>
  <c r="M116" i="13" s="1"/>
  <c r="N13" i="9" s="1"/>
  <c r="D72" i="3"/>
  <c r="D49" i="9"/>
  <c r="C34" i="16" s="1"/>
  <c r="D59" i="9"/>
  <c r="D65" i="9"/>
  <c r="D72" i="9" s="1"/>
  <c r="C19" i="5"/>
  <c r="D38" i="9"/>
  <c r="D79" i="3" l="1"/>
  <c r="D74" i="3"/>
  <c r="O22" i="13"/>
  <c r="O27" i="13" s="1"/>
  <c r="N32" i="13"/>
  <c r="N116" i="13" s="1"/>
  <c r="O13" i="9" s="1"/>
  <c r="D40" i="3"/>
  <c r="D41" i="4" s="1"/>
  <c r="D74" i="9"/>
  <c r="C35" i="16"/>
  <c r="D40" i="9"/>
  <c r="C11" i="6"/>
  <c r="D66" i="4" l="1"/>
  <c r="D84" i="4"/>
  <c r="D75" i="4"/>
  <c r="D87" i="4"/>
  <c r="D74" i="4"/>
  <c r="D81" i="4"/>
  <c r="D73" i="4"/>
  <c r="D68" i="4"/>
  <c r="D86" i="4"/>
  <c r="D83" i="3"/>
  <c r="D80" i="4"/>
  <c r="D67" i="4"/>
  <c r="D85" i="4"/>
  <c r="D82" i="4"/>
  <c r="D72" i="4"/>
  <c r="D76" i="4"/>
  <c r="D89" i="4"/>
  <c r="D83" i="4"/>
  <c r="D42" i="4"/>
  <c r="D50" i="4"/>
  <c r="D55" i="4"/>
  <c r="D39" i="4"/>
  <c r="D48" i="4"/>
  <c r="D54" i="4"/>
  <c r="D38" i="4"/>
  <c r="D47" i="4"/>
  <c r="D59" i="4"/>
  <c r="D58" i="4"/>
  <c r="D46" i="4"/>
  <c r="D57" i="4"/>
  <c r="D44" i="4"/>
  <c r="D56" i="4"/>
  <c r="D40" i="4"/>
  <c r="D49" i="4"/>
  <c r="D43" i="4"/>
  <c r="C50" i="2"/>
  <c r="C49" i="2"/>
  <c r="P22" i="13"/>
  <c r="P27" i="13" s="1"/>
  <c r="O32" i="13"/>
  <c r="O116" i="13" s="1"/>
  <c r="P13" i="9" s="1"/>
  <c r="D75" i="3"/>
  <c r="D61" i="4"/>
  <c r="D76" i="9"/>
  <c r="C33" i="16"/>
  <c r="C17" i="6"/>
  <c r="C14" i="6"/>
  <c r="C11" i="8"/>
  <c r="C14" i="8" s="1"/>
  <c r="C22" i="8" s="1"/>
  <c r="C12" i="16" s="1"/>
  <c r="D25" i="14"/>
  <c r="D37" i="14"/>
  <c r="Q22" i="13" l="1"/>
  <c r="Q27" i="13" s="1"/>
  <c r="P32" i="13"/>
  <c r="P116" i="13" s="1"/>
  <c r="Q13" i="9" s="1"/>
  <c r="C22" i="2"/>
  <c r="D22" i="4" s="1"/>
  <c r="C11" i="18"/>
  <c r="D86" i="3" l="1"/>
  <c r="C45" i="2"/>
  <c r="Q32" i="13"/>
  <c r="Q116" i="13" s="1"/>
  <c r="R13" i="9" s="1"/>
  <c r="C16" i="18"/>
  <c r="E64" i="9" l="1"/>
  <c r="D19" i="10" s="1"/>
  <c r="F64" i="9"/>
  <c r="G64" i="9"/>
  <c r="F19" i="10" s="1"/>
  <c r="H64" i="9"/>
  <c r="E65" i="9"/>
  <c r="D20" i="10" s="1"/>
  <c r="E66" i="9"/>
  <c r="D21" i="10" s="1"/>
  <c r="F66" i="9"/>
  <c r="G66" i="9"/>
  <c r="H66" i="9"/>
  <c r="E67" i="9"/>
  <c r="D22" i="10" s="1"/>
  <c r="F67" i="9"/>
  <c r="E22" i="10" s="1"/>
  <c r="G67" i="9"/>
  <c r="F22" i="10" s="1"/>
  <c r="H67" i="9"/>
  <c r="E68" i="9"/>
  <c r="D23" i="10" s="1"/>
  <c r="F68" i="9"/>
  <c r="G68" i="9"/>
  <c r="H68" i="9"/>
  <c r="E69" i="9"/>
  <c r="D24" i="10" s="1"/>
  <c r="F69" i="9"/>
  <c r="E24" i="10" s="1"/>
  <c r="G69" i="9"/>
  <c r="H69" i="9"/>
  <c r="F63" i="9"/>
  <c r="G63" i="9"/>
  <c r="H63" i="9"/>
  <c r="E63" i="9"/>
  <c r="E54" i="9"/>
  <c r="F54" i="9"/>
  <c r="G54" i="9"/>
  <c r="H54" i="9"/>
  <c r="E55" i="9"/>
  <c r="F55" i="9"/>
  <c r="G55" i="9"/>
  <c r="H55" i="9"/>
  <c r="E56" i="9"/>
  <c r="F56" i="9"/>
  <c r="G56" i="9"/>
  <c r="H56" i="9"/>
  <c r="E57" i="9"/>
  <c r="F57" i="9"/>
  <c r="G57" i="9"/>
  <c r="H57" i="9"/>
  <c r="F53" i="9"/>
  <c r="G53" i="9"/>
  <c r="H53" i="9"/>
  <c r="E53" i="9"/>
  <c r="G38" i="8"/>
  <c r="G28" i="10" s="1"/>
  <c r="E38" i="8"/>
  <c r="F38" i="8"/>
  <c r="D38" i="8"/>
  <c r="G34" i="8"/>
  <c r="F34" i="8"/>
  <c r="E34" i="8"/>
  <c r="D34" i="8"/>
  <c r="E30" i="8"/>
  <c r="F30" i="8"/>
  <c r="G30" i="8"/>
  <c r="D30" i="8"/>
  <c r="E24" i="8"/>
  <c r="F24" i="8"/>
  <c r="G24" i="8"/>
  <c r="D24" i="8"/>
  <c r="D18" i="8"/>
  <c r="D13" i="18" s="1"/>
  <c r="E18" i="8"/>
  <c r="E13" i="18" s="1"/>
  <c r="F18" i="8"/>
  <c r="F13" i="18" s="1"/>
  <c r="G18" i="8"/>
  <c r="G13" i="18" s="1"/>
  <c r="D20" i="8"/>
  <c r="E20" i="8"/>
  <c r="F20" i="8"/>
  <c r="G20" i="8"/>
  <c r="G15" i="18" s="1"/>
  <c r="D44" i="10" l="1"/>
  <c r="D15" i="10"/>
  <c r="G44" i="10"/>
  <c r="G15" i="10"/>
  <c r="F42" i="10"/>
  <c r="F29" i="10"/>
  <c r="E25" i="18"/>
  <c r="E28" i="10"/>
  <c r="F15" i="18"/>
  <c r="G39" i="16"/>
  <c r="E42" i="10"/>
  <c r="E29" i="10"/>
  <c r="E15" i="18"/>
  <c r="F39" i="16"/>
  <c r="D15" i="18"/>
  <c r="E39" i="16"/>
  <c r="E44" i="10"/>
  <c r="E15" i="10"/>
  <c r="G42" i="10"/>
  <c r="G29" i="10"/>
  <c r="G68" i="10"/>
  <c r="G16" i="10"/>
  <c r="F25" i="18"/>
  <c r="F28" i="10"/>
  <c r="F21" i="18"/>
  <c r="F16" i="10"/>
  <c r="F68" i="10"/>
  <c r="E21" i="18"/>
  <c r="E68" i="10"/>
  <c r="E16" i="10"/>
  <c r="D42" i="10"/>
  <c r="D29" i="10"/>
  <c r="F15" i="10"/>
  <c r="F44" i="10"/>
  <c r="D21" i="18"/>
  <c r="D16" i="10"/>
  <c r="D68" i="10"/>
  <c r="D25" i="18"/>
  <c r="D28" i="10"/>
  <c r="E23" i="10"/>
  <c r="E21" i="10"/>
  <c r="G25" i="18"/>
  <c r="G21" i="18"/>
  <c r="F24" i="10"/>
  <c r="E19" i="10"/>
  <c r="F23" i="10"/>
  <c r="F21" i="10"/>
  <c r="H59" i="9"/>
  <c r="C36" i="12"/>
  <c r="C51" i="12" s="1"/>
  <c r="E18" i="18"/>
  <c r="G18" i="18"/>
  <c r="F18" i="18"/>
  <c r="D177" i="13"/>
  <c r="D18" i="18"/>
  <c r="D13" i="12"/>
  <c r="D14" i="18"/>
  <c r="D13" i="7"/>
  <c r="D14" i="7" s="1"/>
  <c r="E11" i="7"/>
  <c r="F11" i="7"/>
  <c r="G11" i="7"/>
  <c r="D11" i="7"/>
  <c r="F32" i="9" l="1"/>
  <c r="E32" i="9"/>
  <c r="H32" i="9"/>
  <c r="G32" i="9"/>
  <c r="D12" i="7"/>
  <c r="G12" i="7"/>
  <c r="F12" i="7"/>
  <c r="E12" i="7"/>
  <c r="D16" i="7"/>
  <c r="D14" i="12"/>
  <c r="G177" i="13"/>
  <c r="E177" i="13"/>
  <c r="F177" i="13"/>
  <c r="E14" i="18"/>
  <c r="F14" i="18"/>
  <c r="G14" i="18"/>
  <c r="H38" i="9" l="1"/>
  <c r="H12" i="7"/>
  <c r="H177" i="13"/>
  <c r="I177" i="13" s="1"/>
  <c r="J177" i="13" s="1"/>
  <c r="K177" i="13" s="1"/>
  <c r="L177" i="13" s="1"/>
  <c r="M177" i="13" s="1"/>
  <c r="N177" i="13" s="1"/>
  <c r="O177" i="13" s="1"/>
  <c r="P177" i="13" s="1"/>
  <c r="Q177" i="13" s="1"/>
  <c r="C28" i="4"/>
  <c r="C27" i="4"/>
  <c r="E72" i="3"/>
  <c r="F59" i="3"/>
  <c r="H59" i="3"/>
  <c r="E59" i="3"/>
  <c r="I12" i="7" l="1"/>
  <c r="E79" i="3"/>
  <c r="H176" i="13"/>
  <c r="I15" i="9" s="1"/>
  <c r="G65" i="9"/>
  <c r="F20" i="10" s="1"/>
  <c r="F13" i="7"/>
  <c r="H65" i="9"/>
  <c r="G13" i="7"/>
  <c r="F65" i="9"/>
  <c r="E20" i="10" s="1"/>
  <c r="E13" i="7"/>
  <c r="E74" i="3"/>
  <c r="E40" i="3"/>
  <c r="E41" i="4" s="1"/>
  <c r="E28" i="8"/>
  <c r="E27" i="10" s="1"/>
  <c r="F28" i="8"/>
  <c r="F27" i="10" s="1"/>
  <c r="G28" i="8"/>
  <c r="D28" i="8"/>
  <c r="D27" i="10" s="1"/>
  <c r="G41" i="10" l="1"/>
  <c r="G54" i="10" s="1"/>
  <c r="G27" i="10"/>
  <c r="E22" i="18"/>
  <c r="E41" i="10"/>
  <c r="E54" i="10" s="1"/>
  <c r="D22" i="18"/>
  <c r="D41" i="10"/>
  <c r="D54" i="10" s="1"/>
  <c r="F22" i="18"/>
  <c r="F41" i="10"/>
  <c r="F54" i="10" s="1"/>
  <c r="G22" i="18"/>
  <c r="F16" i="7"/>
  <c r="F14" i="7"/>
  <c r="E16" i="7"/>
  <c r="E14" i="7"/>
  <c r="J12" i="7"/>
  <c r="G16" i="7"/>
  <c r="G14" i="7"/>
  <c r="H72" i="9"/>
  <c r="E83" i="3"/>
  <c r="E72" i="4"/>
  <c r="E87" i="4"/>
  <c r="E76" i="4"/>
  <c r="E85" i="4"/>
  <c r="E75" i="4"/>
  <c r="E89" i="4"/>
  <c r="E82" i="4"/>
  <c r="E66" i="4"/>
  <c r="E84" i="4"/>
  <c r="E83" i="4"/>
  <c r="E67" i="4"/>
  <c r="E74" i="4"/>
  <c r="E81" i="4"/>
  <c r="E73" i="4"/>
  <c r="E80" i="4"/>
  <c r="E68" i="4"/>
  <c r="E86" i="4"/>
  <c r="E58" i="4"/>
  <c r="E46" i="4"/>
  <c r="E43" i="4"/>
  <c r="E42" i="4"/>
  <c r="E50" i="4"/>
  <c r="E40" i="4"/>
  <c r="E55" i="4"/>
  <c r="E54" i="4"/>
  <c r="E38" i="4"/>
  <c r="E47" i="4"/>
  <c r="E57" i="4"/>
  <c r="E44" i="4"/>
  <c r="E56" i="4"/>
  <c r="E49" i="4"/>
  <c r="E59" i="4"/>
  <c r="E48" i="4"/>
  <c r="E39" i="4"/>
  <c r="I176" i="13"/>
  <c r="J15" i="9" s="1"/>
  <c r="D50" i="2"/>
  <c r="H40" i="3"/>
  <c r="H41" i="4" s="1"/>
  <c r="E75" i="3"/>
  <c r="G13" i="12"/>
  <c r="F13" i="12"/>
  <c r="E13" i="12"/>
  <c r="K12" i="7" l="1"/>
  <c r="H14" i="7"/>
  <c r="H74" i="9"/>
  <c r="H59" i="4"/>
  <c r="H40" i="4"/>
  <c r="H58" i="4"/>
  <c r="H54" i="4"/>
  <c r="H38" i="4"/>
  <c r="H47" i="4"/>
  <c r="H56" i="4"/>
  <c r="H57" i="4"/>
  <c r="H55" i="4"/>
  <c r="H39" i="4"/>
  <c r="H48" i="4"/>
  <c r="H49" i="4"/>
  <c r="H42" i="4"/>
  <c r="H50" i="4"/>
  <c r="H43" i="4"/>
  <c r="H44" i="4"/>
  <c r="H46" i="4"/>
  <c r="G50" i="2"/>
  <c r="E72" i="9"/>
  <c r="F59" i="9"/>
  <c r="E59" i="9"/>
  <c r="E38" i="9"/>
  <c r="I14" i="7" l="1"/>
  <c r="L12" i="7"/>
  <c r="F49" i="9"/>
  <c r="G49" i="9"/>
  <c r="E49" i="9"/>
  <c r="P6" i="16"/>
  <c r="M12" i="7" l="1"/>
  <c r="J14" i="7"/>
  <c r="D35" i="16"/>
  <c r="D34" i="16"/>
  <c r="F35" i="16"/>
  <c r="F34" i="16"/>
  <c r="E35" i="16"/>
  <c r="E34" i="16"/>
  <c r="E74" i="9"/>
  <c r="G35" i="16"/>
  <c r="G34" i="16"/>
  <c r="C57" i="12"/>
  <c r="C60" i="12"/>
  <c r="C21" i="12"/>
  <c r="K14" i="7" l="1"/>
  <c r="N12" i="7"/>
  <c r="C24" i="12"/>
  <c r="O12" i="7" l="1"/>
  <c r="L14" i="7"/>
  <c r="C26" i="12"/>
  <c r="C31" i="12" s="1"/>
  <c r="B12" i="14"/>
  <c r="B23" i="14"/>
  <c r="G59" i="9"/>
  <c r="G38" i="9"/>
  <c r="F38" i="9"/>
  <c r="E19" i="6"/>
  <c r="E20" i="6" s="1"/>
  <c r="F19" i="6"/>
  <c r="F20" i="6" s="1"/>
  <c r="G19" i="6"/>
  <c r="G20" i="6" s="1"/>
  <c r="D19" i="6"/>
  <c r="D20" i="6" s="1"/>
  <c r="H20" i="6" s="1"/>
  <c r="M14" i="7" l="1"/>
  <c r="P12" i="7"/>
  <c r="I20" i="6"/>
  <c r="J20" i="6" s="1"/>
  <c r="K20" i="6" s="1"/>
  <c r="L20" i="6" s="1"/>
  <c r="M20" i="6" s="1"/>
  <c r="N20" i="6" s="1"/>
  <c r="O20" i="6" s="1"/>
  <c r="P20" i="6" s="1"/>
  <c r="Q20" i="6" s="1"/>
  <c r="G72" i="9"/>
  <c r="F72" i="9"/>
  <c r="Q12" i="7" l="1"/>
  <c r="N14" i="7"/>
  <c r="G74" i="9"/>
  <c r="F74" i="9"/>
  <c r="O14" i="7" l="1"/>
  <c r="E16" i="6"/>
  <c r="F16" i="6"/>
  <c r="G16" i="6"/>
  <c r="D16" i="6"/>
  <c r="E13" i="6"/>
  <c r="F13" i="6"/>
  <c r="G13" i="6"/>
  <c r="D13" i="6"/>
  <c r="B11" i="6"/>
  <c r="P14" i="7" l="1"/>
  <c r="E40" i="9"/>
  <c r="D33" i="16" s="1"/>
  <c r="F72" i="3"/>
  <c r="G59" i="3"/>
  <c r="D18" i="1"/>
  <c r="D26" i="1"/>
  <c r="C35" i="12" s="1"/>
  <c r="H39" i="5" l="1" a="1"/>
  <c r="H51" i="5" a="1"/>
  <c r="H45" i="5" a="1"/>
  <c r="H57" i="5" a="1"/>
  <c r="Q14" i="7"/>
  <c r="F74" i="3"/>
  <c r="H72" i="3"/>
  <c r="G72" i="3"/>
  <c r="E76" i="9"/>
  <c r="H61" i="4"/>
  <c r="E61" i="4"/>
  <c r="C37" i="12"/>
  <c r="H57" i="5" l="1"/>
  <c r="H56" i="5" s="1"/>
  <c r="J57" i="5"/>
  <c r="O57" i="5"/>
  <c r="L57" i="5"/>
  <c r="Q57" i="5"/>
  <c r="I57" i="5"/>
  <c r="N57" i="5"/>
  <c r="P57" i="5"/>
  <c r="M57" i="5"/>
  <c r="K57" i="5"/>
  <c r="N45" i="5"/>
  <c r="J45" i="5"/>
  <c r="K45" i="5"/>
  <c r="M45" i="5"/>
  <c r="I45" i="5"/>
  <c r="O45" i="5"/>
  <c r="H45" i="5"/>
  <c r="H44" i="5" s="1"/>
  <c r="L45" i="5"/>
  <c r="Q45" i="5"/>
  <c r="P45" i="5"/>
  <c r="P51" i="5"/>
  <c r="M51" i="5"/>
  <c r="L51" i="5"/>
  <c r="K51" i="5"/>
  <c r="J51" i="5"/>
  <c r="Q51" i="5"/>
  <c r="O51" i="5"/>
  <c r="I51" i="5"/>
  <c r="N51" i="5"/>
  <c r="H51" i="5"/>
  <c r="H50" i="5" s="1"/>
  <c r="K39" i="5"/>
  <c r="N39" i="5"/>
  <c r="O39" i="5"/>
  <c r="Q39" i="5"/>
  <c r="M39" i="5"/>
  <c r="H39" i="5"/>
  <c r="H38" i="5" s="1"/>
  <c r="I39" i="5"/>
  <c r="P39" i="5"/>
  <c r="L39" i="5"/>
  <c r="J39" i="5"/>
  <c r="F83" i="3"/>
  <c r="F75" i="4"/>
  <c r="F89" i="4"/>
  <c r="F82" i="4"/>
  <c r="F68" i="4"/>
  <c r="F86" i="4"/>
  <c r="F80" i="4"/>
  <c r="F72" i="4"/>
  <c r="F87" i="4"/>
  <c r="F66" i="4"/>
  <c r="F84" i="4"/>
  <c r="F76" i="4"/>
  <c r="F83" i="4"/>
  <c r="F67" i="4"/>
  <c r="F85" i="4"/>
  <c r="F74" i="4"/>
  <c r="F81" i="4"/>
  <c r="F73" i="4"/>
  <c r="D32" i="12"/>
  <c r="D31" i="12"/>
  <c r="E31" i="12" s="1"/>
  <c r="F19" i="5"/>
  <c r="E19" i="5"/>
  <c r="F40" i="3"/>
  <c r="F41" i="4" s="1"/>
  <c r="F79" i="3"/>
  <c r="H74" i="3"/>
  <c r="H79" i="3"/>
  <c r="G40" i="3"/>
  <c r="G41" i="4" s="1"/>
  <c r="G79" i="3"/>
  <c r="G74" i="3"/>
  <c r="D19" i="5"/>
  <c r="G19" i="5"/>
  <c r="I19" i="5" s="1"/>
  <c r="J19" i="5" s="1"/>
  <c r="K19" i="5" s="1"/>
  <c r="L19" i="5" s="1"/>
  <c r="M19" i="5" s="1"/>
  <c r="N19" i="5" s="1"/>
  <c r="O19" i="5" s="1"/>
  <c r="P19" i="5" s="1"/>
  <c r="Q19" i="5" s="1"/>
  <c r="I50" i="5" l="1"/>
  <c r="J50" i="5" s="1"/>
  <c r="K50" i="5" s="1"/>
  <c r="L50" i="5" s="1"/>
  <c r="M50" i="5" s="1"/>
  <c r="N50" i="5" s="1"/>
  <c r="O50" i="5" s="1"/>
  <c r="P50" i="5" s="1"/>
  <c r="Q50" i="5" s="1"/>
  <c r="I44" i="5"/>
  <c r="J44" i="5" s="1"/>
  <c r="K44" i="5" s="1"/>
  <c r="L44" i="5" s="1"/>
  <c r="M44" i="5" s="1"/>
  <c r="N44" i="5" s="1"/>
  <c r="O44" i="5" s="1"/>
  <c r="P44" i="5" s="1"/>
  <c r="Q44" i="5" s="1"/>
  <c r="I56" i="5"/>
  <c r="J56" i="5" s="1"/>
  <c r="K56" i="5" s="1"/>
  <c r="L56" i="5" s="1"/>
  <c r="M56" i="5" s="1"/>
  <c r="N56" i="5" s="1"/>
  <c r="O56" i="5" s="1"/>
  <c r="P56" i="5" s="1"/>
  <c r="Q56" i="5" s="1"/>
  <c r="H62" i="5"/>
  <c r="H28" i="5" s="1"/>
  <c r="I38" i="5"/>
  <c r="H83" i="3"/>
  <c r="H73" i="4"/>
  <c r="H80" i="4"/>
  <c r="H83" i="4"/>
  <c r="H68" i="4"/>
  <c r="H72" i="4"/>
  <c r="H74" i="4"/>
  <c r="H81" i="4"/>
  <c r="H76" i="4"/>
  <c r="H66" i="4"/>
  <c r="H67" i="4"/>
  <c r="H89" i="4"/>
  <c r="H75" i="4"/>
  <c r="H82" i="4"/>
  <c r="H84" i="4"/>
  <c r="H85" i="4"/>
  <c r="H86" i="4"/>
  <c r="H87" i="4"/>
  <c r="G83" i="3"/>
  <c r="G67" i="4"/>
  <c r="G85" i="4"/>
  <c r="G81" i="4"/>
  <c r="G83" i="4"/>
  <c r="G73" i="4"/>
  <c r="G75" i="4"/>
  <c r="G89" i="4"/>
  <c r="G82" i="4"/>
  <c r="G72" i="4"/>
  <c r="G87" i="4"/>
  <c r="G74" i="4"/>
  <c r="G68" i="4"/>
  <c r="G86" i="4"/>
  <c r="G76" i="4"/>
  <c r="G80" i="4"/>
  <c r="G66" i="4"/>
  <c r="G84" i="4"/>
  <c r="F55" i="4"/>
  <c r="F39" i="4"/>
  <c r="F48" i="4"/>
  <c r="F59" i="4"/>
  <c r="F58" i="4"/>
  <c r="F46" i="4"/>
  <c r="F43" i="4"/>
  <c r="F42" i="4"/>
  <c r="F50" i="4"/>
  <c r="F38" i="4"/>
  <c r="F47" i="4"/>
  <c r="F57" i="4"/>
  <c r="F44" i="4"/>
  <c r="F49" i="4"/>
  <c r="F54" i="4"/>
  <c r="F56" i="4"/>
  <c r="F40" i="4"/>
  <c r="G43" i="4"/>
  <c r="G56" i="4"/>
  <c r="G40" i="4"/>
  <c r="G49" i="4"/>
  <c r="G55" i="4"/>
  <c r="G39" i="4"/>
  <c r="G48" i="4"/>
  <c r="G44" i="4"/>
  <c r="G59" i="4"/>
  <c r="G58" i="4"/>
  <c r="G46" i="4"/>
  <c r="G42" i="4"/>
  <c r="G50" i="4"/>
  <c r="G54" i="4"/>
  <c r="G38" i="4"/>
  <c r="G47" i="4"/>
  <c r="G57" i="4"/>
  <c r="F61" i="4"/>
  <c r="G75" i="3"/>
  <c r="H75" i="3"/>
  <c r="G61" i="4"/>
  <c r="D16" i="5"/>
  <c r="G44" i="2"/>
  <c r="G49" i="2"/>
  <c r="F50" i="2"/>
  <c r="F49" i="2"/>
  <c r="F75" i="3"/>
  <c r="E50" i="2"/>
  <c r="D11" i="6"/>
  <c r="F40" i="9"/>
  <c r="E33" i="16" s="1"/>
  <c r="E14" i="12"/>
  <c r="E16" i="5"/>
  <c r="G11" i="8"/>
  <c r="H37" i="14"/>
  <c r="F11" i="8"/>
  <c r="G37" i="14"/>
  <c r="G11" i="6"/>
  <c r="F11" i="6"/>
  <c r="E11" i="6"/>
  <c r="F16" i="5"/>
  <c r="G16" i="5"/>
  <c r="H25" i="14"/>
  <c r="G25" i="14"/>
  <c r="H25" i="5" l="1"/>
  <c r="H26" i="5"/>
  <c r="H27" i="5"/>
  <c r="J38" i="5"/>
  <c r="I62" i="5"/>
  <c r="I28" i="5" s="1"/>
  <c r="J51" i="14"/>
  <c r="J57" i="14"/>
  <c r="J39" i="14"/>
  <c r="J45" i="14"/>
  <c r="J61" i="14"/>
  <c r="J55" i="14"/>
  <c r="J41" i="14"/>
  <c r="J43" i="14"/>
  <c r="J27" i="14"/>
  <c r="J16" i="14"/>
  <c r="D11" i="8"/>
  <c r="E25" i="14"/>
  <c r="E37" i="14"/>
  <c r="D49" i="2"/>
  <c r="F76" i="9"/>
  <c r="D17" i="6"/>
  <c r="D14" i="6"/>
  <c r="E44" i="2"/>
  <c r="E49" i="2"/>
  <c r="F44" i="2"/>
  <c r="G17" i="6"/>
  <c r="G14" i="8"/>
  <c r="F14" i="8"/>
  <c r="G14" i="6"/>
  <c r="E11" i="8"/>
  <c r="F37" i="14"/>
  <c r="E14" i="6"/>
  <c r="G22" i="2"/>
  <c r="H22" i="4" s="1"/>
  <c r="F17" i="6"/>
  <c r="F25" i="14"/>
  <c r="F14" i="12"/>
  <c r="E17" i="6"/>
  <c r="F14" i="6"/>
  <c r="F22" i="2"/>
  <c r="D22" i="2"/>
  <c r="E22" i="4" s="1"/>
  <c r="F40" i="16" l="1"/>
  <c r="F19" i="16"/>
  <c r="F38" i="16"/>
  <c r="G22" i="8"/>
  <c r="G12" i="16" s="1"/>
  <c r="G19" i="16"/>
  <c r="G40" i="16"/>
  <c r="G38" i="16"/>
  <c r="G41" i="16"/>
  <c r="F11" i="18"/>
  <c r="F22" i="8"/>
  <c r="F12" i="16" s="1"/>
  <c r="I37" i="14"/>
  <c r="J37" i="14" s="1"/>
  <c r="K37" i="14" s="1"/>
  <c r="L37" i="14" s="1"/>
  <c r="M37" i="14" s="1"/>
  <c r="N37" i="14" s="1"/>
  <c r="O37" i="14" s="1"/>
  <c r="P37" i="14" s="1"/>
  <c r="Q37" i="14" s="1"/>
  <c r="R37" i="14" s="1"/>
  <c r="I25" i="5"/>
  <c r="I27" i="5"/>
  <c r="I26" i="5"/>
  <c r="K38" i="5"/>
  <c r="J62" i="5"/>
  <c r="J28" i="5" s="1"/>
  <c r="H14" i="6"/>
  <c r="I14" i="6" s="1"/>
  <c r="J14" i="6" s="1"/>
  <c r="K14" i="6" s="1"/>
  <c r="L14" i="6" s="1"/>
  <c r="M14" i="6" s="1"/>
  <c r="N14" i="6" s="1"/>
  <c r="O14" i="6" s="1"/>
  <c r="P14" i="6" s="1"/>
  <c r="Q14" i="6" s="1"/>
  <c r="H17" i="6"/>
  <c r="I17" i="6" s="1"/>
  <c r="J17" i="6" s="1"/>
  <c r="K17" i="6" s="1"/>
  <c r="L17" i="6" s="1"/>
  <c r="M17" i="6" s="1"/>
  <c r="N17" i="6" s="1"/>
  <c r="O17" i="6" s="1"/>
  <c r="P17" i="6" s="1"/>
  <c r="Q17" i="6" s="1"/>
  <c r="I25" i="14"/>
  <c r="J25" i="14" s="1"/>
  <c r="K25" i="14" s="1"/>
  <c r="L25" i="14" s="1"/>
  <c r="M25" i="14" s="1"/>
  <c r="N25" i="14" s="1"/>
  <c r="O25" i="14" s="1"/>
  <c r="P25" i="14" s="1"/>
  <c r="Q25" i="14" s="1"/>
  <c r="R25" i="14" s="1"/>
  <c r="K43" i="14"/>
  <c r="K39" i="14"/>
  <c r="K45" i="14"/>
  <c r="K41" i="14"/>
  <c r="K57" i="14"/>
  <c r="K55" i="14"/>
  <c r="G11" i="18"/>
  <c r="K61" i="14"/>
  <c r="K51" i="14"/>
  <c r="G86" i="3"/>
  <c r="G22" i="4"/>
  <c r="K27" i="14"/>
  <c r="K16" i="14"/>
  <c r="H86" i="3"/>
  <c r="D45" i="2"/>
  <c r="E86" i="3"/>
  <c r="J53" i="14"/>
  <c r="D14" i="8"/>
  <c r="G26" i="2"/>
  <c r="H24" i="4" s="1"/>
  <c r="F45" i="2"/>
  <c r="G45" i="2"/>
  <c r="E22" i="2"/>
  <c r="F22" i="4" s="1"/>
  <c r="G40" i="9"/>
  <c r="E14" i="8"/>
  <c r="F26" i="2"/>
  <c r="D26" i="2"/>
  <c r="E24" i="4" s="1"/>
  <c r="D40" i="16" l="1"/>
  <c r="D19" i="16"/>
  <c r="D41" i="16"/>
  <c r="D38" i="16"/>
  <c r="E40" i="16"/>
  <c r="E19" i="16"/>
  <c r="E38" i="16"/>
  <c r="E41" i="16"/>
  <c r="G26" i="8"/>
  <c r="G13" i="16" s="1"/>
  <c r="F41" i="16"/>
  <c r="E11" i="18"/>
  <c r="F12" i="18" s="1"/>
  <c r="E22" i="8"/>
  <c r="E12" i="16" s="1"/>
  <c r="D11" i="18"/>
  <c r="D12" i="18" s="1"/>
  <c r="D22" i="8"/>
  <c r="D12" i="16" s="1"/>
  <c r="J26" i="5"/>
  <c r="J25" i="5"/>
  <c r="J27" i="5"/>
  <c r="L38" i="5"/>
  <c r="K62" i="5"/>
  <c r="K28" i="5" s="1"/>
  <c r="L61" i="14"/>
  <c r="L39" i="14"/>
  <c r="L45" i="14"/>
  <c r="G12" i="18"/>
  <c r="K53" i="14"/>
  <c r="L41" i="14"/>
  <c r="L55" i="14"/>
  <c r="L51" i="14"/>
  <c r="L57" i="14"/>
  <c r="L43" i="14"/>
  <c r="G85" i="3"/>
  <c r="G24" i="4"/>
  <c r="L27" i="14"/>
  <c r="L16" i="14"/>
  <c r="D46" i="2"/>
  <c r="E85" i="3"/>
  <c r="E26" i="2"/>
  <c r="F86" i="3"/>
  <c r="G32" i="2"/>
  <c r="H27" i="4" s="1"/>
  <c r="H85" i="3"/>
  <c r="G46" i="2"/>
  <c r="E45" i="2"/>
  <c r="F46" i="2"/>
  <c r="F16" i="18"/>
  <c r="G19" i="18"/>
  <c r="G16" i="18"/>
  <c r="F26" i="8"/>
  <c r="G76" i="9"/>
  <c r="F33" i="16"/>
  <c r="D32" i="2"/>
  <c r="E27" i="4" s="1"/>
  <c r="F32" i="2"/>
  <c r="G27" i="4" s="1"/>
  <c r="F19" i="18" l="1"/>
  <c r="F13" i="16"/>
  <c r="E12" i="18"/>
  <c r="K26" i="5"/>
  <c r="K25" i="5"/>
  <c r="K27" i="5"/>
  <c r="M38" i="5"/>
  <c r="L62" i="5"/>
  <c r="L28" i="5" s="1"/>
  <c r="M57" i="14"/>
  <c r="L53" i="14"/>
  <c r="M45" i="14"/>
  <c r="M55" i="14"/>
  <c r="M39" i="14"/>
  <c r="M43" i="14"/>
  <c r="M41" i="14"/>
  <c r="M51" i="14"/>
  <c r="M61" i="14"/>
  <c r="F85" i="3"/>
  <c r="F24" i="4"/>
  <c r="M27" i="14"/>
  <c r="M16" i="14"/>
  <c r="F36" i="2"/>
  <c r="G29" i="4" s="1"/>
  <c r="G36" i="2"/>
  <c r="D36" i="2"/>
  <c r="E29" i="4" s="1"/>
  <c r="E46" i="2"/>
  <c r="E32" i="2"/>
  <c r="F27" i="4" s="1"/>
  <c r="G11" i="12"/>
  <c r="G17" i="18"/>
  <c r="G20" i="18"/>
  <c r="E16" i="18"/>
  <c r="G32" i="8"/>
  <c r="G36" i="8" s="1"/>
  <c r="F32" i="8"/>
  <c r="F11" i="12"/>
  <c r="H40" i="9"/>
  <c r="H76" i="9" s="1"/>
  <c r="E26" i="8"/>
  <c r="G14" i="12"/>
  <c r="E32" i="8" l="1"/>
  <c r="E13" i="16"/>
  <c r="G13" i="10"/>
  <c r="G37" i="10" s="1"/>
  <c r="G14" i="16"/>
  <c r="L27" i="5"/>
  <c r="L26" i="5"/>
  <c r="L25" i="5"/>
  <c r="N38" i="5"/>
  <c r="M62" i="5"/>
  <c r="M28" i="5" s="1"/>
  <c r="D26" i="8"/>
  <c r="D13" i="16" s="1"/>
  <c r="N41" i="14"/>
  <c r="N45" i="14"/>
  <c r="N51" i="14"/>
  <c r="N55" i="14"/>
  <c r="N43" i="14"/>
  <c r="M53" i="14"/>
  <c r="G22" i="6"/>
  <c r="H29" i="4"/>
  <c r="N61" i="14"/>
  <c r="N39" i="14"/>
  <c r="N57" i="14"/>
  <c r="E36" i="8"/>
  <c r="D16" i="18"/>
  <c r="D17" i="18" s="1"/>
  <c r="F36" i="8"/>
  <c r="N27" i="14"/>
  <c r="N16" i="14"/>
  <c r="E36" i="2"/>
  <c r="G40" i="2"/>
  <c r="D22" i="6"/>
  <c r="D15" i="16" s="1"/>
  <c r="G33" i="16"/>
  <c r="F17" i="18"/>
  <c r="G23" i="18"/>
  <c r="G21" i="16"/>
  <c r="G40" i="8"/>
  <c r="E11" i="12"/>
  <c r="E19" i="18"/>
  <c r="G20" i="16"/>
  <c r="D40" i="2"/>
  <c r="E31" i="4" s="1"/>
  <c r="F40" i="2"/>
  <c r="G31" i="4" s="1"/>
  <c r="F22" i="6"/>
  <c r="F14" i="16" l="1"/>
  <c r="F13" i="10"/>
  <c r="F37" i="10" s="1"/>
  <c r="E14" i="16"/>
  <c r="E13" i="10"/>
  <c r="E37" i="10" s="1"/>
  <c r="G64" i="10"/>
  <c r="G70" i="10" s="1"/>
  <c r="G16" i="16"/>
  <c r="G45" i="8"/>
  <c r="G15" i="16"/>
  <c r="H22" i="6"/>
  <c r="D32" i="1"/>
  <c r="C32" i="12" s="1"/>
  <c r="E32" i="12" s="1"/>
  <c r="E33" i="12" s="1"/>
  <c r="D19" i="18"/>
  <c r="D11" i="12"/>
  <c r="D12" i="12" s="1"/>
  <c r="D17" i="12" s="1"/>
  <c r="F21" i="16"/>
  <c r="D32" i="8"/>
  <c r="D36" i="8" s="1"/>
  <c r="E23" i="18"/>
  <c r="M27" i="5"/>
  <c r="M26" i="5"/>
  <c r="M25" i="5"/>
  <c r="O38" i="5"/>
  <c r="N62" i="5"/>
  <c r="N28" i="5" s="1"/>
  <c r="G42" i="8"/>
  <c r="E20" i="16"/>
  <c r="G12" i="12"/>
  <c r="G17" i="12" s="1"/>
  <c r="E21" i="16"/>
  <c r="F20" i="16"/>
  <c r="E17" i="18"/>
  <c r="E40" i="8"/>
  <c r="G47" i="2"/>
  <c r="H31" i="4"/>
  <c r="O57" i="14"/>
  <c r="N53" i="14"/>
  <c r="O45" i="14"/>
  <c r="O55" i="14"/>
  <c r="O61" i="14"/>
  <c r="O51" i="14"/>
  <c r="O39" i="14"/>
  <c r="O43" i="14"/>
  <c r="O41" i="14"/>
  <c r="E22" i="6"/>
  <c r="E15" i="16" s="1"/>
  <c r="F29" i="4"/>
  <c r="F40" i="8"/>
  <c r="F23" i="18"/>
  <c r="O27" i="14"/>
  <c r="O16" i="14"/>
  <c r="E40" i="2"/>
  <c r="F31" i="4" s="1"/>
  <c r="G48" i="2"/>
  <c r="G51" i="2"/>
  <c r="D48" i="2"/>
  <c r="D51" i="2"/>
  <c r="D47" i="2"/>
  <c r="F47" i="2"/>
  <c r="F51" i="2"/>
  <c r="F48" i="2"/>
  <c r="E20" i="18"/>
  <c r="F20" i="18"/>
  <c r="G26" i="18"/>
  <c r="G23" i="16"/>
  <c r="G22" i="16"/>
  <c r="G42" i="16"/>
  <c r="F15" i="16"/>
  <c r="F12" i="12"/>
  <c r="F17" i="12" s="1"/>
  <c r="D14" i="16" l="1"/>
  <c r="D13" i="10"/>
  <c r="D37" i="10" s="1"/>
  <c r="E45" i="8"/>
  <c r="E16" i="16"/>
  <c r="F24" i="18"/>
  <c r="F45" i="8"/>
  <c r="F16" i="16"/>
  <c r="D20" i="16"/>
  <c r="N27" i="5"/>
  <c r="N26" i="5"/>
  <c r="N25" i="5"/>
  <c r="O62" i="5"/>
  <c r="O28" i="5" s="1"/>
  <c r="P38" i="5"/>
  <c r="D23" i="18"/>
  <c r="E24" i="18" s="1"/>
  <c r="F42" i="8"/>
  <c r="F29" i="18" s="1"/>
  <c r="E42" i="8"/>
  <c r="E29" i="18" s="1"/>
  <c r="D40" i="8"/>
  <c r="E26" i="18"/>
  <c r="F25" i="16"/>
  <c r="F24" i="16"/>
  <c r="E22" i="16"/>
  <c r="E48" i="2"/>
  <c r="E23" i="16"/>
  <c r="E25" i="16"/>
  <c r="F42" i="16"/>
  <c r="E42" i="16"/>
  <c r="E24" i="16"/>
  <c r="F22" i="16"/>
  <c r="E51" i="2"/>
  <c r="F26" i="18"/>
  <c r="F28" i="18" s="1"/>
  <c r="E12" i="12"/>
  <c r="E17" i="12" s="1"/>
  <c r="E64" i="10"/>
  <c r="E70" i="10" s="1"/>
  <c r="F64" i="10"/>
  <c r="F70" i="10" s="1"/>
  <c r="F23" i="16"/>
  <c r="E47" i="2"/>
  <c r="P45" i="14"/>
  <c r="P51" i="14"/>
  <c r="P41" i="14"/>
  <c r="P61" i="14"/>
  <c r="P57" i="14"/>
  <c r="P39" i="14"/>
  <c r="O53" i="14"/>
  <c r="P43" i="14"/>
  <c r="P55" i="14"/>
  <c r="D21" i="16"/>
  <c r="G24" i="18"/>
  <c r="P27" i="14"/>
  <c r="P16" i="14"/>
  <c r="E28" i="18"/>
  <c r="G28" i="18"/>
  <c r="D25" i="16" l="1"/>
  <c r="D16" i="16"/>
  <c r="D45" i="8"/>
  <c r="O27" i="5"/>
  <c r="O26" i="5"/>
  <c r="O25" i="5"/>
  <c r="P62" i="5"/>
  <c r="P28" i="5" s="1"/>
  <c r="Q38" i="5"/>
  <c r="Q62" i="5" s="1"/>
  <c r="Q28" i="5" s="1"/>
  <c r="D23" i="16"/>
  <c r="D42" i="8"/>
  <c r="D29" i="18" s="1"/>
  <c r="D24" i="16"/>
  <c r="D22" i="16"/>
  <c r="D26" i="18"/>
  <c r="D28" i="18" s="1"/>
  <c r="D64" i="10"/>
  <c r="D70" i="10" s="1"/>
  <c r="D72" i="10" s="1"/>
  <c r="D42" i="16"/>
  <c r="F27" i="18"/>
  <c r="G27" i="18"/>
  <c r="Q43" i="14"/>
  <c r="Q61" i="14"/>
  <c r="P53" i="14"/>
  <c r="Q41" i="14"/>
  <c r="Q39" i="14"/>
  <c r="Q51" i="14"/>
  <c r="Q55" i="14"/>
  <c r="Q57" i="14"/>
  <c r="Q45" i="14"/>
  <c r="Q27" i="14"/>
  <c r="Q16" i="14"/>
  <c r="D74" i="10" l="1"/>
  <c r="Q25" i="5"/>
  <c r="Q26" i="5"/>
  <c r="Q27" i="5"/>
  <c r="P26" i="5"/>
  <c r="P25" i="5"/>
  <c r="P27" i="5"/>
  <c r="E27" i="18"/>
  <c r="R41" i="14"/>
  <c r="R55" i="14"/>
  <c r="R51" i="14"/>
  <c r="R61" i="14"/>
  <c r="R57" i="14"/>
  <c r="Q53" i="14"/>
  <c r="R45" i="14"/>
  <c r="R39" i="14"/>
  <c r="R43" i="14"/>
  <c r="R27" i="14"/>
  <c r="R16" i="14"/>
  <c r="D76" i="10" l="1"/>
  <c r="E73" i="10"/>
  <c r="R53" i="14"/>
  <c r="G24" i="16" l="1"/>
  <c r="G25" i="16"/>
  <c r="E72" i="10" l="1"/>
  <c r="E74" i="10" s="1"/>
  <c r="E76" i="10" s="1"/>
  <c r="F72" i="10"/>
  <c r="F73" i="10" l="1"/>
  <c r="F74" i="10" s="1"/>
  <c r="F76" i="10" s="1"/>
  <c r="G73" i="10" l="1"/>
  <c r="C24" i="8" l="1"/>
  <c r="C26" i="2"/>
  <c r="D24" i="4" s="1"/>
  <c r="D85" i="3" l="1"/>
  <c r="C46" i="2"/>
  <c r="C32" i="2"/>
  <c r="D27" i="4" s="1"/>
  <c r="C18" i="18"/>
  <c r="C26" i="8"/>
  <c r="C13" i="16" s="1"/>
  <c r="C36" i="2" l="1"/>
  <c r="D29" i="4" s="1"/>
  <c r="C32" i="8"/>
  <c r="C36" i="8" s="1"/>
  <c r="C14" i="16" s="1"/>
  <c r="C19" i="18"/>
  <c r="D20" i="18" s="1"/>
  <c r="C40" i="8" l="1"/>
  <c r="C23" i="18"/>
  <c r="D24" i="18" s="1"/>
  <c r="C22" i="6"/>
  <c r="C40" i="2"/>
  <c r="C45" i="8" l="1"/>
  <c r="H45" i="8" s="1"/>
  <c r="I45" i="8" s="1"/>
  <c r="J45" i="8" s="1"/>
  <c r="K45" i="8" s="1"/>
  <c r="L45" i="8" s="1"/>
  <c r="M45" i="8" s="1"/>
  <c r="N45" i="8" s="1"/>
  <c r="O45" i="8" s="1"/>
  <c r="P45" i="8" s="1"/>
  <c r="Q45" i="8" s="1"/>
  <c r="C16" i="16"/>
  <c r="C42" i="8"/>
  <c r="C29" i="18" s="1"/>
  <c r="C47" i="2"/>
  <c r="D31" i="4"/>
  <c r="C15" i="16"/>
  <c r="C22" i="16"/>
  <c r="C24" i="16"/>
  <c r="C42" i="16"/>
  <c r="C26" i="18"/>
  <c r="H15" i="16" l="1"/>
  <c r="I22" i="6"/>
  <c r="J22" i="6" s="1"/>
  <c r="K22" i="6" s="1"/>
  <c r="L22" i="6" s="1"/>
  <c r="D27" i="18"/>
  <c r="C28" i="18"/>
  <c r="I15" i="16" l="1"/>
  <c r="J176" i="13"/>
  <c r="K15" i="9" s="1"/>
  <c r="M22" i="6" l="1"/>
  <c r="N22" i="6" s="1"/>
  <c r="J15" i="16"/>
  <c r="K176" i="13"/>
  <c r="L15" i="9" s="1"/>
  <c r="K15" i="16" l="1"/>
  <c r="L176" i="13"/>
  <c r="M15" i="9" s="1"/>
  <c r="L15" i="16" l="1"/>
  <c r="M176" i="13"/>
  <c r="N15" i="9" s="1"/>
  <c r="M15" i="16" l="1"/>
  <c r="N176" i="13"/>
  <c r="O15" i="9" s="1"/>
  <c r="O22" i="6" l="1"/>
  <c r="P22" i="6" s="1"/>
  <c r="Q22" i="6" s="1"/>
  <c r="N15" i="16"/>
  <c r="O176" i="13"/>
  <c r="P15" i="9" s="1"/>
  <c r="O15" i="16" l="1"/>
  <c r="P176" i="13"/>
  <c r="Q15" i="9" s="1"/>
  <c r="P15" i="16" l="1"/>
  <c r="Q15" i="16"/>
  <c r="Q176" i="13"/>
  <c r="R15" i="9" s="1"/>
  <c r="C172" i="13" l="1"/>
  <c r="D172" i="13" l="1"/>
  <c r="D174" i="13" l="1"/>
  <c r="D180" i="13" s="1"/>
  <c r="E172" i="13"/>
  <c r="E174" i="13" s="1"/>
  <c r="F172" i="13" l="1"/>
  <c r="F174" i="13" s="1"/>
  <c r="G172" i="13" l="1"/>
  <c r="G174" i="13" s="1"/>
  <c r="H172" i="13" l="1"/>
  <c r="I172" i="13" l="1"/>
  <c r="J172" i="13" l="1"/>
  <c r="K172" i="13" l="1"/>
  <c r="L172" i="13" l="1"/>
  <c r="M172" i="13" l="1"/>
  <c r="N172" i="13" l="1"/>
  <c r="H173" i="13"/>
  <c r="H24" i="8" s="1"/>
  <c r="H44" i="10" s="1"/>
  <c r="H15" i="10" l="1"/>
  <c r="I173" i="13"/>
  <c r="H174" i="13"/>
  <c r="H180" i="13" s="1"/>
  <c r="O172" i="13"/>
  <c r="Q172" i="13"/>
  <c r="N173" i="13"/>
  <c r="J173" i="13"/>
  <c r="M173" i="13"/>
  <c r="G180" i="13"/>
  <c r="L173" i="13"/>
  <c r="K173" i="13"/>
  <c r="Q173" i="13"/>
  <c r="Q24" i="8" s="1"/>
  <c r="Q44" i="10" s="1"/>
  <c r="O173" i="13"/>
  <c r="O24" i="8" s="1"/>
  <c r="O44" i="10" s="1"/>
  <c r="P173" i="13"/>
  <c r="P24" i="8" s="1"/>
  <c r="P44" i="10" s="1"/>
  <c r="P172" i="13"/>
  <c r="P15" i="10" l="1"/>
  <c r="O15" i="10"/>
  <c r="Q15" i="10"/>
  <c r="N174" i="13"/>
  <c r="N24" i="8"/>
  <c r="N44" i="10" s="1"/>
  <c r="L174" i="13"/>
  <c r="L24" i="8"/>
  <c r="L44" i="10" s="1"/>
  <c r="J174" i="13"/>
  <c r="J180" i="13" s="1"/>
  <c r="J24" i="8"/>
  <c r="J44" i="10" s="1"/>
  <c r="K174" i="13"/>
  <c r="K24" i="8"/>
  <c r="K44" i="10" s="1"/>
  <c r="M174" i="13"/>
  <c r="M180" i="13" s="1"/>
  <c r="M24" i="8"/>
  <c r="M44" i="10" s="1"/>
  <c r="I174" i="13"/>
  <c r="I24" i="8"/>
  <c r="I44" i="10" s="1"/>
  <c r="O174" i="13"/>
  <c r="Q174" i="13"/>
  <c r="P13" i="12"/>
  <c r="P174" i="13"/>
  <c r="E180" i="13"/>
  <c r="F180" i="13"/>
  <c r="M15" i="10" l="1"/>
  <c r="N15" i="10"/>
  <c r="K15" i="10"/>
  <c r="J15" i="10"/>
  <c r="I15" i="10"/>
  <c r="L15" i="10"/>
  <c r="Q13" i="12"/>
  <c r="Q14" i="12"/>
  <c r="O18" i="18"/>
  <c r="O13" i="12"/>
  <c r="P14" i="12"/>
  <c r="Q18" i="18"/>
  <c r="P18" i="18"/>
  <c r="P180" i="13"/>
  <c r="Q180" i="13"/>
  <c r="N180" i="13"/>
  <c r="K180" i="13"/>
  <c r="O180" i="13"/>
  <c r="L180" i="13"/>
  <c r="I180" i="13"/>
  <c r="N13" i="12"/>
  <c r="N18" i="18"/>
  <c r="L13" i="12"/>
  <c r="L18" i="18"/>
  <c r="H13" i="12"/>
  <c r="H18" i="18"/>
  <c r="O14" i="12"/>
  <c r="M13" i="12"/>
  <c r="M18" i="18"/>
  <c r="J13" i="12"/>
  <c r="J18" i="18"/>
  <c r="I13" i="12"/>
  <c r="I18" i="18"/>
  <c r="K13" i="12"/>
  <c r="K18" i="18"/>
  <c r="H14" i="12" l="1"/>
  <c r="L14" i="12"/>
  <c r="N14" i="12"/>
  <c r="J14" i="12"/>
  <c r="I14" i="12"/>
  <c r="M14" i="12"/>
  <c r="K14" i="12"/>
  <c r="H15" i="5" l="1"/>
  <c r="H12" i="5"/>
  <c r="H11" i="5" l="1"/>
  <c r="H11" i="7"/>
  <c r="I32" i="9" s="1"/>
  <c r="H13" i="7"/>
  <c r="I52" i="14"/>
  <c r="I66" i="9" s="1"/>
  <c r="H21" i="10" s="1"/>
  <c r="I21" i="14"/>
  <c r="I25" i="9" s="1"/>
  <c r="I30" i="14"/>
  <c r="I36" i="9" s="1"/>
  <c r="I19" i="14"/>
  <c r="I24" i="9" s="1"/>
  <c r="I48" i="14"/>
  <c r="I63" i="9" s="1"/>
  <c r="H18" i="10" s="1"/>
  <c r="I58" i="14"/>
  <c r="I69" i="9" s="1"/>
  <c r="H24" i="10" s="1"/>
  <c r="I28" i="14"/>
  <c r="I35" i="9" s="1"/>
  <c r="I13" i="14"/>
  <c r="I21" i="9" s="1"/>
  <c r="I17" i="14"/>
  <c r="I23" i="9" s="1"/>
  <c r="I56" i="14"/>
  <c r="I68" i="9" s="1"/>
  <c r="H23" i="10" s="1"/>
  <c r="I38" i="14"/>
  <c r="I54" i="9" s="1"/>
  <c r="H60" i="10" s="1"/>
  <c r="I40" i="14"/>
  <c r="I55" i="9" s="1"/>
  <c r="H61" i="10" s="1"/>
  <c r="I50" i="14"/>
  <c r="I64" i="9" s="1"/>
  <c r="H19" i="10" s="1"/>
  <c r="I60" i="14"/>
  <c r="I54" i="14"/>
  <c r="I67" i="9" s="1"/>
  <c r="H22" i="10" s="1"/>
  <c r="I44" i="14"/>
  <c r="I57" i="9" s="1"/>
  <c r="H63" i="10" s="1"/>
  <c r="I42" i="14"/>
  <c r="I56" i="9" s="1"/>
  <c r="H62" i="10" s="1"/>
  <c r="I26" i="14"/>
  <c r="I34" i="9" s="1"/>
  <c r="I15" i="14"/>
  <c r="I22" i="9" s="1"/>
  <c r="H11" i="8"/>
  <c r="H12" i="8"/>
  <c r="H11" i="6"/>
  <c r="I36" i="14"/>
  <c r="I53" i="9" s="1"/>
  <c r="H59" i="10" s="1"/>
  <c r="I24" i="14"/>
  <c r="I31" i="9" s="1"/>
  <c r="H16" i="5"/>
  <c r="I12" i="5"/>
  <c r="I15" i="5"/>
  <c r="H51" i="10" l="1"/>
  <c r="H35" i="10"/>
  <c r="H52" i="10"/>
  <c r="H50" i="10"/>
  <c r="H48" i="10"/>
  <c r="H34" i="10"/>
  <c r="H32" i="10"/>
  <c r="H49" i="10"/>
  <c r="H33" i="10"/>
  <c r="H31" i="10"/>
  <c r="I11" i="5"/>
  <c r="I11" i="8" s="1"/>
  <c r="I11" i="7"/>
  <c r="J32" i="9" s="1"/>
  <c r="I13" i="7"/>
  <c r="I70" i="9"/>
  <c r="H25" i="10" s="1"/>
  <c r="I27" i="9"/>
  <c r="J48" i="14"/>
  <c r="J63" i="9" s="1"/>
  <c r="I18" i="10" s="1"/>
  <c r="J58" i="14"/>
  <c r="J69" i="9" s="1"/>
  <c r="I24" i="10" s="1"/>
  <c r="J21" i="14"/>
  <c r="J25" i="9" s="1"/>
  <c r="I52" i="10" s="1"/>
  <c r="J30" i="14"/>
  <c r="J36" i="9" s="1"/>
  <c r="J19" i="14"/>
  <c r="J24" i="9" s="1"/>
  <c r="J28" i="14"/>
  <c r="J35" i="9" s="1"/>
  <c r="J13" i="14"/>
  <c r="J21" i="9" s="1"/>
  <c r="J17" i="14"/>
  <c r="J23" i="9" s="1"/>
  <c r="I50" i="10" s="1"/>
  <c r="J44" i="14"/>
  <c r="J57" i="9" s="1"/>
  <c r="I63" i="10" s="1"/>
  <c r="J60" i="14"/>
  <c r="J56" i="14"/>
  <c r="J68" i="9" s="1"/>
  <c r="I23" i="10" s="1"/>
  <c r="J42" i="14"/>
  <c r="J56" i="9" s="1"/>
  <c r="I62" i="10" s="1"/>
  <c r="J40" i="14"/>
  <c r="J55" i="9" s="1"/>
  <c r="I61" i="10" s="1"/>
  <c r="J50" i="14"/>
  <c r="J64" i="9" s="1"/>
  <c r="I19" i="10" s="1"/>
  <c r="J26" i="14"/>
  <c r="J34" i="9" s="1"/>
  <c r="J38" i="14"/>
  <c r="J54" i="9" s="1"/>
  <c r="I60" i="10" s="1"/>
  <c r="J54" i="14"/>
  <c r="J67" i="9" s="1"/>
  <c r="I22" i="10" s="1"/>
  <c r="J15" i="14"/>
  <c r="J22" i="9" s="1"/>
  <c r="I49" i="10" s="1"/>
  <c r="J52" i="14"/>
  <c r="J66" i="9" s="1"/>
  <c r="I21" i="10" s="1"/>
  <c r="H22" i="5"/>
  <c r="H34" i="8" s="1"/>
  <c r="H18" i="5"/>
  <c r="H28" i="8" s="1"/>
  <c r="H19" i="6"/>
  <c r="H30" i="8" s="1"/>
  <c r="I59" i="9"/>
  <c r="H14" i="8"/>
  <c r="I12" i="8"/>
  <c r="J15" i="5"/>
  <c r="J12" i="5"/>
  <c r="H16" i="6"/>
  <c r="H13" i="6"/>
  <c r="H18" i="8" s="1"/>
  <c r="H13" i="18" s="1"/>
  <c r="I11" i="6"/>
  <c r="J36" i="14"/>
  <c r="J53" i="9" s="1"/>
  <c r="I59" i="10" s="1"/>
  <c r="J24" i="14"/>
  <c r="J31" i="9" s="1"/>
  <c r="I31" i="10" s="1"/>
  <c r="I16" i="5"/>
  <c r="H41" i="10" l="1"/>
  <c r="H27" i="10"/>
  <c r="I34" i="10"/>
  <c r="I35" i="10"/>
  <c r="H68" i="10"/>
  <c r="H16" i="10"/>
  <c r="I32" i="10"/>
  <c r="H29" i="10"/>
  <c r="H42" i="10"/>
  <c r="I48" i="10"/>
  <c r="I51" i="10"/>
  <c r="I33" i="10"/>
  <c r="H38" i="16"/>
  <c r="H40" i="16"/>
  <c r="J11" i="5"/>
  <c r="J11" i="8" s="1"/>
  <c r="J11" i="7"/>
  <c r="K32" i="9" s="1"/>
  <c r="J13" i="7"/>
  <c r="J70" i="9"/>
  <c r="I25" i="10" s="1"/>
  <c r="H22" i="18"/>
  <c r="K48" i="14"/>
  <c r="K63" i="9" s="1"/>
  <c r="J18" i="10" s="1"/>
  <c r="K58" i="14"/>
  <c r="K69" i="9" s="1"/>
  <c r="J24" i="10" s="1"/>
  <c r="K21" i="14"/>
  <c r="K25" i="9" s="1"/>
  <c r="J52" i="10" s="1"/>
  <c r="K19" i="14"/>
  <c r="K24" i="9" s="1"/>
  <c r="J51" i="10" s="1"/>
  <c r="K30" i="14"/>
  <c r="K36" i="9" s="1"/>
  <c r="K13" i="14"/>
  <c r="K21" i="9" s="1"/>
  <c r="K28" i="14"/>
  <c r="K35" i="9" s="1"/>
  <c r="K17" i="14"/>
  <c r="K23" i="9" s="1"/>
  <c r="K54" i="14"/>
  <c r="K67" i="9" s="1"/>
  <c r="J22" i="10" s="1"/>
  <c r="K50" i="14"/>
  <c r="K64" i="9" s="1"/>
  <c r="J19" i="10" s="1"/>
  <c r="K56" i="14"/>
  <c r="K68" i="9" s="1"/>
  <c r="J23" i="10" s="1"/>
  <c r="K60" i="14"/>
  <c r="K42" i="14"/>
  <c r="K56" i="9" s="1"/>
  <c r="J62" i="10" s="1"/>
  <c r="K38" i="14"/>
  <c r="K54" i="9" s="1"/>
  <c r="J60" i="10" s="1"/>
  <c r="K44" i="14"/>
  <c r="K57" i="9" s="1"/>
  <c r="J63" i="10" s="1"/>
  <c r="K40" i="14"/>
  <c r="K55" i="9" s="1"/>
  <c r="J61" i="10" s="1"/>
  <c r="K26" i="14"/>
  <c r="K34" i="9" s="1"/>
  <c r="K15" i="14"/>
  <c r="K22" i="9" s="1"/>
  <c r="K52" i="14"/>
  <c r="K66" i="9" s="1"/>
  <c r="J21" i="10" s="1"/>
  <c r="I22" i="5"/>
  <c r="I34" i="8" s="1"/>
  <c r="J27" i="9"/>
  <c r="I18" i="5"/>
  <c r="I28" i="8" s="1"/>
  <c r="H16" i="7"/>
  <c r="I65" i="9"/>
  <c r="J59" i="9"/>
  <c r="I19" i="6"/>
  <c r="H21" i="18"/>
  <c r="I14" i="8"/>
  <c r="J12" i="8"/>
  <c r="H20" i="8"/>
  <c r="K12" i="5"/>
  <c r="K15" i="5"/>
  <c r="I13" i="6"/>
  <c r="I18" i="8" s="1"/>
  <c r="I13" i="18" s="1"/>
  <c r="I16" i="6"/>
  <c r="J11" i="6"/>
  <c r="K24" i="14"/>
  <c r="K31" i="9" s="1"/>
  <c r="J31" i="10" s="1"/>
  <c r="K36" i="14"/>
  <c r="K53" i="9" s="1"/>
  <c r="J59" i="10" s="1"/>
  <c r="J16" i="5"/>
  <c r="H11" i="18"/>
  <c r="H54" i="10" l="1"/>
  <c r="J48" i="10"/>
  <c r="J32" i="10"/>
  <c r="H39" i="16"/>
  <c r="H20" i="10"/>
  <c r="J49" i="10"/>
  <c r="I41" i="10"/>
  <c r="I27" i="10"/>
  <c r="I29" i="10"/>
  <c r="I42" i="10"/>
  <c r="J34" i="10"/>
  <c r="J50" i="10"/>
  <c r="J35" i="10"/>
  <c r="J33" i="10"/>
  <c r="G72" i="10"/>
  <c r="G74" i="10" s="1"/>
  <c r="G76" i="10" s="1"/>
  <c r="I38" i="16"/>
  <c r="I40" i="16"/>
  <c r="H22" i="8"/>
  <c r="H12" i="16" s="1"/>
  <c r="K11" i="5"/>
  <c r="K11" i="8" s="1"/>
  <c r="K11" i="7"/>
  <c r="L32" i="9" s="1"/>
  <c r="K32" i="10" s="1"/>
  <c r="K13" i="7"/>
  <c r="K70" i="9"/>
  <c r="J25" i="10" s="1"/>
  <c r="K27" i="9"/>
  <c r="J18" i="5"/>
  <c r="J28" i="8" s="1"/>
  <c r="J22" i="5"/>
  <c r="J34" i="8" s="1"/>
  <c r="L48" i="14"/>
  <c r="L63" i="9" s="1"/>
  <c r="K18" i="10" s="1"/>
  <c r="L58" i="14"/>
  <c r="L69" i="9" s="1"/>
  <c r="K24" i="10" s="1"/>
  <c r="L21" i="14"/>
  <c r="L25" i="9" s="1"/>
  <c r="L30" i="14"/>
  <c r="L36" i="9" s="1"/>
  <c r="K35" i="10" s="1"/>
  <c r="L19" i="14"/>
  <c r="L24" i="9" s="1"/>
  <c r="L13" i="14"/>
  <c r="L21" i="9" s="1"/>
  <c r="K48" i="10" s="1"/>
  <c r="L28" i="14"/>
  <c r="L35" i="9" s="1"/>
  <c r="K34" i="10" s="1"/>
  <c r="L17" i="14"/>
  <c r="L23" i="9" s="1"/>
  <c r="K50" i="10" s="1"/>
  <c r="L44" i="14"/>
  <c r="L57" i="9" s="1"/>
  <c r="K63" i="10" s="1"/>
  <c r="L40" i="14"/>
  <c r="L55" i="9" s="1"/>
  <c r="K61" i="10" s="1"/>
  <c r="L50" i="14"/>
  <c r="L64" i="9" s="1"/>
  <c r="K19" i="10" s="1"/>
  <c r="L54" i="14"/>
  <c r="L67" i="9" s="1"/>
  <c r="K22" i="10" s="1"/>
  <c r="L26" i="14"/>
  <c r="L34" i="9" s="1"/>
  <c r="L56" i="14"/>
  <c r="L68" i="9" s="1"/>
  <c r="K23" i="10" s="1"/>
  <c r="L38" i="14"/>
  <c r="L54" i="9" s="1"/>
  <c r="K60" i="10" s="1"/>
  <c r="L60" i="14"/>
  <c r="L15" i="14"/>
  <c r="L22" i="9" s="1"/>
  <c r="L42" i="14"/>
  <c r="L56" i="9" s="1"/>
  <c r="K62" i="10" s="1"/>
  <c r="L52" i="14"/>
  <c r="L66" i="9" s="1"/>
  <c r="K21" i="10" s="1"/>
  <c r="I22" i="18"/>
  <c r="J65" i="9"/>
  <c r="I16" i="7"/>
  <c r="K59" i="9"/>
  <c r="J19" i="6"/>
  <c r="I72" i="9"/>
  <c r="J14" i="8"/>
  <c r="K12" i="8"/>
  <c r="G29" i="18"/>
  <c r="H15" i="18"/>
  <c r="I20" i="8"/>
  <c r="I11" i="18"/>
  <c r="H12" i="18"/>
  <c r="H14" i="18"/>
  <c r="L12" i="5"/>
  <c r="L15" i="5"/>
  <c r="J13" i="6"/>
  <c r="J18" i="8" s="1"/>
  <c r="J13" i="18" s="1"/>
  <c r="J16" i="6"/>
  <c r="K11" i="6"/>
  <c r="L36" i="14"/>
  <c r="L53" i="9" s="1"/>
  <c r="K59" i="10" s="1"/>
  <c r="L24" i="14"/>
  <c r="L31" i="9" s="1"/>
  <c r="K31" i="10" s="1"/>
  <c r="K16" i="5"/>
  <c r="I54" i="10" l="1"/>
  <c r="I39" i="16"/>
  <c r="I20" i="10"/>
  <c r="J29" i="10"/>
  <c r="J42" i="10"/>
  <c r="J22" i="18"/>
  <c r="J41" i="10"/>
  <c r="J27" i="10"/>
  <c r="K51" i="10"/>
  <c r="K52" i="10"/>
  <c r="K33" i="10"/>
  <c r="K49" i="10"/>
  <c r="H73" i="10"/>
  <c r="H26" i="8"/>
  <c r="H11" i="12" s="1"/>
  <c r="H12" i="12" s="1"/>
  <c r="H16" i="18"/>
  <c r="H17" i="18" s="1"/>
  <c r="I22" i="8"/>
  <c r="I12" i="16" s="1"/>
  <c r="J40" i="16"/>
  <c r="J38" i="16"/>
  <c r="L11" i="5"/>
  <c r="L11" i="8" s="1"/>
  <c r="L11" i="7"/>
  <c r="M32" i="9" s="1"/>
  <c r="L13" i="7"/>
  <c r="L70" i="9"/>
  <c r="K25" i="10" s="1"/>
  <c r="K18" i="5"/>
  <c r="K28" i="8" s="1"/>
  <c r="L27" i="9"/>
  <c r="M48" i="14"/>
  <c r="M63" i="9" s="1"/>
  <c r="L18" i="10" s="1"/>
  <c r="M58" i="14"/>
  <c r="M69" i="9" s="1"/>
  <c r="L24" i="10" s="1"/>
  <c r="M30" i="14"/>
  <c r="M36" i="9" s="1"/>
  <c r="L35" i="10" s="1"/>
  <c r="M21" i="14"/>
  <c r="M25" i="9" s="1"/>
  <c r="L52" i="10" s="1"/>
  <c r="M19" i="14"/>
  <c r="M24" i="9" s="1"/>
  <c r="L51" i="10" s="1"/>
  <c r="M13" i="14"/>
  <c r="M21" i="9" s="1"/>
  <c r="L48" i="10" s="1"/>
  <c r="M28" i="14"/>
  <c r="M35" i="9" s="1"/>
  <c r="L34" i="10" s="1"/>
  <c r="M17" i="14"/>
  <c r="M23" i="9" s="1"/>
  <c r="M44" i="14"/>
  <c r="M57" i="9" s="1"/>
  <c r="L63" i="10" s="1"/>
  <c r="M56" i="14"/>
  <c r="M68" i="9" s="1"/>
  <c r="L23" i="10" s="1"/>
  <c r="M15" i="14"/>
  <c r="M22" i="9" s="1"/>
  <c r="L49" i="10" s="1"/>
  <c r="M60" i="14"/>
  <c r="M42" i="14"/>
  <c r="M56" i="9" s="1"/>
  <c r="L62" i="10" s="1"/>
  <c r="M50" i="14"/>
  <c r="M64" i="9" s="1"/>
  <c r="L19" i="10" s="1"/>
  <c r="M54" i="14"/>
  <c r="M67" i="9" s="1"/>
  <c r="L22" i="10" s="1"/>
  <c r="M40" i="14"/>
  <c r="M55" i="9" s="1"/>
  <c r="L61" i="10" s="1"/>
  <c r="M26" i="14"/>
  <c r="M34" i="9" s="1"/>
  <c r="L33" i="10" s="1"/>
  <c r="M38" i="14"/>
  <c r="M54" i="9" s="1"/>
  <c r="L60" i="10" s="1"/>
  <c r="M52" i="14"/>
  <c r="M66" i="9" s="1"/>
  <c r="L21" i="10" s="1"/>
  <c r="L59" i="9"/>
  <c r="K19" i="6"/>
  <c r="K65" i="9"/>
  <c r="J16" i="7"/>
  <c r="J72" i="9"/>
  <c r="K22" i="5"/>
  <c r="K34" i="8" s="1"/>
  <c r="L12" i="8"/>
  <c r="K14" i="8"/>
  <c r="J20" i="8"/>
  <c r="I15" i="18"/>
  <c r="K13" i="6"/>
  <c r="K18" i="8" s="1"/>
  <c r="K13" i="18" s="1"/>
  <c r="K16" i="6"/>
  <c r="M15" i="5"/>
  <c r="M12" i="5"/>
  <c r="I14" i="18"/>
  <c r="L11" i="6"/>
  <c r="M36" i="14"/>
  <c r="M53" i="9" s="1"/>
  <c r="L59" i="10" s="1"/>
  <c r="M24" i="14"/>
  <c r="M31" i="9" s="1"/>
  <c r="L16" i="5"/>
  <c r="I30" i="8"/>
  <c r="J11" i="18"/>
  <c r="I12" i="18"/>
  <c r="J54" i="10" l="1"/>
  <c r="L31" i="10"/>
  <c r="K42" i="10"/>
  <c r="K29" i="10"/>
  <c r="L32" i="10"/>
  <c r="I68" i="10"/>
  <c r="I16" i="10"/>
  <c r="K41" i="10"/>
  <c r="K27" i="10"/>
  <c r="J39" i="16"/>
  <c r="J20" i="10"/>
  <c r="L50" i="10"/>
  <c r="H19" i="18"/>
  <c r="H20" i="18" s="1"/>
  <c r="H13" i="16"/>
  <c r="H32" i="8"/>
  <c r="H36" i="8" s="1"/>
  <c r="I26" i="8"/>
  <c r="I13" i="16" s="1"/>
  <c r="K38" i="16"/>
  <c r="K40" i="16"/>
  <c r="J15" i="18"/>
  <c r="M11" i="5"/>
  <c r="M11" i="8" s="1"/>
  <c r="M11" i="7"/>
  <c r="N32" i="9" s="1"/>
  <c r="M13" i="7"/>
  <c r="J22" i="8"/>
  <c r="M70" i="9"/>
  <c r="L25" i="10" s="1"/>
  <c r="K22" i="18"/>
  <c r="L18" i="5"/>
  <c r="L28" i="8" s="1"/>
  <c r="M27" i="9"/>
  <c r="N48" i="14"/>
  <c r="N63" i="9" s="1"/>
  <c r="M18" i="10" s="1"/>
  <c r="N58" i="14"/>
  <c r="N69" i="9" s="1"/>
  <c r="M24" i="10" s="1"/>
  <c r="N30" i="14"/>
  <c r="N36" i="9" s="1"/>
  <c r="M35" i="10" s="1"/>
  <c r="N19" i="14"/>
  <c r="N24" i="9" s="1"/>
  <c r="N21" i="14"/>
  <c r="N25" i="9" s="1"/>
  <c r="M52" i="10" s="1"/>
  <c r="N13" i="14"/>
  <c r="N21" i="9" s="1"/>
  <c r="M48" i="10" s="1"/>
  <c r="N28" i="14"/>
  <c r="N35" i="9" s="1"/>
  <c r="M34" i="10" s="1"/>
  <c r="N17" i="14"/>
  <c r="N23" i="9" s="1"/>
  <c r="N26" i="14"/>
  <c r="N34" i="9" s="1"/>
  <c r="N38" i="14"/>
  <c r="N54" i="9" s="1"/>
  <c r="M60" i="10" s="1"/>
  <c r="N54" i="14"/>
  <c r="N67" i="9" s="1"/>
  <c r="M22" i="10" s="1"/>
  <c r="N56" i="14"/>
  <c r="N68" i="9" s="1"/>
  <c r="M23" i="10" s="1"/>
  <c r="N44" i="14"/>
  <c r="N57" i="9" s="1"/>
  <c r="M63" i="10" s="1"/>
  <c r="N60" i="14"/>
  <c r="N15" i="14"/>
  <c r="N22" i="9" s="1"/>
  <c r="N42" i="14"/>
  <c r="N56" i="9" s="1"/>
  <c r="M62" i="10" s="1"/>
  <c r="N40" i="14"/>
  <c r="N55" i="9" s="1"/>
  <c r="M61" i="10" s="1"/>
  <c r="N50" i="14"/>
  <c r="N64" i="9" s="1"/>
  <c r="M19" i="10" s="1"/>
  <c r="N52" i="14"/>
  <c r="N66" i="9" s="1"/>
  <c r="M21" i="10" s="1"/>
  <c r="L65" i="9"/>
  <c r="K16" i="7"/>
  <c r="L19" i="6"/>
  <c r="M59" i="9"/>
  <c r="K72" i="9"/>
  <c r="L14" i="8"/>
  <c r="L22" i="5"/>
  <c r="L34" i="8" s="1"/>
  <c r="M12" i="8"/>
  <c r="K20" i="8"/>
  <c r="J30" i="8"/>
  <c r="N12" i="5"/>
  <c r="N15" i="5"/>
  <c r="K11" i="18"/>
  <c r="I21" i="18"/>
  <c r="M11" i="6"/>
  <c r="N36" i="14"/>
  <c r="N53" i="9" s="1"/>
  <c r="M59" i="10" s="1"/>
  <c r="N24" i="14"/>
  <c r="N31" i="9" s="1"/>
  <c r="M16" i="5"/>
  <c r="L13" i="6"/>
  <c r="L18" i="8" s="1"/>
  <c r="L13" i="18" s="1"/>
  <c r="L16" i="6"/>
  <c r="I16" i="18"/>
  <c r="I17" i="18" s="1"/>
  <c r="J14" i="18"/>
  <c r="J12" i="18"/>
  <c r="H17" i="12"/>
  <c r="K54" i="10" l="1"/>
  <c r="L42" i="10"/>
  <c r="L29" i="10"/>
  <c r="K39" i="16"/>
  <c r="K20" i="10"/>
  <c r="L27" i="10"/>
  <c r="L41" i="10"/>
  <c r="L54" i="10" s="1"/>
  <c r="M33" i="10"/>
  <c r="M32" i="10"/>
  <c r="M51" i="10"/>
  <c r="J68" i="10"/>
  <c r="J16" i="10"/>
  <c r="M49" i="10"/>
  <c r="M50" i="10"/>
  <c r="M31" i="10"/>
  <c r="H14" i="16"/>
  <c r="H13" i="10"/>
  <c r="I32" i="8"/>
  <c r="I36" i="8" s="1"/>
  <c r="H38" i="8"/>
  <c r="H28" i="10" s="1"/>
  <c r="H23" i="18"/>
  <c r="H24" i="18" s="1"/>
  <c r="K22" i="8"/>
  <c r="K12" i="16" s="1"/>
  <c r="J26" i="8"/>
  <c r="J13" i="16" s="1"/>
  <c r="J12" i="16"/>
  <c r="L38" i="16"/>
  <c r="L40" i="16"/>
  <c r="N11" i="5"/>
  <c r="N11" i="8" s="1"/>
  <c r="N11" i="7"/>
  <c r="O32" i="9" s="1"/>
  <c r="N32" i="10" s="1"/>
  <c r="N13" i="7"/>
  <c r="N70" i="9"/>
  <c r="M25" i="10" s="1"/>
  <c r="L22" i="18"/>
  <c r="N27" i="9"/>
  <c r="O48" i="14"/>
  <c r="O63" i="9" s="1"/>
  <c r="N18" i="10" s="1"/>
  <c r="O58" i="14"/>
  <c r="O69" i="9" s="1"/>
  <c r="N24" i="10" s="1"/>
  <c r="O21" i="14"/>
  <c r="O25" i="9" s="1"/>
  <c r="N52" i="10" s="1"/>
  <c r="O19" i="14"/>
  <c r="O24" i="9" s="1"/>
  <c r="N51" i="10" s="1"/>
  <c r="O30" i="14"/>
  <c r="O36" i="9" s="1"/>
  <c r="O13" i="14"/>
  <c r="O21" i="9" s="1"/>
  <c r="N48" i="10" s="1"/>
  <c r="O28" i="14"/>
  <c r="O35" i="9" s="1"/>
  <c r="O17" i="14"/>
  <c r="O23" i="9" s="1"/>
  <c r="N50" i="10" s="1"/>
  <c r="O26" i="14"/>
  <c r="O34" i="9" s="1"/>
  <c r="O54" i="14"/>
  <c r="O67" i="9" s="1"/>
  <c r="N22" i="10" s="1"/>
  <c r="O50" i="14"/>
  <c r="O64" i="9" s="1"/>
  <c r="N19" i="10" s="1"/>
  <c r="O44" i="14"/>
  <c r="O57" i="9" s="1"/>
  <c r="N63" i="10" s="1"/>
  <c r="O56" i="14"/>
  <c r="O68" i="9" s="1"/>
  <c r="N23" i="10" s="1"/>
  <c r="O38" i="14"/>
  <c r="O54" i="9" s="1"/>
  <c r="N60" i="10" s="1"/>
  <c r="O15" i="14"/>
  <c r="O22" i="9" s="1"/>
  <c r="O40" i="14"/>
  <c r="O55" i="9" s="1"/>
  <c r="N61" i="10" s="1"/>
  <c r="O42" i="14"/>
  <c r="O56" i="9" s="1"/>
  <c r="N62" i="10" s="1"/>
  <c r="O60" i="14"/>
  <c r="O52" i="14"/>
  <c r="O66" i="9" s="1"/>
  <c r="N21" i="10" s="1"/>
  <c r="M19" i="6"/>
  <c r="N59" i="9"/>
  <c r="L72" i="9"/>
  <c r="M65" i="9"/>
  <c r="L16" i="7"/>
  <c r="J16" i="18"/>
  <c r="J17" i="18" s="1"/>
  <c r="M22" i="5"/>
  <c r="M34" i="8" s="1"/>
  <c r="M18" i="5"/>
  <c r="M28" i="8" s="1"/>
  <c r="N12" i="8"/>
  <c r="M14" i="8"/>
  <c r="L20" i="8"/>
  <c r="K15" i="18"/>
  <c r="K12" i="18"/>
  <c r="O12" i="5"/>
  <c r="O15" i="5"/>
  <c r="K30" i="8"/>
  <c r="I11" i="12"/>
  <c r="I12" i="12" s="1"/>
  <c r="I19" i="18"/>
  <c r="I20" i="18" s="1"/>
  <c r="O36" i="14"/>
  <c r="O53" i="9" s="1"/>
  <c r="N59" i="10" s="1"/>
  <c r="N11" i="6"/>
  <c r="O24" i="14"/>
  <c r="O31" i="9" s="1"/>
  <c r="N31" i="10" s="1"/>
  <c r="N16" i="5"/>
  <c r="L11" i="18"/>
  <c r="M16" i="6"/>
  <c r="M13" i="6"/>
  <c r="M18" i="8" s="1"/>
  <c r="M13" i="18" s="1"/>
  <c r="K14" i="18"/>
  <c r="J21" i="18"/>
  <c r="N49" i="10" l="1"/>
  <c r="L39" i="16"/>
  <c r="L20" i="10"/>
  <c r="M42" i="10"/>
  <c r="M29" i="10"/>
  <c r="K68" i="10"/>
  <c r="K16" i="10"/>
  <c r="M22" i="18"/>
  <c r="M27" i="10"/>
  <c r="M41" i="10"/>
  <c r="N35" i="10"/>
  <c r="N34" i="10"/>
  <c r="N33" i="10"/>
  <c r="H37" i="10"/>
  <c r="I14" i="16"/>
  <c r="I13" i="10"/>
  <c r="I38" i="8"/>
  <c r="I28" i="10" s="1"/>
  <c r="K26" i="8"/>
  <c r="K13" i="16" s="1"/>
  <c r="H40" i="8"/>
  <c r="H26" i="18" s="1"/>
  <c r="H25" i="18"/>
  <c r="J32" i="8"/>
  <c r="J36" i="8" s="1"/>
  <c r="J11" i="12"/>
  <c r="J12" i="12" s="1"/>
  <c r="J19" i="18"/>
  <c r="J20" i="18" s="1"/>
  <c r="L15" i="18"/>
  <c r="M38" i="16"/>
  <c r="M40" i="16"/>
  <c r="O11" i="5"/>
  <c r="O11" i="8" s="1"/>
  <c r="O11" i="7"/>
  <c r="P32" i="9" s="1"/>
  <c r="O13" i="7"/>
  <c r="L22" i="8"/>
  <c r="O70" i="9"/>
  <c r="N25" i="10" s="1"/>
  <c r="K16" i="18"/>
  <c r="K17" i="18" s="1"/>
  <c r="N18" i="5"/>
  <c r="N28" i="8" s="1"/>
  <c r="O27" i="9"/>
  <c r="N22" i="5"/>
  <c r="N34" i="8" s="1"/>
  <c r="P48" i="14"/>
  <c r="P63" i="9" s="1"/>
  <c r="O18" i="10" s="1"/>
  <c r="P58" i="14"/>
  <c r="P69" i="9" s="1"/>
  <c r="O24" i="10" s="1"/>
  <c r="P30" i="14"/>
  <c r="P36" i="9" s="1"/>
  <c r="O35" i="10" s="1"/>
  <c r="P21" i="14"/>
  <c r="P25" i="9" s="1"/>
  <c r="P19" i="14"/>
  <c r="P24" i="9" s="1"/>
  <c r="P13" i="14"/>
  <c r="P21" i="9" s="1"/>
  <c r="P28" i="14"/>
  <c r="P35" i="9" s="1"/>
  <c r="O34" i="10" s="1"/>
  <c r="P17" i="14"/>
  <c r="P23" i="9" s="1"/>
  <c r="O50" i="10" s="1"/>
  <c r="P60" i="14"/>
  <c r="P50" i="14"/>
  <c r="P64" i="9" s="1"/>
  <c r="O19" i="10" s="1"/>
  <c r="P40" i="14"/>
  <c r="P55" i="9" s="1"/>
  <c r="O61" i="10" s="1"/>
  <c r="P26" i="14"/>
  <c r="P34" i="9" s="1"/>
  <c r="O33" i="10" s="1"/>
  <c r="P15" i="14"/>
  <c r="P22" i="9" s="1"/>
  <c r="P42" i="14"/>
  <c r="P56" i="9" s="1"/>
  <c r="O62" i="10" s="1"/>
  <c r="P44" i="14"/>
  <c r="P57" i="9" s="1"/>
  <c r="O63" i="10" s="1"/>
  <c r="P54" i="14"/>
  <c r="P67" i="9" s="1"/>
  <c r="O22" i="10" s="1"/>
  <c r="P56" i="14"/>
  <c r="P68" i="9" s="1"/>
  <c r="O23" i="10" s="1"/>
  <c r="P38" i="14"/>
  <c r="P54" i="9" s="1"/>
  <c r="O60" i="10" s="1"/>
  <c r="P52" i="14"/>
  <c r="P66" i="9" s="1"/>
  <c r="O21" i="10" s="1"/>
  <c r="N19" i="6"/>
  <c r="O59" i="9"/>
  <c r="N65" i="9"/>
  <c r="M16" i="7"/>
  <c r="M72" i="9"/>
  <c r="O12" i="8"/>
  <c r="N14" i="8"/>
  <c r="M20" i="8"/>
  <c r="L30" i="8"/>
  <c r="L14" i="18"/>
  <c r="P15" i="5"/>
  <c r="P12" i="5"/>
  <c r="L12" i="18"/>
  <c r="Q15" i="5"/>
  <c r="Q12" i="5"/>
  <c r="I17" i="12"/>
  <c r="I23" i="18"/>
  <c r="I24" i="18" s="1"/>
  <c r="N16" i="6"/>
  <c r="N13" i="6"/>
  <c r="N18" i="8" s="1"/>
  <c r="N13" i="18" s="1"/>
  <c r="P24" i="14"/>
  <c r="P31" i="9" s="1"/>
  <c r="O11" i="6"/>
  <c r="P36" i="14"/>
  <c r="P53" i="9" s="1"/>
  <c r="O59" i="10" s="1"/>
  <c r="O16" i="5"/>
  <c r="M11" i="18"/>
  <c r="K21" i="18"/>
  <c r="O32" i="10" l="1"/>
  <c r="L68" i="10"/>
  <c r="L16" i="10"/>
  <c r="M54" i="10"/>
  <c r="O52" i="10"/>
  <c r="O31" i="10"/>
  <c r="O51" i="10"/>
  <c r="O49" i="10"/>
  <c r="N29" i="10"/>
  <c r="N42" i="10"/>
  <c r="M39" i="16"/>
  <c r="M20" i="10"/>
  <c r="N27" i="10"/>
  <c r="N41" i="10"/>
  <c r="O48" i="10"/>
  <c r="I37" i="10"/>
  <c r="J23" i="18"/>
  <c r="J24" i="18" s="1"/>
  <c r="J13" i="10"/>
  <c r="I40" i="8"/>
  <c r="I44" i="8" s="1"/>
  <c r="K11" i="12"/>
  <c r="K12" i="12" s="1"/>
  <c r="K32" i="8"/>
  <c r="K36" i="8" s="1"/>
  <c r="H16" i="16"/>
  <c r="J38" i="8"/>
  <c r="K19" i="18"/>
  <c r="K20" i="18" s="1"/>
  <c r="H44" i="8"/>
  <c r="H24" i="16" s="1"/>
  <c r="H42" i="8"/>
  <c r="H29" i="18" s="1"/>
  <c r="H22" i="16"/>
  <c r="J14" i="16"/>
  <c r="M15" i="18"/>
  <c r="N40" i="16"/>
  <c r="N38" i="16"/>
  <c r="L26" i="8"/>
  <c r="L13" i="16" s="1"/>
  <c r="L12" i="16"/>
  <c r="Q11" i="5"/>
  <c r="P11" i="5"/>
  <c r="P11" i="8" s="1"/>
  <c r="P11" i="7"/>
  <c r="Q32" i="9" s="1"/>
  <c r="P13" i="7"/>
  <c r="Q11" i="7"/>
  <c r="R32" i="9" s="1"/>
  <c r="Q13" i="7"/>
  <c r="M22" i="8"/>
  <c r="P70" i="9"/>
  <c r="O25" i="10" s="1"/>
  <c r="N22" i="18"/>
  <c r="O22" i="5"/>
  <c r="O34" i="8" s="1"/>
  <c r="P27" i="9"/>
  <c r="Q48" i="14"/>
  <c r="Q63" i="9" s="1"/>
  <c r="P18" i="10" s="1"/>
  <c r="Q58" i="14"/>
  <c r="Q69" i="9" s="1"/>
  <c r="P24" i="10" s="1"/>
  <c r="Q19" i="14"/>
  <c r="Q24" i="9" s="1"/>
  <c r="P51" i="10" s="1"/>
  <c r="Q21" i="14"/>
  <c r="Q25" i="9" s="1"/>
  <c r="Q30" i="14"/>
  <c r="Q36" i="9" s="1"/>
  <c r="Q28" i="14"/>
  <c r="Q35" i="9" s="1"/>
  <c r="Q13" i="14"/>
  <c r="Q21" i="9" s="1"/>
  <c r="Q17" i="14"/>
  <c r="Q23" i="9" s="1"/>
  <c r="Q38" i="14"/>
  <c r="Q54" i="9" s="1"/>
  <c r="P60" i="10" s="1"/>
  <c r="Q42" i="14"/>
  <c r="Q56" i="9" s="1"/>
  <c r="P62" i="10" s="1"/>
  <c r="Q15" i="14"/>
  <c r="Q22" i="9" s="1"/>
  <c r="P49" i="10" s="1"/>
  <c r="Q50" i="14"/>
  <c r="Q64" i="9" s="1"/>
  <c r="P19" i="10" s="1"/>
  <c r="Q44" i="14"/>
  <c r="Q57" i="9" s="1"/>
  <c r="P63" i="10" s="1"/>
  <c r="Q26" i="14"/>
  <c r="Q34" i="9" s="1"/>
  <c r="P33" i="10" s="1"/>
  <c r="Q60" i="14"/>
  <c r="Q40" i="14"/>
  <c r="Q55" i="9" s="1"/>
  <c r="P61" i="10" s="1"/>
  <c r="Q56" i="14"/>
  <c r="Q68" i="9" s="1"/>
  <c r="P23" i="10" s="1"/>
  <c r="Q54" i="14"/>
  <c r="Q67" i="9" s="1"/>
  <c r="P22" i="10" s="1"/>
  <c r="Q52" i="14"/>
  <c r="Q66" i="9" s="1"/>
  <c r="P21" i="10" s="1"/>
  <c r="R48" i="14"/>
  <c r="R63" i="9" s="1"/>
  <c r="R58" i="14"/>
  <c r="R69" i="9" s="1"/>
  <c r="R30" i="14"/>
  <c r="R36" i="9" s="1"/>
  <c r="R19" i="14"/>
  <c r="R24" i="9" s="1"/>
  <c r="R21" i="14"/>
  <c r="R25" i="9" s="1"/>
  <c r="R13" i="14"/>
  <c r="R21" i="9" s="1"/>
  <c r="R28" i="14"/>
  <c r="R35" i="9" s="1"/>
  <c r="R17" i="14"/>
  <c r="R23" i="9" s="1"/>
  <c r="R40" i="14"/>
  <c r="R55" i="9" s="1"/>
  <c r="R26" i="14"/>
  <c r="R34" i="9" s="1"/>
  <c r="R44" i="14"/>
  <c r="R57" i="9" s="1"/>
  <c r="R42" i="14"/>
  <c r="R56" i="9" s="1"/>
  <c r="R54" i="14"/>
  <c r="R67" i="9" s="1"/>
  <c r="R60" i="14"/>
  <c r="R70" i="9" s="1"/>
  <c r="R50" i="14"/>
  <c r="R64" i="9" s="1"/>
  <c r="R38" i="14"/>
  <c r="R54" i="9" s="1"/>
  <c r="R15" i="14"/>
  <c r="R22" i="9" s="1"/>
  <c r="R56" i="14"/>
  <c r="R68" i="9" s="1"/>
  <c r="R52" i="14"/>
  <c r="R66" i="9" s="1"/>
  <c r="P59" i="9"/>
  <c r="O19" i="6"/>
  <c r="L16" i="18"/>
  <c r="L17" i="18" s="1"/>
  <c r="N16" i="7"/>
  <c r="O65" i="9"/>
  <c r="N72" i="9"/>
  <c r="O18" i="5"/>
  <c r="O28" i="8" s="1"/>
  <c r="Q12" i="8"/>
  <c r="P12" i="8"/>
  <c r="O14" i="8"/>
  <c r="N20" i="8"/>
  <c r="J17" i="12"/>
  <c r="M14" i="18"/>
  <c r="Q36" i="14"/>
  <c r="Q53" i="9" s="1"/>
  <c r="P59" i="10" s="1"/>
  <c r="Q24" i="14"/>
  <c r="Q31" i="9" s="1"/>
  <c r="P31" i="10" s="1"/>
  <c r="P11" i="6"/>
  <c r="P16" i="5"/>
  <c r="H27" i="18"/>
  <c r="H28" i="18"/>
  <c r="L21" i="18"/>
  <c r="O13" i="6"/>
  <c r="O18" i="8" s="1"/>
  <c r="O13" i="18" s="1"/>
  <c r="O16" i="6"/>
  <c r="M12" i="18"/>
  <c r="N11" i="18"/>
  <c r="M30" i="8"/>
  <c r="I25" i="18"/>
  <c r="Q11" i="6"/>
  <c r="R24" i="14"/>
  <c r="R31" i="9" s="1"/>
  <c r="R36" i="14"/>
  <c r="R53" i="9" s="1"/>
  <c r="Q16" i="5"/>
  <c r="Q34" i="10" l="1"/>
  <c r="Q19" i="10"/>
  <c r="Q22" i="10"/>
  <c r="Q32" i="10"/>
  <c r="Q62" i="10"/>
  <c r="Q60" i="10"/>
  <c r="Q50" i="10"/>
  <c r="Q21" i="10"/>
  <c r="Q48" i="10"/>
  <c r="Q23" i="10"/>
  <c r="Q24" i="10"/>
  <c r="N54" i="10"/>
  <c r="Q35" i="10"/>
  <c r="Q59" i="10"/>
  <c r="P35" i="10"/>
  <c r="O42" i="10"/>
  <c r="O29" i="10"/>
  <c r="Q63" i="10"/>
  <c r="Q33" i="10"/>
  <c r="P34" i="10"/>
  <c r="P48" i="10"/>
  <c r="M68" i="10"/>
  <c r="M16" i="10"/>
  <c r="Q31" i="10"/>
  <c r="O22" i="18"/>
  <c r="O41" i="10"/>
  <c r="O27" i="10"/>
  <c r="Q61" i="10"/>
  <c r="Q18" i="10"/>
  <c r="Q52" i="10"/>
  <c r="P50" i="10"/>
  <c r="N39" i="16"/>
  <c r="N20" i="10"/>
  <c r="Q49" i="10"/>
  <c r="Q51" i="10"/>
  <c r="P52" i="10"/>
  <c r="P32" i="10"/>
  <c r="J25" i="18"/>
  <c r="J28" i="10"/>
  <c r="J37" i="10" s="1"/>
  <c r="K23" i="18"/>
  <c r="K24" i="18" s="1"/>
  <c r="K13" i="10"/>
  <c r="I24" i="16"/>
  <c r="I42" i="8"/>
  <c r="I29" i="18" s="1"/>
  <c r="I22" i="16"/>
  <c r="I16" i="16"/>
  <c r="I26" i="18"/>
  <c r="I28" i="18" s="1"/>
  <c r="K14" i="16"/>
  <c r="K38" i="8"/>
  <c r="J40" i="8"/>
  <c r="J44" i="8" s="1"/>
  <c r="I46" i="9"/>
  <c r="Q11" i="8"/>
  <c r="Q14" i="8" s="1"/>
  <c r="L19" i="18"/>
  <c r="L20" i="18" s="1"/>
  <c r="L11" i="12"/>
  <c r="L12" i="12" s="1"/>
  <c r="L32" i="8"/>
  <c r="L36" i="8" s="1"/>
  <c r="L13" i="10" s="1"/>
  <c r="M26" i="8"/>
  <c r="M13" i="16" s="1"/>
  <c r="M12" i="16"/>
  <c r="N15" i="18"/>
  <c r="O40" i="16"/>
  <c r="O38" i="16"/>
  <c r="N22" i="8"/>
  <c r="Q70" i="9"/>
  <c r="P25" i="10" s="1"/>
  <c r="P18" i="5"/>
  <c r="P28" i="8" s="1"/>
  <c r="Q22" i="5"/>
  <c r="Q34" i="8" s="1"/>
  <c r="Q18" i="5"/>
  <c r="Q28" i="8" s="1"/>
  <c r="Q27" i="9"/>
  <c r="R27" i="9"/>
  <c r="Q19" i="6"/>
  <c r="R59" i="9"/>
  <c r="O72" i="9"/>
  <c r="O16" i="7"/>
  <c r="P65" i="9"/>
  <c r="Q59" i="9"/>
  <c r="P19" i="6"/>
  <c r="P22" i="5"/>
  <c r="P34" i="8" s="1"/>
  <c r="M16" i="18"/>
  <c r="M17" i="18" s="1"/>
  <c r="P14" i="8"/>
  <c r="O20" i="8"/>
  <c r="K17" i="12"/>
  <c r="O11" i="18"/>
  <c r="N30" i="8"/>
  <c r="P16" i="6"/>
  <c r="P13" i="6"/>
  <c r="P18" i="8" s="1"/>
  <c r="P13" i="18" s="1"/>
  <c r="Q16" i="6"/>
  <c r="Q13" i="6"/>
  <c r="Q18" i="8" s="1"/>
  <c r="Q13" i="18" s="1"/>
  <c r="M21" i="18"/>
  <c r="N12" i="18"/>
  <c r="N14" i="18"/>
  <c r="O54" i="10" l="1"/>
  <c r="N68" i="10"/>
  <c r="N16" i="10"/>
  <c r="O39" i="16"/>
  <c r="O20" i="10"/>
  <c r="Q41" i="10"/>
  <c r="Q54" i="10" s="1"/>
  <c r="Q27" i="10"/>
  <c r="Q29" i="10"/>
  <c r="Q42" i="10"/>
  <c r="P22" i="18"/>
  <c r="P41" i="10"/>
  <c r="P27" i="10"/>
  <c r="P29" i="10"/>
  <c r="P42" i="10"/>
  <c r="Q25" i="10"/>
  <c r="I49" i="9"/>
  <c r="I74" i="9" s="1"/>
  <c r="I33" i="9" s="1"/>
  <c r="H29" i="16" s="1"/>
  <c r="H64" i="10"/>
  <c r="H70" i="10" s="1"/>
  <c r="H72" i="10" s="1"/>
  <c r="H74" i="10" s="1"/>
  <c r="I73" i="10" s="1"/>
  <c r="K40" i="8"/>
  <c r="K16" i="16" s="1"/>
  <c r="K28" i="10"/>
  <c r="K37" i="10" s="1"/>
  <c r="K25" i="18"/>
  <c r="I27" i="18"/>
  <c r="J16" i="16"/>
  <c r="J24" i="16"/>
  <c r="J22" i="16"/>
  <c r="J26" i="18"/>
  <c r="J27" i="18" s="1"/>
  <c r="J42" i="8"/>
  <c r="J29" i="18" s="1"/>
  <c r="J46" i="9"/>
  <c r="L17" i="12"/>
  <c r="L23" i="18"/>
  <c r="L24" i="18" s="1"/>
  <c r="L38" i="8"/>
  <c r="L14" i="16"/>
  <c r="M32" i="8"/>
  <c r="M36" i="8" s="1"/>
  <c r="M19" i="18"/>
  <c r="M20" i="18" s="1"/>
  <c r="M11" i="12"/>
  <c r="M12" i="12" s="1"/>
  <c r="O15" i="18"/>
  <c r="P40" i="16"/>
  <c r="P38" i="16"/>
  <c r="Q38" i="16"/>
  <c r="Q40" i="16"/>
  <c r="N26" i="8"/>
  <c r="N13" i="16" s="1"/>
  <c r="N12" i="16"/>
  <c r="O22" i="8"/>
  <c r="Q22" i="18"/>
  <c r="Q65" i="9"/>
  <c r="P16" i="7"/>
  <c r="Q16" i="7"/>
  <c r="R65" i="9"/>
  <c r="P72" i="9"/>
  <c r="Q20" i="8"/>
  <c r="Q22" i="8" s="1"/>
  <c r="Q12" i="16" s="1"/>
  <c r="P20" i="8"/>
  <c r="N21" i="18"/>
  <c r="O12" i="18"/>
  <c r="Q11" i="18"/>
  <c r="O30" i="8"/>
  <c r="P11" i="18"/>
  <c r="N16" i="18"/>
  <c r="N17" i="18" s="1"/>
  <c r="O14" i="18"/>
  <c r="H34" i="16" l="1"/>
  <c r="Q20" i="10"/>
  <c r="H35" i="16"/>
  <c r="H21" i="16"/>
  <c r="H25" i="16"/>
  <c r="O68" i="10"/>
  <c r="O16" i="10"/>
  <c r="P54" i="10"/>
  <c r="P39" i="16"/>
  <c r="P20" i="10"/>
  <c r="H23" i="16"/>
  <c r="I38" i="9"/>
  <c r="H41" i="16" s="1"/>
  <c r="H42" i="16"/>
  <c r="H30" i="16"/>
  <c r="K42" i="8"/>
  <c r="K29" i="18" s="1"/>
  <c r="K26" i="18"/>
  <c r="K28" i="18" s="1"/>
  <c r="J49" i="9"/>
  <c r="J74" i="9" s="1"/>
  <c r="J33" i="9" s="1"/>
  <c r="I30" i="16" s="1"/>
  <c r="I64" i="10"/>
  <c r="K22" i="16"/>
  <c r="K44" i="8"/>
  <c r="K24" i="16" s="1"/>
  <c r="L40" i="8"/>
  <c r="L44" i="8" s="1"/>
  <c r="L28" i="10"/>
  <c r="L37" i="10" s="1"/>
  <c r="M14" i="16"/>
  <c r="M13" i="10"/>
  <c r="J28" i="18"/>
  <c r="K46" i="9"/>
  <c r="H76" i="10"/>
  <c r="M38" i="8"/>
  <c r="L25" i="18"/>
  <c r="N32" i="8"/>
  <c r="N36" i="8" s="1"/>
  <c r="M23" i="18"/>
  <c r="M24" i="18" s="1"/>
  <c r="O26" i="8"/>
  <c r="O13" i="16" s="1"/>
  <c r="O12" i="16"/>
  <c r="P15" i="18"/>
  <c r="Q39" i="16"/>
  <c r="P22" i="8"/>
  <c r="P12" i="16" s="1"/>
  <c r="O16" i="18"/>
  <c r="O17" i="18" s="1"/>
  <c r="Q26" i="8"/>
  <c r="Q13" i="16" s="1"/>
  <c r="R72" i="9"/>
  <c r="Q72" i="9"/>
  <c r="Q15" i="18"/>
  <c r="M17" i="12"/>
  <c r="P14" i="18"/>
  <c r="P12" i="18"/>
  <c r="P30" i="8"/>
  <c r="Q12" i="18"/>
  <c r="N11" i="12"/>
  <c r="N12" i="12" s="1"/>
  <c r="N19" i="18"/>
  <c r="N20" i="18" s="1"/>
  <c r="O21" i="18"/>
  <c r="P68" i="10" l="1"/>
  <c r="P16" i="10"/>
  <c r="I40" i="9"/>
  <c r="H19" i="16" s="1"/>
  <c r="H28" i="16"/>
  <c r="K27" i="18"/>
  <c r="I70" i="10"/>
  <c r="I72" i="10" s="1"/>
  <c r="I74" i="10" s="1"/>
  <c r="I42" i="16"/>
  <c r="I29" i="16"/>
  <c r="I35" i="16"/>
  <c r="I23" i="16"/>
  <c r="I34" i="16"/>
  <c r="I25" i="16"/>
  <c r="J38" i="9"/>
  <c r="I41" i="16" s="1"/>
  <c r="I21" i="16"/>
  <c r="J64" i="10"/>
  <c r="L42" i="8"/>
  <c r="L29" i="18" s="1"/>
  <c r="L16" i="16"/>
  <c r="L22" i="16"/>
  <c r="L26" i="18"/>
  <c r="L28" i="18" s="1"/>
  <c r="L24" i="16"/>
  <c r="M25" i="18"/>
  <c r="M28" i="10"/>
  <c r="M37" i="10" s="1"/>
  <c r="N14" i="16"/>
  <c r="N13" i="10"/>
  <c r="L46" i="9"/>
  <c r="K49" i="9"/>
  <c r="K74" i="9" s="1"/>
  <c r="K33" i="9" s="1"/>
  <c r="J29" i="16" s="1"/>
  <c r="M40" i="8"/>
  <c r="M44" i="8" s="1"/>
  <c r="N38" i="8"/>
  <c r="N28" i="10" s="1"/>
  <c r="O19" i="18"/>
  <c r="O20" i="18" s="1"/>
  <c r="O11" i="12"/>
  <c r="O12" i="12" s="1"/>
  <c r="P26" i="8"/>
  <c r="P13" i="16" s="1"/>
  <c r="O32" i="8"/>
  <c r="O36" i="8" s="1"/>
  <c r="N17" i="12"/>
  <c r="Q14" i="18"/>
  <c r="N23" i="18"/>
  <c r="N24" i="18" s="1"/>
  <c r="P16" i="18"/>
  <c r="P17" i="18" s="1"/>
  <c r="P21" i="18"/>
  <c r="Q30" i="8"/>
  <c r="Q16" i="18"/>
  <c r="I76" i="9" l="1"/>
  <c r="H33" i="16"/>
  <c r="Q68" i="10"/>
  <c r="Q16" i="10"/>
  <c r="H20" i="16"/>
  <c r="I76" i="10"/>
  <c r="J73" i="10"/>
  <c r="J70" i="10"/>
  <c r="J72" i="10" s="1"/>
  <c r="I28" i="16"/>
  <c r="J40" i="9"/>
  <c r="I19" i="16" s="1"/>
  <c r="K64" i="10"/>
  <c r="L27" i="18"/>
  <c r="N37" i="10"/>
  <c r="O38" i="8"/>
  <c r="O28" i="10" s="1"/>
  <c r="O13" i="10"/>
  <c r="M46" i="9"/>
  <c r="L49" i="9"/>
  <c r="L74" i="9" s="1"/>
  <c r="L33" i="9" s="1"/>
  <c r="K30" i="16" s="1"/>
  <c r="J34" i="16"/>
  <c r="J21" i="16"/>
  <c r="J35" i="16"/>
  <c r="J30" i="16"/>
  <c r="J25" i="16"/>
  <c r="K38" i="9"/>
  <c r="J41" i="16" s="1"/>
  <c r="J42" i="16"/>
  <c r="J23" i="16"/>
  <c r="M42" i="8"/>
  <c r="M29" i="18" s="1"/>
  <c r="M22" i="16"/>
  <c r="M24" i="16"/>
  <c r="M16" i="16"/>
  <c r="M26" i="18"/>
  <c r="M27" i="18" s="1"/>
  <c r="N40" i="8"/>
  <c r="N22" i="16" s="1"/>
  <c r="P32" i="8"/>
  <c r="P36" i="8" s="1"/>
  <c r="P13" i="10" s="1"/>
  <c r="O14" i="16"/>
  <c r="O23" i="18"/>
  <c r="O24" i="18" s="1"/>
  <c r="Q32" i="8"/>
  <c r="Q36" i="8" s="1"/>
  <c r="Q17" i="18"/>
  <c r="O17" i="12"/>
  <c r="P19" i="18"/>
  <c r="P20" i="18" s="1"/>
  <c r="P11" i="12"/>
  <c r="N25" i="18"/>
  <c r="Q21" i="18"/>
  <c r="Q11" i="12"/>
  <c r="Q12" i="12" s="1"/>
  <c r="Q19" i="18"/>
  <c r="J74" i="10" l="1"/>
  <c r="K73" i="10" s="1"/>
  <c r="I20" i="16"/>
  <c r="K70" i="10"/>
  <c r="K72" i="10" s="1"/>
  <c r="J76" i="9"/>
  <c r="I33" i="16"/>
  <c r="L64" i="10"/>
  <c r="O40" i="8"/>
  <c r="O44" i="8" s="1"/>
  <c r="O25" i="18"/>
  <c r="O37" i="10"/>
  <c r="Q14" i="16"/>
  <c r="Q13" i="10"/>
  <c r="M49" i="9"/>
  <c r="M74" i="9" s="1"/>
  <c r="M33" i="9" s="1"/>
  <c r="L30" i="16" s="1"/>
  <c r="K35" i="16"/>
  <c r="N46" i="9"/>
  <c r="L38" i="9"/>
  <c r="K28" i="16" s="1"/>
  <c r="K21" i="16"/>
  <c r="K34" i="16"/>
  <c r="K42" i="16"/>
  <c r="K25" i="16"/>
  <c r="K29" i="16"/>
  <c r="K23" i="16"/>
  <c r="K40" i="9"/>
  <c r="K76" i="9" s="1"/>
  <c r="J28" i="16"/>
  <c r="M28" i="18"/>
  <c r="N44" i="8"/>
  <c r="N24" i="16" s="1"/>
  <c r="N26" i="18"/>
  <c r="N28" i="18" s="1"/>
  <c r="N42" i="8"/>
  <c r="N29" i="18" s="1"/>
  <c r="N16" i="16"/>
  <c r="P38" i="8"/>
  <c r="P14" i="16"/>
  <c r="Q38" i="8"/>
  <c r="Q28" i="10" s="1"/>
  <c r="Q20" i="18"/>
  <c r="P12" i="12"/>
  <c r="P17" i="12" s="1"/>
  <c r="P23" i="18"/>
  <c r="P24" i="18" s="1"/>
  <c r="Q17" i="12"/>
  <c r="Q23" i="18"/>
  <c r="J76" i="10" l="1"/>
  <c r="K74" i="10"/>
  <c r="K76" i="10" s="1"/>
  <c r="O26" i="18"/>
  <c r="O28" i="18" s="1"/>
  <c r="O16" i="16"/>
  <c r="L70" i="10"/>
  <c r="L72" i="10" s="1"/>
  <c r="O42" i="8"/>
  <c r="O29" i="18" s="1"/>
  <c r="O24" i="16"/>
  <c r="M64" i="10"/>
  <c r="O22" i="16"/>
  <c r="Q37" i="10"/>
  <c r="P40" i="8"/>
  <c r="P44" i="8" s="1"/>
  <c r="P28" i="10"/>
  <c r="P37" i="10" s="1"/>
  <c r="L35" i="16"/>
  <c r="L34" i="16"/>
  <c r="L23" i="16"/>
  <c r="L25" i="16"/>
  <c r="M38" i="9"/>
  <c r="L28" i="16" s="1"/>
  <c r="L42" i="16"/>
  <c r="L29" i="16"/>
  <c r="L21" i="16"/>
  <c r="N49" i="9"/>
  <c r="N74" i="9" s="1"/>
  <c r="N33" i="9" s="1"/>
  <c r="M29" i="16" s="1"/>
  <c r="L40" i="9"/>
  <c r="L76" i="9" s="1"/>
  <c r="K41" i="16"/>
  <c r="J33" i="16"/>
  <c r="J20" i="16"/>
  <c r="J19" i="16"/>
  <c r="O46" i="9"/>
  <c r="N27" i="18"/>
  <c r="C42" i="12"/>
  <c r="C46" i="12" s="1"/>
  <c r="C45" i="12"/>
  <c r="Q40" i="8"/>
  <c r="Q44" i="8" s="1"/>
  <c r="P25" i="18"/>
  <c r="Q24" i="18"/>
  <c r="Q25" i="18"/>
  <c r="L73" i="10" l="1"/>
  <c r="L74" i="10" s="1"/>
  <c r="M73" i="10" s="1"/>
  <c r="O27" i="18"/>
  <c r="M70" i="10"/>
  <c r="M72" i="10" s="1"/>
  <c r="P26" i="18"/>
  <c r="P27" i="18" s="1"/>
  <c r="P24" i="16"/>
  <c r="P16" i="16"/>
  <c r="N64" i="10"/>
  <c r="P22" i="16"/>
  <c r="P42" i="8"/>
  <c r="P29" i="18" s="1"/>
  <c r="L41" i="16"/>
  <c r="M40" i="9"/>
  <c r="M76" i="9" s="1"/>
  <c r="M42" i="16"/>
  <c r="N38" i="9"/>
  <c r="M41" i="16" s="1"/>
  <c r="M35" i="16"/>
  <c r="M25" i="16"/>
  <c r="M34" i="16"/>
  <c r="M21" i="16"/>
  <c r="M23" i="16"/>
  <c r="M30" i="16"/>
  <c r="K20" i="16"/>
  <c r="K19" i="16"/>
  <c r="K33" i="16"/>
  <c r="O49" i="9"/>
  <c r="O74" i="9" s="1"/>
  <c r="O33" i="9" s="1"/>
  <c r="O38" i="9" s="1"/>
  <c r="P46" i="9"/>
  <c r="Q16" i="16"/>
  <c r="C48" i="12"/>
  <c r="C55" i="12" s="1"/>
  <c r="C58" i="12" s="1"/>
  <c r="Q42" i="8"/>
  <c r="Q29" i="18" s="1"/>
  <c r="Q22" i="16"/>
  <c r="Q24" i="16"/>
  <c r="Q26" i="18"/>
  <c r="L76" i="10" l="1"/>
  <c r="M74" i="10"/>
  <c r="N73" i="10" s="1"/>
  <c r="P28" i="18"/>
  <c r="N70" i="10"/>
  <c r="N72" i="10" s="1"/>
  <c r="Q46" i="9"/>
  <c r="R46" i="9" s="1"/>
  <c r="O64" i="10"/>
  <c r="O70" i="10" s="1"/>
  <c r="O72" i="10" s="1"/>
  <c r="L20" i="16"/>
  <c r="L33" i="16"/>
  <c r="L19" i="16"/>
  <c r="N41" i="16"/>
  <c r="M28" i="16"/>
  <c r="N40" i="9"/>
  <c r="M19" i="16" s="1"/>
  <c r="N29" i="16"/>
  <c r="N23" i="16"/>
  <c r="N28" i="16"/>
  <c r="O40" i="9"/>
  <c r="N25" i="16"/>
  <c r="N34" i="16"/>
  <c r="N21" i="16"/>
  <c r="N30" i="16"/>
  <c r="P49" i="9"/>
  <c r="O21" i="16" s="1"/>
  <c r="N35" i="16"/>
  <c r="N42" i="16"/>
  <c r="G57" i="12"/>
  <c r="C62" i="12"/>
  <c r="Q27" i="18"/>
  <c r="Q28" i="18"/>
  <c r="M76" i="10" l="1"/>
  <c r="N74" i="10"/>
  <c r="O73" i="10" s="1"/>
  <c r="O74" i="10" s="1"/>
  <c r="P73" i="10" s="1"/>
  <c r="Q49" i="9"/>
  <c r="Q74" i="9" s="1"/>
  <c r="Q33" i="9" s="1"/>
  <c r="P29" i="16" s="1"/>
  <c r="R49" i="9"/>
  <c r="R74" i="9" s="1"/>
  <c r="R33" i="9" s="1"/>
  <c r="Q30" i="16" s="1"/>
  <c r="Q64" i="10"/>
  <c r="Q70" i="10" s="1"/>
  <c r="Q72" i="10" s="1"/>
  <c r="P64" i="10"/>
  <c r="M20" i="16"/>
  <c r="M33" i="16"/>
  <c r="N20" i="16"/>
  <c r="N76" i="9"/>
  <c r="O76" i="9"/>
  <c r="N33" i="16"/>
  <c r="N19" i="16"/>
  <c r="O34" i="16"/>
  <c r="O35" i="16"/>
  <c r="P74" i="9"/>
  <c r="P33" i="9" s="1"/>
  <c r="O42" i="16"/>
  <c r="O23" i="16"/>
  <c r="O25" i="16"/>
  <c r="N76" i="10" l="1"/>
  <c r="P25" i="16"/>
  <c r="P21" i="16"/>
  <c r="P34" i="16"/>
  <c r="P30" i="16"/>
  <c r="Q38" i="9"/>
  <c r="P28" i="16" s="1"/>
  <c r="P42" i="16"/>
  <c r="Q42" i="16"/>
  <c r="Q35" i="16"/>
  <c r="Q21" i="16"/>
  <c r="P23" i="16"/>
  <c r="Q23" i="16"/>
  <c r="Q25" i="16"/>
  <c r="P35" i="16"/>
  <c r="R38" i="9"/>
  <c r="Q28" i="16" s="1"/>
  <c r="Q29" i="16"/>
  <c r="P70" i="10"/>
  <c r="P72" i="10" s="1"/>
  <c r="P74" i="10" s="1"/>
  <c r="Q34" i="16"/>
  <c r="O76" i="10"/>
  <c r="O30" i="16"/>
  <c r="P38" i="9"/>
  <c r="O29" i="16"/>
  <c r="Q40" i="9" l="1"/>
  <c r="P33" i="16" s="1"/>
  <c r="R40" i="9"/>
  <c r="Q33" i="16" s="1"/>
  <c r="Q41" i="16"/>
  <c r="Q73" i="10"/>
  <c r="Q74" i="10" s="1"/>
  <c r="Q76" i="10" s="1"/>
  <c r="P76" i="10"/>
  <c r="O41" i="16"/>
  <c r="O28" i="16"/>
  <c r="P40" i="9"/>
  <c r="P41" i="16"/>
  <c r="Q20" i="16" l="1"/>
  <c r="R76" i="9"/>
  <c r="Q19" i="16"/>
  <c r="Q76" i="9"/>
  <c r="P76" i="9"/>
  <c r="O33" i="16"/>
  <c r="O19" i="16"/>
  <c r="O20" i="16"/>
  <c r="P19" i="16"/>
  <c r="P20"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
  </authors>
  <commentList>
    <comment ref="D31" authorId="0" shapeId="0" xr:uid="{39BACA96-0BBC-014B-9F76-7DCE91F143E1}">
      <text>
        <r>
          <rPr>
            <b/>
            <sz val="10"/>
            <color rgb="FF000000"/>
            <rFont val="Tahoma"/>
            <family val="2"/>
          </rPr>
          <t>.:</t>
        </r>
        <r>
          <rPr>
            <sz val="10"/>
            <color rgb="FF000000"/>
            <rFont val="Tahoma"/>
            <family val="2"/>
          </rPr>
          <t xml:space="preserve">
</t>
        </r>
        <r>
          <rPr>
            <sz val="10"/>
            <color rgb="FF000000"/>
            <rFont val="Tahoma"/>
            <family val="2"/>
          </rPr>
          <t xml:space="preserve">As on 01st Oct 2025
</t>
        </r>
        <r>
          <rPr>
            <sz val="10"/>
            <color rgb="FF000000"/>
            <rFont val="Tahoma"/>
            <family val="2"/>
          </rPr>
          <t xml:space="preserve">
</t>
        </r>
        <r>
          <rPr>
            <sz val="10"/>
            <color rgb="FF0432FF"/>
            <rFont val="Tahoma"/>
            <family val="2"/>
          </rPr>
          <t>https://in.investing.com/rates-bonds/india-10-year-bond-yield-historical-data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
  </authors>
  <commentList>
    <comment ref="B31" authorId="0" shapeId="0" xr:uid="{4DE8DB5E-53BD-6D41-8567-E5B8B2B59EC8}">
      <text>
        <r>
          <rPr>
            <b/>
            <sz val="10"/>
            <color rgb="FF000000"/>
            <rFont val="Tahoma"/>
            <family val="2"/>
          </rPr>
          <t>.:</t>
        </r>
        <r>
          <rPr>
            <sz val="10"/>
            <color rgb="FF000000"/>
            <rFont val="Tahoma"/>
            <family val="2"/>
          </rPr>
          <t xml:space="preserve">
</t>
        </r>
        <r>
          <rPr>
            <sz val="10"/>
            <color rgb="FF000000"/>
            <rFont val="Tahoma"/>
            <family val="2"/>
          </rPr>
          <t xml:space="preserve">Statista
</t>
        </r>
        <r>
          <rPr>
            <sz val="10"/>
            <color rgb="FF000000"/>
            <rFont val="Tahoma"/>
            <family val="2"/>
          </rPr>
          <t xml:space="preserve">
</t>
        </r>
        <r>
          <rPr>
            <u/>
            <sz val="10"/>
            <color rgb="FF0432FF"/>
            <rFont val="Tahoma"/>
            <family val="2"/>
          </rPr>
          <t>https://www.statista.com/outlook/to/it-services/united-kingdom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
  </authors>
  <commentList>
    <comment ref="I5" authorId="0" shapeId="0" xr:uid="{36092524-E251-C24A-95A0-D790356EA44F}">
      <text>
        <r>
          <rPr>
            <b/>
            <sz val="10"/>
            <color rgb="FF000000"/>
            <rFont val="Tahoma"/>
            <family val="2"/>
          </rPr>
          <t>.:</t>
        </r>
        <r>
          <rPr>
            <sz val="10"/>
            <color rgb="FF000000"/>
            <rFont val="Tahoma"/>
            <family val="2"/>
          </rPr>
          <t xml:space="preserve">
</t>
        </r>
        <r>
          <rPr>
            <sz val="10"/>
            <color rgb="FF000000"/>
            <rFont val="Tahoma"/>
            <family val="2"/>
          </rPr>
          <t>As on 01st Oct 2025</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8BC731-6FF4-CE4B-B7FD-574E4AC33B30}" keepAlive="1" name="Query - 523704" description="Connection to the '523704' query in the workbook." type="5" refreshedVersion="0" background="1">
    <dbPr connection="Provider=Microsoft.Mashup.OleDb.1;Data Source=$Workbook$;Location=523704;Extended Properties=&quot;&quot;" command="SELECT * FROM [523704]"/>
  </connection>
  <connection id="2" xr16:uid="{9F937B38-5909-6148-A294-8C259D7FBBCF}" keepAlive="1" name="Query - 523704 (2)" description="Connection to the '523704 (2)' query in the workbook." type="5" refreshedVersion="0" background="1">
    <dbPr connection="Provider=Microsoft.Mashup.OleDb.1;Data Source=$Workbook$;Location=&quot;523704 (2)&quot;;Extended Properties=&quot;&quot;" command="SELECT * FROM [523704 (2)]"/>
  </connection>
  <connection id="3" xr16:uid="{854E92CE-A786-AA40-A1E2-FA7978069B2B}" keepAlive="1" name="Query - 523704 (3)" description="Connection to the '523704 (3)' query in the workbook." type="5" refreshedVersion="0" background="1">
    <dbPr connection="Provider=Microsoft.Mashup.OleDb.1;Data Source=$Workbook$;Location=&quot;523704 (3)&quot;;Extended Properties=&quot;&quot;" command="SELECT * FROM [523704 (3)]"/>
  </connection>
  <connection id="4" xr16:uid="{5DA8D081-E802-CB42-852A-BB474B4A7E14}" keepAlive="1" name="Query - 523704 (4)" description="Connection to the '523704 (4)' query in the workbook." type="5" refreshedVersion="0" background="1">
    <dbPr connection="Provider=Microsoft.Mashup.OleDb.1;Data Source=$Workbook$;Location=&quot;523704 (4)&quot;;Extended Properties=&quot;&quot;" command="SELECT * FROM [523704 (4)]"/>
  </connection>
  <connection id="5" xr16:uid="{A9DE0DB9-6FC8-F448-A2F2-6C59CFEA8903}" keepAlive="1" name="Query - 523704-2" description="Connection to the '523704-2' query in the workbook." type="5" refreshedVersion="0" background="1">
    <dbPr connection="Provider=Microsoft.Mashup.OleDb.1;Data Source=$Workbook$;Location=523704-2;Extended Properties=&quot;&quot;" command="SELECT * FROM [523704-2]"/>
  </connection>
  <connection id="6" xr16:uid="{C14BA9B7-635D-E743-A19C-B1DEDCC56C93}" keepAlive="1" name="Query - 532424" description="Connection to the '532424' query in the workbook." type="5" refreshedVersion="0" background="1">
    <dbPr connection="Provider=Microsoft.Mashup.OleDb.1;Data Source=$Workbook$;Location=532424;Extended Properties=&quot;&quot;" command="SELECT * FROM [532424]"/>
  </connection>
  <connection id="7" xr16:uid="{FF5B2D96-5D40-CB4D-9A41-B6F9EE35948B}" keepAlive="1" name="Query - NIFTY 50_Historical_PR_01102024to01102025" description="Connection to the 'NIFTY 50_Historical_PR_01102024to01102025' query in the workbook." type="5" refreshedVersion="0" background="1">
    <dbPr connection="Provider=Microsoft.Mashup.OleDb.1;Data Source=$Workbook$;Location=&quot;NIFTY 50_Historical_PR_01102024to01102025&quot;;Extended Properties=&quot;&quot;" command="SELECT * FROM [NIFTY 50_Historical_PR_01102024to01102025]"/>
  </connection>
  <connection id="8" xr16:uid="{B6E4DE9E-10D1-7347-BFDF-E19B1E2519CD}" keepAlive="1" name="Query - NIFTY 50_Historical_PR_03092024to03092025" description="Connection to the 'NIFTY 50_Historical_PR_03092024to03092025' query in the workbook." type="5" refreshedVersion="8" background="1" saveData="1">
    <dbPr connection="Provider=Microsoft.Mashup.OleDb.1;Data Source=$Workbook$;Location=&quot;NIFTY 50_Historical_PR_03092024to03092025&quot;;Extended Properties=&quot;&quot;" command="SELECT * FROM [NIFTY 50_Historical_PR_03092024to03092025]"/>
  </connection>
  <connection id="9" xr16:uid="{C8F9DFA4-B708-B949-95A0-D58FF830EBB3}" keepAlive="1" name="Query - NIFTY 50_Historical_PR_08092024to08092025" description="Connection to the 'NIFTY 50_Historical_PR_08092024to08092025' query in the workbook." type="5" refreshedVersion="8" background="1" saveData="1">
    <dbPr connection="Provider=Microsoft.Mashup.OleDb.1;Data Source=$Workbook$;Location=&quot;NIFTY 50_Historical_PR_08092024to08092025&quot;;Extended Properties=&quot;&quot;" command="SELECT * FROM [NIFTY 50_Historical_PR_08092024to08092025]"/>
  </connection>
  <connection id="10" xr16:uid="{AE37ECE1-90B8-3844-AC06-039AE0BCD3D9}" keepAlive="1" name="Query - NIFTY 50_Historical_PR_09072015to09072025" description="Connection to the 'NIFTY 50_Historical_PR_09072015to09072025' query in the workbook." type="5" refreshedVersion="0" background="1">
    <dbPr connection="Provider=Microsoft.Mashup.OleDb.1;Data Source=$Workbook$;Location=&quot;NIFTY 50_Historical_PR_09072015to09072025&quot;;Extended Properties=&quot;&quot;" command="SELECT * FROM [NIFTY 50_Historical_PR_09072015to09072025]"/>
  </connection>
  <connection id="11" xr16:uid="{36DC943C-BEE3-8447-A526-E1F077C7D174}" keepAlive="1" name="Query - NIFTY 50_Historical_PR_09072024to09072025" description="Connection to the 'NIFTY 50_Historical_PR_09072024to09072025' query in the workbook." type="5" refreshedVersion="0" background="1">
    <dbPr connection="Provider=Microsoft.Mashup.OleDb.1;Data Source=$Workbook$;Location=&quot;NIFTY 50_Historical_PR_09072024to09072025&quot;;Extended Properties=&quot;&quot;" command="SELECT * FROM [NIFTY 50_Historical_PR_09072024to09072025]"/>
  </connection>
  <connection id="12" xr16:uid="{BB086979-D460-6F40-9DDA-69A81DF8E7E0}" keepAlive="1" name="Query - NIFTY 50_Historical_PR_23092024to23092025" description="Connection to the 'NIFTY 50_Historical_PR_23092024to23092025' query in the workbook." type="5" refreshedVersion="0" background="1">
    <dbPr connection="Provider=Microsoft.Mashup.OleDb.1;Data Source=$Workbook$;Location=&quot;NIFTY 50_Historical_PR_23092024to23092025&quot;;Extended Properties=&quot;&quot;" command="SELECT * FROM [NIFTY 50_Historical_PR_23092024to23092025]"/>
  </connection>
  <connection id="13" xr16:uid="{4C03DEA1-DC8B-AB4A-8874-9E51E9D92F38}" keepAlive="1" name="Query - NIFTY 50_Historical_PR_26062020to26062025" description="Connection to the 'NIFTY 50_Historical_PR_26062020to26062025' query in the workbook." type="5" refreshedVersion="0" background="1">
    <dbPr connection="Provider=Microsoft.Mashup.OleDb.1;Data Source=$Workbook$;Location=&quot;NIFTY 50_Historical_PR_26062020to26062025&quot;;Extended Properties=&quot;&quot;" command="SELECT * FROM [NIFTY 50_Historical_PR_26062020to26062025]"/>
  </connection>
  <connection id="14" xr16:uid="{379D428C-7405-4846-BC60-73655C338FB7}" keepAlive="1" name="Query - NIFTY 50_Historical_PR_26062024to26062025" description="Connection to the 'NIFTY 50_Historical_PR_26062024to26062025' query in the workbook." type="5" refreshedVersion="8" background="1" saveData="1">
    <dbPr connection="Provider=Microsoft.Mashup.OleDb.1;Data Source=$Workbook$;Location=&quot;NIFTY 50_Historical_PR_26062024to26062025&quot;;Extended Properties=&quot;&quot;" command="SELECT * FROM [NIFTY 50_Historical_PR_26062024to26062025]"/>
  </connection>
  <connection id="15" xr16:uid="{0CC0F7B1-7E20-B44B-B3CB-29F4B3CECBF4}" keepAlive="1" name="Query - NIFTY 50_Historical_PR_28062020to28062025" description="Connection to the 'NIFTY 50_Historical_PR_28062020to28062025' query in the workbook." type="5" refreshedVersion="0" background="1">
    <dbPr connection="Provider=Microsoft.Mashup.OleDb.1;Data Source=$Workbook$;Location=&quot;NIFTY 50_Historical_PR_28062020to28062025&quot;;Extended Properties=&quot;&quot;" command="SELECT * FROM [NIFTY 50_Historical_PR_28062020to28062025]"/>
  </connection>
  <connection id="16" xr16:uid="{D2FB31F4-8239-1C42-BB6C-9104A442F538}" keepAlive="1" name="Query - SENSEX_01102015_01102025" description="Connection to the 'SENSEX_01102015_01102025' query in the workbook." type="5" refreshedVersion="8" background="1" saveData="1">
    <dbPr connection="Provider=Microsoft.Mashup.OleDb.1;Data Source=$Workbook$;Location=SENSEX_01102015_01102025;Extended Properties=&quot;&quot;" command="SELECT * FROM [SENSEX_01102015_01102025]"/>
  </connection>
  <connection id="17" xr16:uid="{51AA6812-8AFD-FE41-9DFB-A5717D1A767B}" keepAlive="1" name="Query - SENSEX_03092015_03092025" description="Connection to the 'SENSEX_03092015_03092025' query in the workbook." type="5" refreshedVersion="8" background="1" saveData="1">
    <dbPr connection="Provider=Microsoft.Mashup.OleDb.1;Data Source=$Workbook$;Location=SENSEX_03092015_03092025;Extended Properties=&quot;&quot;" command="SELECT * FROM [SENSEX_03092015_03092025]"/>
  </connection>
  <connection id="18" xr16:uid="{30A6E1FE-897C-1A40-8C5B-6BC198E1AC39}" keepAlive="1" name="Query - SENSEX_08092015_08092025" description="Connection to the 'SENSEX_08092015_08092025' query in the workbook." type="5" refreshedVersion="8" background="1" saveData="1">
    <dbPr connection="Provider=Microsoft.Mashup.OleDb.1;Data Source=$Workbook$;Location=SENSEX_08092015_08092025;Extended Properties=&quot;&quot;" command="SELECT * FROM [SENSEX_08092015_08092025]"/>
  </connection>
  <connection id="19" xr16:uid="{69593E30-6406-2B46-A980-D00B7BB8AC9B}" keepAlive="1" name="Query - SENSEX_23092015_23092025" description="Connection to the 'SENSEX_23092015_23092025' query in the workbook." type="5" refreshedVersion="0" background="1">
    <dbPr connection="Provider=Microsoft.Mashup.OleDb.1;Data Source=$Workbook$;Location=SENSEX_23092015_23092025;Extended Properties=&quot;&quot;" command="SELECT * FROM [SENSEX_23092015_23092025]"/>
  </connection>
  <connection id="20" xr16:uid="{266966F0-C5B9-EA4D-BFE7-7CF487E37C24}" keepAlive="1" name="Query - SENSEX_24092015_24092025" description="Connection to the 'SENSEX_24092015_24092025' query in the workbook." type="5" refreshedVersion="8" background="1" saveData="1">
    <dbPr connection="Provider=Microsoft.Mashup.OleDb.1;Data Source=$Workbook$;Location=SENSEX_24092015_24092025;Extended Properties=&quot;&quot;" command="SELECT * FROM [SENSEX_24092015_24092025]"/>
  </connection>
</connections>
</file>

<file path=xl/sharedStrings.xml><?xml version="1.0" encoding="utf-8"?>
<sst xmlns="http://schemas.openxmlformats.org/spreadsheetml/2006/main" count="1064" uniqueCount="485">
  <si>
    <t>Particulars</t>
  </si>
  <si>
    <t>Audited</t>
  </si>
  <si>
    <t>2020-21</t>
  </si>
  <si>
    <t>2021-22</t>
  </si>
  <si>
    <t>2022-23</t>
  </si>
  <si>
    <t>Revenue from Operations</t>
  </si>
  <si>
    <t>Other Income</t>
  </si>
  <si>
    <t>Expenses</t>
  </si>
  <si>
    <t>Total Income</t>
  </si>
  <si>
    <t>Employee Benefit Expenses</t>
  </si>
  <si>
    <t>Finance Costs</t>
  </si>
  <si>
    <t>Depreciation &amp; Amortisation</t>
  </si>
  <si>
    <t>Other expenses</t>
  </si>
  <si>
    <t>Total Expenses</t>
  </si>
  <si>
    <t>EBITDA</t>
  </si>
  <si>
    <t>EBIT</t>
  </si>
  <si>
    <t>Profit before Tax</t>
  </si>
  <si>
    <t>Taxes</t>
  </si>
  <si>
    <t>Net Profit</t>
  </si>
  <si>
    <t>ASSETS</t>
  </si>
  <si>
    <t>Non-Current Assets</t>
  </si>
  <si>
    <t>PPE</t>
  </si>
  <si>
    <t>Capital WIP</t>
  </si>
  <si>
    <t>Other non-current assets</t>
  </si>
  <si>
    <t>Other financial assets</t>
  </si>
  <si>
    <t>Current Assets</t>
  </si>
  <si>
    <t>Other current assets</t>
  </si>
  <si>
    <t>EQUITY AND LIABILITIES</t>
  </si>
  <si>
    <t>Shareholder Funds</t>
  </si>
  <si>
    <t>Equity Share Capital</t>
  </si>
  <si>
    <t>Other Equity</t>
  </si>
  <si>
    <t>Non-current liabilities</t>
  </si>
  <si>
    <t>Borrowings</t>
  </si>
  <si>
    <t>Provisions</t>
  </si>
  <si>
    <t>Other financial liabilities</t>
  </si>
  <si>
    <t>Deferred Tax Liability</t>
  </si>
  <si>
    <t>TOTAL</t>
  </si>
  <si>
    <t>Trade Payables</t>
  </si>
  <si>
    <t>Assumptions</t>
  </si>
  <si>
    <t>%</t>
  </si>
  <si>
    <t>Year</t>
  </si>
  <si>
    <t>Nos</t>
  </si>
  <si>
    <t>2023-24</t>
  </si>
  <si>
    <t>2024-25</t>
  </si>
  <si>
    <t>2025-26</t>
  </si>
  <si>
    <t>2026-27</t>
  </si>
  <si>
    <t>2027-28</t>
  </si>
  <si>
    <t>2028-29</t>
  </si>
  <si>
    <t>2029-30</t>
  </si>
  <si>
    <t>2030-31</t>
  </si>
  <si>
    <t>2031-32</t>
  </si>
  <si>
    <t>2032-33</t>
  </si>
  <si>
    <t>Estimated</t>
  </si>
  <si>
    <t>Projected</t>
  </si>
  <si>
    <t>Perpetual Growth rate</t>
  </si>
  <si>
    <t>Company data</t>
  </si>
  <si>
    <t>No of Outstanding shares</t>
  </si>
  <si>
    <t>Market Capitalisation</t>
  </si>
  <si>
    <t>Rs.</t>
  </si>
  <si>
    <t>10 year Bond yield rate</t>
  </si>
  <si>
    <t>Scenario</t>
  </si>
  <si>
    <t>Case</t>
  </si>
  <si>
    <t>Face Value per share</t>
  </si>
  <si>
    <t>Amount</t>
  </si>
  <si>
    <t>(INR in Crores)</t>
  </si>
  <si>
    <t>Opening Gross Block</t>
  </si>
  <si>
    <t>Additions</t>
  </si>
  <si>
    <t>Closing Gross Block</t>
  </si>
  <si>
    <t>Accumulated Depreciation</t>
  </si>
  <si>
    <t>Depreciation for year</t>
  </si>
  <si>
    <t>Net Block</t>
  </si>
  <si>
    <t>Furniture &amp; Fixtures</t>
  </si>
  <si>
    <t>Office Equipment</t>
  </si>
  <si>
    <t>Net Working Capital</t>
  </si>
  <si>
    <t>(on PY end borrowings)</t>
  </si>
  <si>
    <t>LIABILITIES</t>
  </si>
  <si>
    <t>Cashflows from Operating activities</t>
  </si>
  <si>
    <t>Cashflows from Investing activities</t>
  </si>
  <si>
    <t>Profit before tax</t>
  </si>
  <si>
    <t>Add:</t>
  </si>
  <si>
    <t>(unless otherwise mentioned - % on Revenue)</t>
  </si>
  <si>
    <t>Finance costs</t>
  </si>
  <si>
    <t>Less:</t>
  </si>
  <si>
    <t>Cashflows from Financing activities</t>
  </si>
  <si>
    <t>Increase in non-current liabilities</t>
  </si>
  <si>
    <t>Taxes paid</t>
  </si>
  <si>
    <t>Net Cashflows during the year</t>
  </si>
  <si>
    <t>Opening Cash &amp; Cash equivalents</t>
  </si>
  <si>
    <t>Closing Cash &amp; Cash equivalents</t>
  </si>
  <si>
    <t>Increase/(decrease) in Current Liabilities</t>
  </si>
  <si>
    <t>Increase/(decrease) in Current Assets</t>
  </si>
  <si>
    <t>Total PPE - Net block</t>
  </si>
  <si>
    <t>Interest paid</t>
  </si>
  <si>
    <t>Changes in other equity</t>
  </si>
  <si>
    <t>Intangible Assets</t>
  </si>
  <si>
    <t>PPE Assets</t>
  </si>
  <si>
    <t>Date</t>
  </si>
  <si>
    <t>Nifty 50</t>
  </si>
  <si>
    <t>Covariance</t>
  </si>
  <si>
    <t>Variance</t>
  </si>
  <si>
    <t>Beta</t>
  </si>
  <si>
    <t>Less: Tax on EBIT</t>
  </si>
  <si>
    <t>Add: Depreciation &amp; Amortisation</t>
  </si>
  <si>
    <t>Less: Capex</t>
  </si>
  <si>
    <t>Change in working capital</t>
  </si>
  <si>
    <t>Unlevered FCFF</t>
  </si>
  <si>
    <t>Cost of Equity</t>
  </si>
  <si>
    <r>
      <t>Risk-free rate (R</t>
    </r>
    <r>
      <rPr>
        <vertAlign val="subscript"/>
        <sz val="11"/>
        <color theme="1"/>
        <rFont val="Cambria"/>
        <family val="1"/>
        <scheme val="major"/>
      </rPr>
      <t>f</t>
    </r>
    <r>
      <rPr>
        <sz val="11"/>
        <color theme="1"/>
        <rFont val="Cambria"/>
        <family val="1"/>
        <scheme val="major"/>
      </rPr>
      <t>)</t>
    </r>
  </si>
  <si>
    <r>
      <t>Market return (R</t>
    </r>
    <r>
      <rPr>
        <vertAlign val="subscript"/>
        <sz val="11"/>
        <color theme="1"/>
        <rFont val="Cambria"/>
        <family val="1"/>
        <scheme val="major"/>
      </rPr>
      <t>m</t>
    </r>
    <r>
      <rPr>
        <sz val="11"/>
        <color theme="1"/>
        <rFont val="Cambria"/>
        <family val="1"/>
        <scheme val="major"/>
      </rPr>
      <t>)</t>
    </r>
  </si>
  <si>
    <r>
      <t>Equity Risk Premium (R</t>
    </r>
    <r>
      <rPr>
        <vertAlign val="subscript"/>
        <sz val="11"/>
        <color theme="1"/>
        <rFont val="Cambria"/>
        <family val="1"/>
        <scheme val="major"/>
      </rPr>
      <t>m</t>
    </r>
    <r>
      <rPr>
        <sz val="11"/>
        <color theme="1"/>
        <rFont val="Cambria"/>
        <family val="1"/>
        <scheme val="major"/>
      </rPr>
      <t>-R</t>
    </r>
    <r>
      <rPr>
        <vertAlign val="subscript"/>
        <sz val="11"/>
        <color theme="1"/>
        <rFont val="Cambria"/>
        <family val="1"/>
        <scheme val="major"/>
      </rPr>
      <t>f</t>
    </r>
    <r>
      <rPr>
        <sz val="11"/>
        <color theme="1"/>
        <rFont val="Cambria"/>
        <family val="1"/>
        <scheme val="major"/>
      </rPr>
      <t>)</t>
    </r>
  </si>
  <si>
    <t>Cost of Equity (CAPM)</t>
  </si>
  <si>
    <t>Discount rate (WACC)</t>
  </si>
  <si>
    <t>Equity</t>
  </si>
  <si>
    <t>Debt (after tax)</t>
  </si>
  <si>
    <t>Equity value</t>
  </si>
  <si>
    <t>Debt Value</t>
  </si>
  <si>
    <t>Cost</t>
  </si>
  <si>
    <t>Weightage</t>
  </si>
  <si>
    <t>WACC</t>
  </si>
  <si>
    <t>Market value</t>
  </si>
  <si>
    <t>Terminal value</t>
  </si>
  <si>
    <t>Intrinsic value</t>
  </si>
  <si>
    <t>Sum of PV of cashflows</t>
  </si>
  <si>
    <t>PV of Terminal value</t>
  </si>
  <si>
    <t>Enterprise value</t>
  </si>
  <si>
    <t>Add: Cash &amp; Cash Equivalents</t>
  </si>
  <si>
    <t>Less: Debt</t>
  </si>
  <si>
    <t>Less: Non-controlling interest</t>
  </si>
  <si>
    <t>Less: Preferred stock</t>
  </si>
  <si>
    <t>No of shares outstanding</t>
  </si>
  <si>
    <t>Intrinsic value per share</t>
  </si>
  <si>
    <t>Terminal Growth Rate</t>
  </si>
  <si>
    <t>Discount Rate</t>
  </si>
  <si>
    <t>Sensitivity Analysis</t>
  </si>
  <si>
    <t>KPIs</t>
  </si>
  <si>
    <t>Liquidity ratios</t>
  </si>
  <si>
    <t>Current ratio</t>
  </si>
  <si>
    <t>Quick ratio</t>
  </si>
  <si>
    <t>Solvency ratios</t>
  </si>
  <si>
    <t>Debt ratio</t>
  </si>
  <si>
    <t>Debt-Equity ratio</t>
  </si>
  <si>
    <t>Interest coverage ratio</t>
  </si>
  <si>
    <t>Debt-service coverage ratio</t>
  </si>
  <si>
    <t>ISIN Code</t>
  </si>
  <si>
    <t>Sector Name</t>
  </si>
  <si>
    <t>Industry</t>
  </si>
  <si>
    <t>Exchange Name</t>
  </si>
  <si>
    <t>Website</t>
  </si>
  <si>
    <t>Company Description</t>
  </si>
  <si>
    <t>P&amp;L Input</t>
  </si>
  <si>
    <t>Balance Sheet Input</t>
  </si>
  <si>
    <t>Common Sizing</t>
  </si>
  <si>
    <t>Revenue Buildup</t>
  </si>
  <si>
    <t>Fixed Assets Schedule</t>
  </si>
  <si>
    <t>Working Capital</t>
  </si>
  <si>
    <t>Income Statement</t>
  </si>
  <si>
    <t>Cash Flow Statement</t>
  </si>
  <si>
    <t>Balance Sheet</t>
  </si>
  <si>
    <t>Balance Sheet Items</t>
  </si>
  <si>
    <t>Reference</t>
  </si>
  <si>
    <t>Ratio Analysis</t>
  </si>
  <si>
    <t>Profitability Ratios</t>
  </si>
  <si>
    <t>EBITDA Margin</t>
  </si>
  <si>
    <t>Operating Margin</t>
  </si>
  <si>
    <t>Pretax Margin</t>
  </si>
  <si>
    <t>Effective Tax rate</t>
  </si>
  <si>
    <t>Net Margin</t>
  </si>
  <si>
    <t xml:space="preserve"> </t>
  </si>
  <si>
    <t>DuPont/Earning Power</t>
  </si>
  <si>
    <t>Asset Turnover</t>
  </si>
  <si>
    <t>Pre tax ROA</t>
  </si>
  <si>
    <t>Pre Tax ROE</t>
  </si>
  <si>
    <t>Tax Complement</t>
  </si>
  <si>
    <t>ROE</t>
  </si>
  <si>
    <t>Equity Retention</t>
  </si>
  <si>
    <t>Reinvestment Rate</t>
  </si>
  <si>
    <t>Liquidity Ratio</t>
  </si>
  <si>
    <t>Leverage</t>
  </si>
  <si>
    <t>Asset/Equity</t>
  </si>
  <si>
    <t>Debt/Equity</t>
  </si>
  <si>
    <t>% LT Debt to Total Capital</t>
  </si>
  <si>
    <t>Operating</t>
  </si>
  <si>
    <t>A/R Turnover</t>
  </si>
  <si>
    <t>A/P Turnover</t>
  </si>
  <si>
    <t>Fixed Asset Turnover</t>
  </si>
  <si>
    <t>WC / Sales Growth</t>
  </si>
  <si>
    <t>ROIC</t>
  </si>
  <si>
    <t>Total Shareholders' Equity</t>
  </si>
  <si>
    <t>Total Current Liabilities</t>
  </si>
  <si>
    <t>Total Non-current Liabilities</t>
  </si>
  <si>
    <t>Total Non-current Assets</t>
  </si>
  <si>
    <t>Total Current Assets</t>
  </si>
  <si>
    <t>Interpretation of ratios</t>
  </si>
  <si>
    <t>Current Market price</t>
  </si>
  <si>
    <t>Current Market Price</t>
  </si>
  <si>
    <t>Exceptional items</t>
  </si>
  <si>
    <t>Other Intangible assets</t>
  </si>
  <si>
    <t>Financial Assets</t>
  </si>
  <si>
    <t>Total Non-current assets</t>
  </si>
  <si>
    <t>Total Equity</t>
  </si>
  <si>
    <t xml:space="preserve">     Other financial assets</t>
  </si>
  <si>
    <t xml:space="preserve">      Cash &amp; Cash Equivalents</t>
  </si>
  <si>
    <t xml:space="preserve">      Other financial assets</t>
  </si>
  <si>
    <t>Financial Liabilities</t>
  </si>
  <si>
    <t xml:space="preserve">      Borrowings</t>
  </si>
  <si>
    <t xml:space="preserve">      Lease Liabilities</t>
  </si>
  <si>
    <t xml:space="preserve">      Other financial liabilities</t>
  </si>
  <si>
    <t xml:space="preserve">      Trade Payables</t>
  </si>
  <si>
    <t>Total Current liabilities</t>
  </si>
  <si>
    <t xml:space="preserve">      Other Financial liabilities</t>
  </si>
  <si>
    <t xml:space="preserve">      Lease liabilities</t>
  </si>
  <si>
    <t>Total Intangible Assets</t>
  </si>
  <si>
    <t>ROU Assets</t>
  </si>
  <si>
    <t>Total ROU Assets</t>
  </si>
  <si>
    <t>Y-O-Y Growth</t>
  </si>
  <si>
    <t>Lease liabilities</t>
  </si>
  <si>
    <t>Trade Receivables</t>
  </si>
  <si>
    <t>Lease Liabilities</t>
  </si>
  <si>
    <t>Other Financial Assets</t>
  </si>
  <si>
    <t>Trend</t>
  </si>
  <si>
    <t>Change %</t>
  </si>
  <si>
    <t>Market Return</t>
  </si>
  <si>
    <t>Standard Income Statement</t>
  </si>
  <si>
    <t>Revenue</t>
  </si>
  <si>
    <t>YoY Growth %</t>
  </si>
  <si>
    <t>Operating Expenses</t>
  </si>
  <si>
    <t>Depreciation &amp; Amort</t>
  </si>
  <si>
    <t>Finance Cost</t>
  </si>
  <si>
    <t xml:space="preserve">Other Income </t>
  </si>
  <si>
    <t xml:space="preserve">PBT  </t>
  </si>
  <si>
    <t xml:space="preserve">Tax expense </t>
  </si>
  <si>
    <t>Profit(Loss)for the period</t>
  </si>
  <si>
    <t>Net Profit margin</t>
  </si>
  <si>
    <t xml:space="preserve">EPS (Rs) </t>
  </si>
  <si>
    <t>(as % on Net Profit)</t>
  </si>
  <si>
    <t>Revenue % (y-o-y)</t>
  </si>
  <si>
    <t>EBITDA%</t>
  </si>
  <si>
    <t>EBIT %</t>
  </si>
  <si>
    <t>NP %</t>
  </si>
  <si>
    <t>ROA</t>
  </si>
  <si>
    <t>Assets / Equity</t>
  </si>
  <si>
    <t>Basic EPS</t>
  </si>
  <si>
    <t>Total Fixed Assets - Net Block</t>
  </si>
  <si>
    <t>Increase in Capital WIP</t>
  </si>
  <si>
    <t>Increase in Fixed Assets</t>
  </si>
  <si>
    <t>Total Capex</t>
  </si>
  <si>
    <t>Revenue in Crs</t>
  </si>
  <si>
    <t>Goodwill</t>
  </si>
  <si>
    <t>Deferred Tax Liability(net)</t>
  </si>
  <si>
    <t>Deferred Tax Assets(net)</t>
  </si>
  <si>
    <t>Vehicles</t>
  </si>
  <si>
    <t>Computers</t>
  </si>
  <si>
    <t>Computer Software</t>
  </si>
  <si>
    <t>Issue of Equity shares</t>
  </si>
  <si>
    <t xml:space="preserve">Increase in Capital WIP </t>
  </si>
  <si>
    <t>Capital Expenditure on PPE, ROU &amp; Intangibles</t>
  </si>
  <si>
    <t>Upside/downside potential</t>
  </si>
  <si>
    <t xml:space="preserve">      Investments</t>
  </si>
  <si>
    <t>Cash ratio</t>
  </si>
  <si>
    <t>Other Operating Revenues</t>
  </si>
  <si>
    <t>2033-34</t>
  </si>
  <si>
    <t>Investments</t>
  </si>
  <si>
    <t>Exceptional Items</t>
  </si>
  <si>
    <t>Forex fluctuations</t>
  </si>
  <si>
    <t>Vehicles (Lease)</t>
  </si>
  <si>
    <t>Yearfrac</t>
  </si>
  <si>
    <t>Index</t>
  </si>
  <si>
    <t>Company Name</t>
  </si>
  <si>
    <t>Ticker</t>
  </si>
  <si>
    <t>CMP</t>
  </si>
  <si>
    <t>Shares</t>
  </si>
  <si>
    <t>Market Cap</t>
  </si>
  <si>
    <t>Debt</t>
  </si>
  <si>
    <t>Cash</t>
  </si>
  <si>
    <t>EV</t>
  </si>
  <si>
    <t>Cr</t>
  </si>
  <si>
    <t>₹ Cr</t>
  </si>
  <si>
    <t>&amp; Equivalents</t>
  </si>
  <si>
    <t>Sales</t>
  </si>
  <si>
    <t>Earnings</t>
  </si>
  <si>
    <t>EV/Sales</t>
  </si>
  <si>
    <t>EV/EBITDA</t>
  </si>
  <si>
    <t>P/E</t>
  </si>
  <si>
    <t>x</t>
  </si>
  <si>
    <t>Market Data</t>
  </si>
  <si>
    <t>Financial Data</t>
  </si>
  <si>
    <t>Valuation Data</t>
  </si>
  <si>
    <t>Average</t>
  </si>
  <si>
    <t>Median</t>
  </si>
  <si>
    <t>Metric</t>
  </si>
  <si>
    <t>Comps</t>
  </si>
  <si>
    <t>Net Debt</t>
  </si>
  <si>
    <t>Equity Value</t>
  </si>
  <si>
    <t>Share Price</t>
  </si>
  <si>
    <t>EV/Revenue</t>
  </si>
  <si>
    <t>Headings</t>
  </si>
  <si>
    <t>Investment properties</t>
  </si>
  <si>
    <t>Income tax assets (net)</t>
  </si>
  <si>
    <t>Contract assets</t>
  </si>
  <si>
    <t>Contract liabilities</t>
  </si>
  <si>
    <t>Other current liabilities</t>
  </si>
  <si>
    <t>https://www.mastek.com</t>
  </si>
  <si>
    <t>Mastek Limited</t>
  </si>
  <si>
    <t>INE759A01021</t>
  </si>
  <si>
    <t>BSE: 523704, NSE: MASTEK</t>
  </si>
  <si>
    <t>Information Technology</t>
  </si>
  <si>
    <t>IT Services &amp; Consulting</t>
  </si>
  <si>
    <t xml:space="preserve">     Investments</t>
  </si>
  <si>
    <t>Non-Controlling Interest</t>
  </si>
  <si>
    <t>Profit before exceptional items</t>
  </si>
  <si>
    <t>Revenue from Sale of Service</t>
  </si>
  <si>
    <t>Other Operating Revenue</t>
  </si>
  <si>
    <t>Buildings</t>
  </si>
  <si>
    <t>Acquired through BC</t>
  </si>
  <si>
    <t>Disposal</t>
  </si>
  <si>
    <t>Customer Contracts</t>
  </si>
  <si>
    <t>Customer Relationships</t>
  </si>
  <si>
    <t>Leasehold land</t>
  </si>
  <si>
    <t>Leasehold improvements</t>
  </si>
  <si>
    <t>Sale of Service</t>
  </si>
  <si>
    <t>United Kingdom</t>
  </si>
  <si>
    <t>North America</t>
  </si>
  <si>
    <t>AMEA*</t>
  </si>
  <si>
    <t>AMEA includes Middle east region, South-east Asia, India, Singapore and Australia</t>
  </si>
  <si>
    <t>(% on total Revenue)</t>
  </si>
  <si>
    <t>Other Financial liabilities</t>
  </si>
  <si>
    <t>Impairment</t>
  </si>
  <si>
    <t>Intangible Assets Under Development</t>
  </si>
  <si>
    <t>2034-35</t>
  </si>
  <si>
    <t>Employee Benefit Expense</t>
  </si>
  <si>
    <t>Company</t>
  </si>
  <si>
    <t>Price</t>
  </si>
  <si>
    <t>Net Income</t>
  </si>
  <si>
    <t>Tax %</t>
  </si>
  <si>
    <t>Mastek</t>
  </si>
  <si>
    <t>TCS</t>
  </si>
  <si>
    <t>Infosys</t>
  </si>
  <si>
    <t>HCL Tech</t>
  </si>
  <si>
    <t>Wipro</t>
  </si>
  <si>
    <t>Tech Mahindra</t>
  </si>
  <si>
    <t>MASTEK</t>
  </si>
  <si>
    <t>INFOSYS</t>
  </si>
  <si>
    <t>HCLTECH</t>
  </si>
  <si>
    <t>WIPRO</t>
  </si>
  <si>
    <t>LTIM</t>
  </si>
  <si>
    <t>TECHM</t>
  </si>
  <si>
    <t>PERSISTENT</t>
  </si>
  <si>
    <t>LTIMindtree</t>
  </si>
  <si>
    <t>Persistent Systems</t>
  </si>
  <si>
    <t>Increase/(decrease) in Non- Current Assets</t>
  </si>
  <si>
    <t>Digital &amp; Application Engineering</t>
  </si>
  <si>
    <t>Oracle Cloud &amp; Enterprise Apps</t>
  </si>
  <si>
    <t>Digital Commerce &amp; Experience</t>
  </si>
  <si>
    <t>Data, Automation and AI</t>
  </si>
  <si>
    <t>Revenue by Geographies</t>
  </si>
  <si>
    <t>AMEA</t>
  </si>
  <si>
    <t>IT Sector Growth Projection</t>
  </si>
  <si>
    <t>Company Revenue by Geography</t>
  </si>
  <si>
    <t>Company Revenue by Service Line</t>
  </si>
  <si>
    <t>Mastek Limited is a global digital engineering and cloud transformation partner, founded in 1982. With a strong presence across India, North America, and the UK, Mastek has expanded through strategic acquisitions in digital commerce, Oracle Cloud, Salesforce, and Data Cloud services. Recognized in Fortune India’s Next 500, Inc. 5000 Fastest-Growing US Companies, and as a Leader in Everest Group’s PEAK Matrix, Mastek continues to drive innovation and deliver value-driven technology solutions worldwide.</t>
  </si>
  <si>
    <t>Revenue  Buildup</t>
  </si>
  <si>
    <t>H15:Q15</t>
  </si>
  <si>
    <t>Cost Buildup</t>
  </si>
  <si>
    <t>FAS</t>
  </si>
  <si>
    <t>H173:Q173</t>
  </si>
  <si>
    <t xml:space="preserve">Cash and Cash equivalents are taken as the Balancing Figure </t>
  </si>
  <si>
    <t>H26:Q26</t>
  </si>
  <si>
    <t>H53:Q53</t>
  </si>
  <si>
    <t>H33:Q33</t>
  </si>
  <si>
    <t>BS Items</t>
  </si>
  <si>
    <t>H11:Q11            H12:Q12</t>
  </si>
  <si>
    <t>H18:Q18              H22:Q22</t>
  </si>
  <si>
    <t>H13:Q13          H20:Q20</t>
  </si>
  <si>
    <t>H23:Q23</t>
  </si>
  <si>
    <t>I13:R13              I64:R64</t>
  </si>
  <si>
    <t>Interest rate</t>
  </si>
  <si>
    <t>SENSEX</t>
  </si>
  <si>
    <t>Capital WIP is forecasted at same absolute growth and increased by 4% for every 3 years.</t>
  </si>
  <si>
    <t>H176:Q176</t>
  </si>
  <si>
    <t>Figures of the year 2025 are used to forecast the additions, disposals and depreciation of Fixed assets, Intangibles and ROU assets  with 4% growth rate for the 1st projected year and  for every 3 years.</t>
  </si>
  <si>
    <t>Balance sheet items are projected  as % on Revenue using the latest previous year's % as base otherwise as mentioned and Borrowings are adjusted (assumed to be taken/repaid) based on availability of Cash &amp; Cash equivalents</t>
  </si>
  <si>
    <t>Total Non-Current liabilities</t>
  </si>
  <si>
    <t>Current Liabilities</t>
  </si>
  <si>
    <t>Current Tax Liabilities(net)</t>
  </si>
  <si>
    <t xml:space="preserve">      Trade Receivables</t>
  </si>
  <si>
    <t>Cost Build-up</t>
  </si>
  <si>
    <t>Plants &amp; Equipment</t>
  </si>
  <si>
    <t>Comparable Valuation</t>
  </si>
  <si>
    <t>Revenue by Service Line</t>
  </si>
  <si>
    <t>Finance Costs are estimated using a fixed borrowing rate, derived from the five-year average of interest expenses relative to total debt, and applied consistently throughout the projected period.</t>
  </si>
  <si>
    <t>Trade Receivables and Trade Payables are projected as a fixed percentage of revenue, based on the average proportions observed over the last five audited years.</t>
  </si>
  <si>
    <t>Revenue Segment By geography</t>
  </si>
  <si>
    <t>Base case</t>
  </si>
  <si>
    <t>Min Growth</t>
  </si>
  <si>
    <t>Tax rate is derived from the latest audited figures, starting at 19% in FY2026 after a 1% uplift. It is expected to rise by 1% every two years over the forecast period.</t>
  </si>
  <si>
    <t>Cash Ratio</t>
  </si>
  <si>
    <t>Total Dividend Payout</t>
  </si>
  <si>
    <t>Cash flows from operating activities</t>
  </si>
  <si>
    <t>Cash flows from investing activities</t>
  </si>
  <si>
    <t>Cash flows from financing activities</t>
  </si>
  <si>
    <t>Cash generated from operating activities before taxes</t>
  </si>
  <si>
    <t>Net cash generated from operating activities</t>
  </si>
  <si>
    <t>Profit before taxes</t>
  </si>
  <si>
    <t>Operating profit before working capital changes</t>
  </si>
  <si>
    <t>Cash Flow Input</t>
  </si>
  <si>
    <t>– Interest income</t>
  </si>
  <si>
    <t>– Employee stock compensation expenses</t>
  </si>
  <si>
    <t>– Finance costs</t>
  </si>
  <si>
    <t>– Depreciation and amortisation</t>
  </si>
  <si>
    <t>– Net loss/(gain) on forex translation</t>
  </si>
  <si>
    <t>– Provision for revenue contract settlement</t>
  </si>
  <si>
    <t>– Profit on sale of PPE (net)</t>
  </si>
  <si>
    <t>– Rental income incl. maintenance charges</t>
  </si>
  <si>
    <t>– Exceptional items</t>
  </si>
  <si>
    <t>– Expected credit loss provision &amp; bad debts written off</t>
  </si>
  <si>
    <t>– Cash flow hedges</t>
  </si>
  <si>
    <t>– Profit on sale/gain on current investments</t>
  </si>
  <si>
    <t>Adjustment for working Capital Items</t>
  </si>
  <si>
    <t>– Increase in trade receivables</t>
  </si>
  <si>
    <t>– Increase in advances and other assets</t>
  </si>
  <si>
    <t>– Increase in trade payables, liabilities &amp; provisions</t>
  </si>
  <si>
    <t>– Income taxes paid (net of refunds)</t>
  </si>
  <si>
    <t xml:space="preserve">    Adjustments for:</t>
  </si>
  <si>
    <t>– Proceeds from sale of PPE &amp; investment property</t>
  </si>
  <si>
    <t>– Purchase of PPE, CWIP &amp; intangibles</t>
  </si>
  <si>
    <t>– Interest received</t>
  </si>
  <si>
    <t>– Purchase of other non-current investments</t>
  </si>
  <si>
    <t>– Investment in/acquisition of subsidiary (net of cash)</t>
  </si>
  <si>
    <t>– Liquidation/(investment) in long-term deposits</t>
  </si>
  <si>
    <t>– (Investment)/liquidation of short-term deposits</t>
  </si>
  <si>
    <t>– (Purchase)/proceeds from long-term investments</t>
  </si>
  <si>
    <t>– Purchase of short-term investments</t>
  </si>
  <si>
    <t>– Proceeds from sale of short-term investments</t>
  </si>
  <si>
    <t>– Tax proceeds from short-term investment sales</t>
  </si>
  <si>
    <t>– Purchase of other non-current assets</t>
  </si>
  <si>
    <t>Net cash generated from investing activities</t>
  </si>
  <si>
    <t>– Proceeds from ESOP share issue</t>
  </si>
  <si>
    <t>– Proceeds from long-term borrowings</t>
  </si>
  <si>
    <t>– Repayment of long-term borrowings</t>
  </si>
  <si>
    <t>– Payment of lease principal</t>
  </si>
  <si>
    <t>– Dividends paid</t>
  </si>
  <si>
    <t>– Interest paid on lease</t>
  </si>
  <si>
    <t>– Interest paid on loan</t>
  </si>
  <si>
    <t>– Cash &amp; cash equivalents at beginning of the year</t>
  </si>
  <si>
    <t>– Cash &amp; cash equivalents transferred on acquisition</t>
  </si>
  <si>
    <t>Net cash generated from financing activities</t>
  </si>
  <si>
    <t>– Forex effect</t>
  </si>
  <si>
    <t>Net cash generated during the year</t>
  </si>
  <si>
    <t>Closing Cash Balance</t>
  </si>
  <si>
    <t>Operating Cashflow Ratio</t>
  </si>
  <si>
    <t>Free Cashflow(FCF)</t>
  </si>
  <si>
    <t>Cashflow to net income</t>
  </si>
  <si>
    <t>Cashflow margin</t>
  </si>
  <si>
    <t>Capital Expenditure ratio</t>
  </si>
  <si>
    <t>Debt coverage ratio</t>
  </si>
  <si>
    <t>Cashflow to total assets</t>
  </si>
  <si>
    <t>Cashflow per share</t>
  </si>
  <si>
    <t>Changes in NCI</t>
  </si>
  <si>
    <t>Between FY21 and FY25, Mastek’s equity retention ratio declined from 0.95 to 0.84, reflecting a gradual shift towards a more balanced capital allocation strategy. The ratio dropped to 0.81 in FY23 and FY24, before modestly rebounding in FY25. Looking ahead, the ratio is projected to stabilize at 0.85 through FY35, indicating a disciplined and consistent reinvestment approach. This trend highlights the company’s maturing dividend policy, aligning shareholder returns with long-term growth objectives. The steady retention level suggests management’s focus on funding future expansion organically while maintaining adequate shareholder distributions, underpinning Mastek’s commitment to sustainable value creation.</t>
  </si>
  <si>
    <t>Source: Screener</t>
  </si>
  <si>
    <t>Mastek’s EBITDA margin follows a declining trend from 21.17% in FY21 to 15.82% in FY25, indicating reduced operating efficiency, likely due to rising costs, margin pressures, and geopolitical factors. Over the forecast period (FY26–FY35), the margin is expected to stabilize at 18.52%, reflecting a more controlled cost structure. However, this also implies limited potential for further margin expansion unless significant gains in operational efficiency are achieved.</t>
  </si>
  <si>
    <t>INR in Crs</t>
  </si>
  <si>
    <t>For FY26, revenue is projected segment-wise using the average year-on-year growth rate from the last five audited years. From FY27 onward, the FY26 average is increased by the segment-specific growth rate, with all growth rates tapering by 1.2% annually starting in FY26. In the bull case, the base growth rate is increased by 5%, while in the bear case, it is reduced by 5%.</t>
  </si>
  <si>
    <t>Other Income and Exceptional Items for the forecast period 2026–2034 are projected as a constant percentage of total revenue, calculated based on the 5-year average audited for Other Income and the 3-year average audited for Exceptional Items.</t>
  </si>
  <si>
    <t>Employee Benefit Expenses and Other Expenses for the forecast period 2026–2034 are projected as a constant percentage of total revenue, based on the 5-year audited average.</t>
  </si>
  <si>
    <t>Total Dividend payments have been projected based on the five-year average of Dividend Payout as percentage of net profit. This average growth rate has been applied to estimate future dividends, and it is assumed to remain constant throughout the forecast period (2026–2034).</t>
  </si>
  <si>
    <t>Mastek’s operating margin also exhibited a declining trend, falling from 18.56% in FY21 to 13.64% in FY25, mirroring the EBITDA margin and highlighting a weakening in operational efficiency and profitability. However, the margin is projected to recover gradually, reaching 17.06% in FY26 and improving further to 18.06% by FY35. This recovery is likely driven by improvements in gross margins and stronger cost control measures, indicating a moderate rebound in the company’s core profitability and operational performance over the forecast period.</t>
  </si>
  <si>
    <t>Mastek’s pre-tax margin declined from 19.71% in FY21 to 13.29% in FY25, closely aligning with the downward trends in EBITDA and operating margins, reflecting a weakening in pre-tax profitability. However, the margin is expected to recover gradually, reaching 17.74% in FY26 and further improving to 18.75% by FY35. This steady recovery is likely supported by improved operational performance, better cost management, and more efficient resource allocation, indicating a positive trajectory for the company’s financial health over the forecast period.</t>
  </si>
  <si>
    <t>Mastek’s net margin declined from 14.62% in FY21 to 10.88% in FY25, reflecting significant pressure on bottom-line profitability. However, a 0.70% increase between FY24 and FY25 signals early signs of recovery. Looking ahead, the margin is projected to rise to 14.35% in FY26 and stabilize between 14.54% and 14.41% through FY35. This moderate improvement in post-tax profitability is likely driven by enhanced cost control measures and stable tax assumptions, including an estimated 1% tax impact adjustment every two years, supporting sustained margin growth.</t>
  </si>
  <si>
    <t>Mastek’s asset turnover ratio remained relatively stable during the audited period, fluctuating slightly from 91.30% in FY22 to 91.57% in FY25, indicating consistent efficiency in using assets to generate revenue. However, from FY26 onward, the ratio is projected to decline steadily, falling to 90.23% in FY26 and further to 72.60% by FY35. This downward trend suggests a gradual weakening in the company’s ability to convert its asset base into sales, potentially driven by assets growing faster than revenue due to increased capital expenditures, changes in the revenue mix, or slower top-line growth relative to asset expansion.</t>
  </si>
  <si>
    <t>Mastek’s pre-tax ROA shows a weakening trend, declining from 18.73% in 2022 to 11.32% in 2024, with a modest recovery to 12.17% in 2025. It is projected to initially improve to 16.01% in 2026, before gradually declining to 13.61% by 2035, indicating a long-term softening in asset efficiency. This trend suggests growing challenges in converting assets into pre-tax profits, likely driven by intensifying competition, margin pressures, and evolving business dynamics. The decline underscores the need for strategic realignment to sustain robust returns in a changing operating environment.</t>
  </si>
  <si>
    <t>Mastek’s pre-tax ROE declined sharply from 39.61% in 2022 to 20.00% in 2024, with a slight increase to 20.18% in 2025. Although a recovery to 26.86% is projected in 2026, the ratio is expected to taper to 22.04% by 2035. This downward trend highlights a reduced ability to generate strong pre-tax returns for equity holders, likely driven by a growing equity base and ongoing margin pressures. The pattern reflects mounting challenges in sustaining high returns amid a maturing growth cycle and a competitive industry environment.</t>
  </si>
  <si>
    <t>Mastek’s ROE declined significantly from 29.48% in 2022 to 16.10% in 2024, with a modest rebound to 16.53% in 2025. While a short-term improvement to 21.72% is projected in 2026, the ratio is expected to steadily decline to 16.94% by 2035. This downward trend indicates weakening efficiency in generating returns on shareholders’ equity, likely driven by an expanding capital base and ongoing margin pressures. It reflects structural profitability challenges and suggests that sustaining historical return levels may be difficult amid evolving competitive, operational, and financial conditions.</t>
  </si>
  <si>
    <t>Mastek’s reinvestment rate declined sharply from 25.27% in 2022 to 13.09% in 2024, with a modest rebound to 13.94% in 2025. The forecast anticipates a temporary rise to 18.57% in 2026, followed by a gradual decline to 14.49% by 2035. This marked downward trend highlights a sustained reduction in reinvestment intensity, indicating a strategic move towards more disciplined capital deployment. The shift reflects the company’s transition into a mature growth phase, focusing on optimizing returns and managing capital more efficiently amid evolving operational and market conditions.</t>
  </si>
  <si>
    <t>Mastek’s current ratio remained comfortably above the 1.0 benchmark during the audited period, ranging from 1.42 in FY24 to 1.95 in FY25, reflecting strong short-term financial health. Over the forecast period, the ratio is projected to steadily increase from 2.22 in FY26 to 3.73 by FY35, indicating consistent improvement in liquidity. This upward trend demonstrates a conservative liquidity approach, enhancing short-term asset coverage relative to liabilities. The rising current ratio underscores the company’s growing balance sheet resilience and its robust capacity to meet near-term operational obligations.</t>
  </si>
  <si>
    <t>Mastek’s quick ratio exhibited volatility during the audited period, declining from 1.34 in FY21 to a low of 0.87 in FY24—below the 1.0 benchmark—before rebounding to 1.28 in FY25. Over the forecast period, the ratio is projected to steadily improve, rising from 1.66 in FY26 to 3.17 by FY35. This upward trend signals a strengthening liquidity position and enhanced ability to cover short-term obligations. The consistent improvement reflects growing financial flexibility and reduced liquidity risk, with the ratio remaining comfortably above levels typically associated with prudent financial management.</t>
  </si>
  <si>
    <t>The cash ratio fluctuated during the audited period, starting at 0.83 in FY21, dropping sharply to 0.28 in FY23, and recovering moderately to 0.49 by FY25. From FY26 onward, it improves significantly and steadily, rising from 1.07 to 2.58 by FY35. This upward trend indicates a strengthening liquidity position, with increased cash and equivalents relative to current liabilities, enhancing the company’s ability to meet short-term obligations and reducing liquidity risk. However, an excessively high cash ratio may suggest idle cash that could be more effectively deployed for growth or investment opportunities.</t>
  </si>
  <si>
    <t>Mastek’s asset-to-equity ratio declined from 2.21 in 2021 to 1.57 in 2025, reflecting a gradual reduction in financial leverage during the audited period. This trend suggests cautious management of the asset base relative to shareholders’ equity, likely through debt reduction or equity strengthening. In the forecast period, the ratio stabilizes around 1.77 before gradually declining to 1.61 by 2035. The sustained lower leverage indicates a more conservative capital structure, potentially reducing financial risk but also limiting the company’s capacity to enhance returns through debt financing as it pursues steady growth.</t>
  </si>
  <si>
    <t>Mastek’s debt-to-equity ratio started at 0.25 in FY21, sharply declining to 0.16 in FY22 before rising slightly to stabilize around 0.23 by FY25. From FY26 onward, the ratio is projected to steadily decline, falling from 0.20 to 0.15 by FY35. This overall downward trajectory reflects a strategic focus on reducing financial leverage, enhancing balance sheet strength, and mitigating financial risk. The shift toward a more conservative debt profile underscores Mastek’s emphasis on capital structure stability and flexibility, signalling prudent debt management as the company balances growth objectives with risk mitigation in a dynamic operating environment.</t>
  </si>
  <si>
    <t>Mastek’s long-term debt to total capital ratio showed volatility during the audited period, dropping sharply from 14.62% in FY21 to 8.56% in FY22 before fluctuating around 12.57% through FY25. From FY26 onward, the ratio follows a steady downward trajectory, decreasing from 11.22% to 9.19% by FY35. This consistent decline reflects the company’s strategic focus on deleveraging its capital structure and reducing dependence on long-term debt. The approach strengthens financial stability and flexibility, better positioning Mastek to navigate economic uncertainties and support sustainable growth throughout the forecast period.</t>
  </si>
  <si>
    <t>Mastek’s accounts payable turnover showed significant volatility during the audited period, beginning at a high of 14.84 in 2021 before sharply declining to 3.62 in FY23 and modestly recovering to 3.67 in FY25. In the forecast period, the ratio is projected to steadily increase from 4.54 in FY26 to 5.43 by FY35. This pattern indicates an initial phase of irregular payment cycles, transitioning to more consistent and efficient management of payables. The gradual improvement reflects strengthened vendor relationships and optimized working capital management, balancing prompt payments with effective cash flow utilization.</t>
  </si>
  <si>
    <t>Mastek’s fixed assets turnover exhibited a strong upward trajectory during the audited period, increasing from 83.92 in 2021 to 118.04 in 2025, reflecting enhanced efficiency in generating revenue from fixed assets. This positive trend is projected to continue, with the ratio rising from 129.43 in 2026 to 776.64 by 2035. The significant increase indicates improved asset utilization, likely driven by revenue growth outpacing fixed asset investments or gains in operational efficiency. This pattern underscores the company’s ability to maximize productivity and effectively support its expanding business operations over the long term.</t>
  </si>
  <si>
    <t>Mastek’s working capital to sales ratio demonstrated considerable volatility during the audited period, beginning at 11.29% in 2021 before sharply declining into negative territory in FY22 and FY23. The ratio rebounded to 3.72% in FY25, indicating improved working capital management. Over the forecast period, it is projected to rise significantly to 12.49% in FY26, then gradually decline to 4.90% by FY35. This pattern suggests an initial phase of stringent working capital control, followed by a strategic accumulation of working capital relative to sales, likely aimed at supporting future growth and enhancing operational flexibility.</t>
  </si>
  <si>
    <t>During the audited period, Mastek’s ROIC experienced notable volatility, decreasing from 19.35% in FY21 to 12.08% in FY24, with a marginal recovery to 12.46% in FY25. Forecasts suggest stabilization in the mid-teens, peaking at 16.63% in FY26, followed by a gradual decline to 13.69% by FY35. This trajectory indicates a tapering in the company’s efficiency in generating returns on invested capital, possibly attributable to decelerating growth or an increasing capital base. Despite this decline, projected ROIC remains above typical cost of capital benchmarks, signifying ongoing value creation and financial sustainability.</t>
  </si>
  <si>
    <t>Mastek’s accounts receivable turnover showed steady performance during the audited period, moving marginally from 5.39 in 2022 to 5.32 in 2025, highlighting stable collection practices. Over the forecast horizon, the ratio is projected to ease slightly from 5.24 in 2026 to 5.20 in 2035. This minor dip could be attributed to adjustments in business strategy, customer mix, or evolving industry dynamics. Nevertheless, the ratio continues to reflect resilience, underscoring Mastek’s consistent ability to manage receivables efficiently while supporting reliable cash flow generation.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</si>
</sst>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6" formatCode="&quot;₹&quot;#,##0_);[Red]\(&quot;₹&quot;#,##0\)"/>
    <numFmt numFmtId="43" formatCode="_(* #,##0.00_);_(* \(#,##0.00\);_(* &quot;-&quot;??_);_(@_)"/>
    <numFmt numFmtId="164" formatCode="_ * #,##0.00_ ;_ * \-#,##0.00_ ;_ * &quot;-&quot;??_ ;_ @_ "/>
    <numFmt numFmtId="165" formatCode="0.0%"/>
    <numFmt numFmtId="166" formatCode="_ * #,##0_ ;_ * \-#,##0_ ;_ * &quot;-&quot;??_ ;_ @_ "/>
    <numFmt numFmtId="167" formatCode="0.000000"/>
    <numFmt numFmtId="168" formatCode="0.000%"/>
    <numFmt numFmtId="169" formatCode=";;"/>
    <numFmt numFmtId="170" formatCode="_(* #,##0_);_(* \(#,##0\);_(* &quot;-&quot;??_);_(@_)"/>
    <numFmt numFmtId="171" formatCode="_ * #,##0.000000_ ;_ * \-#,##0.000000_ ;_ * &quot;-&quot;??_ ;_ @_ "/>
    <numFmt numFmtId="172" formatCode="0.000000%"/>
    <numFmt numFmtId="173" formatCode="#,##0;\(#,##0\);&quot;-&quot;"/>
    <numFmt numFmtId="174" formatCode="mmm\ dd\,\ yyyy"/>
    <numFmt numFmtId="175" formatCode="#,##0.0"/>
    <numFmt numFmtId="176" formatCode="&quot;₹&quot;#,##0.00"/>
    <numFmt numFmtId="177" formatCode="&quot;₹&quot;#,##0"/>
    <numFmt numFmtId="178" formatCode="0.0\x"/>
    <numFmt numFmtId="179" formatCode="_-* #,##0_-;\-* #,##0_-;_-* &quot;-&quot;??_-;_-@_-"/>
    <numFmt numFmtId="180" formatCode="#,##0.0;[Red]#,##0.0"/>
    <numFmt numFmtId="181" formatCode="0.0"/>
  </numFmts>
  <fonts count="9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sz val="11"/>
      <color theme="1"/>
      <name val="Cambria"/>
      <family val="1"/>
      <scheme val="major"/>
    </font>
    <font>
      <i/>
      <sz val="11"/>
      <color theme="1"/>
      <name val="Cambria"/>
      <family val="1"/>
      <scheme val="major"/>
    </font>
    <font>
      <b/>
      <sz val="11"/>
      <color theme="1"/>
      <name val="Cambria"/>
      <family val="1"/>
      <scheme val="major"/>
    </font>
    <font>
      <sz val="11"/>
      <color rgb="FF0070C0"/>
      <name val="Cambria"/>
      <family val="1"/>
      <scheme val="major"/>
    </font>
    <font>
      <b/>
      <u/>
      <sz val="11"/>
      <color theme="1"/>
      <name val="Cambria"/>
      <family val="1"/>
      <scheme val="major"/>
    </font>
    <font>
      <sz val="11"/>
      <color theme="1"/>
      <name val="Cambria"/>
      <family val="2"/>
      <scheme val="major"/>
    </font>
    <font>
      <sz val="10"/>
      <name val="Cambria"/>
      <family val="1"/>
      <scheme val="major"/>
    </font>
    <font>
      <b/>
      <i/>
      <sz val="11"/>
      <color theme="1"/>
      <name val="Cambria"/>
      <family val="1"/>
      <scheme val="major"/>
    </font>
    <font>
      <b/>
      <sz val="11"/>
      <color rgb="FF0070C0"/>
      <name val="Cambria"/>
      <family val="1"/>
      <scheme val="major"/>
    </font>
    <font>
      <b/>
      <u/>
      <sz val="11"/>
      <color rgb="FF00B050"/>
      <name val="Cambria"/>
      <family val="1"/>
      <scheme val="major"/>
    </font>
    <font>
      <b/>
      <u/>
      <sz val="11"/>
      <color rgb="FFFF0000"/>
      <name val="Cambria"/>
      <family val="1"/>
      <scheme val="major"/>
    </font>
    <font>
      <b/>
      <sz val="12"/>
      <color theme="1"/>
      <name val="Cambria"/>
      <family val="1"/>
      <scheme val="major"/>
    </font>
    <font>
      <vertAlign val="subscript"/>
      <sz val="11"/>
      <color theme="1"/>
      <name val="Cambria"/>
      <family val="1"/>
      <scheme val="major"/>
    </font>
    <font>
      <b/>
      <sz val="11"/>
      <name val="Cambria"/>
      <family val="1"/>
      <scheme val="major"/>
    </font>
    <font>
      <u/>
      <sz val="11"/>
      <color theme="10"/>
      <name val="Calibri"/>
      <family val="2"/>
      <scheme val="minor"/>
    </font>
    <font>
      <i/>
      <sz val="11"/>
      <color rgb="FF0070C0"/>
      <name val="Cambria"/>
      <family val="1"/>
      <scheme val="major"/>
    </font>
    <font>
      <i/>
      <sz val="11"/>
      <name val="Cambria"/>
      <family val="1"/>
      <scheme val="major"/>
    </font>
    <font>
      <u/>
      <sz val="12"/>
      <color theme="10"/>
      <name val="Calibri"/>
      <family val="2"/>
      <scheme val="minor"/>
    </font>
    <font>
      <sz val="11"/>
      <color theme="4"/>
      <name val="Cambria"/>
      <family val="1"/>
      <scheme val="major"/>
    </font>
    <font>
      <u/>
      <sz val="11"/>
      <color theme="1"/>
      <name val="Cambria"/>
      <family val="1"/>
      <scheme val="major"/>
    </font>
    <font>
      <b/>
      <sz val="11"/>
      <color theme="0"/>
      <name val="Cambria"/>
      <family val="1"/>
      <scheme val="major"/>
    </font>
    <font>
      <b/>
      <sz val="12"/>
      <color theme="0"/>
      <name val="Cambria"/>
      <family val="1"/>
      <scheme val="major"/>
    </font>
    <font>
      <b/>
      <sz val="10"/>
      <color theme="0"/>
      <name val="Cambria"/>
      <family val="1"/>
      <scheme val="major"/>
    </font>
    <font>
      <sz val="10"/>
      <color rgb="FF000000"/>
      <name val="Arial"/>
      <family val="2"/>
    </font>
    <font>
      <sz val="10"/>
      <color rgb="FF0EA600"/>
      <name val="Arial"/>
      <family val="2"/>
    </font>
    <font>
      <sz val="10"/>
      <color rgb="FF000000"/>
      <name val="Arial"/>
      <family val="2"/>
    </font>
    <font>
      <sz val="11"/>
      <color theme="1"/>
      <name val="Cambria"/>
      <family val="2"/>
    </font>
    <font>
      <i/>
      <sz val="11"/>
      <color theme="0"/>
      <name val="Cambria"/>
      <family val="1"/>
      <scheme val="major"/>
    </font>
    <font>
      <i/>
      <sz val="11"/>
      <color theme="1"/>
      <name val="Calibri"/>
      <family val="2"/>
      <scheme val="minor"/>
    </font>
    <font>
      <b/>
      <sz val="10"/>
      <color theme="0"/>
      <name val="Arial"/>
      <family val="2"/>
    </font>
    <font>
      <b/>
      <sz val="10"/>
      <color theme="1"/>
      <name val="Arial"/>
      <family val="2"/>
    </font>
    <font>
      <sz val="10"/>
      <color theme="1"/>
      <name val="Arial"/>
      <family val="2"/>
    </font>
    <font>
      <sz val="10"/>
      <color rgb="FF000000"/>
      <name val="Arial"/>
      <family val="2"/>
    </font>
    <font>
      <b/>
      <sz val="12"/>
      <color theme="1"/>
      <name val="Calibri"/>
      <family val="2"/>
      <scheme val="minor"/>
    </font>
    <font>
      <sz val="11"/>
      <color rgb="FF0000FF"/>
      <name val="Book Antiqua"/>
      <family val="1"/>
    </font>
    <font>
      <b/>
      <sz val="11"/>
      <color rgb="FF000000"/>
      <name val="Book Antiqua"/>
      <family val="1"/>
    </font>
    <font>
      <sz val="11"/>
      <color theme="1"/>
      <name val="Book Antiqua"/>
      <family val="1"/>
    </font>
    <font>
      <sz val="11"/>
      <color rgb="FF000000"/>
      <name val="Book Antiqua"/>
      <family val="1"/>
    </font>
    <font>
      <b/>
      <sz val="11"/>
      <color theme="1"/>
      <name val="Book Antiqua"/>
      <family val="1"/>
    </font>
    <font>
      <sz val="11"/>
      <color rgb="FF0432FF"/>
      <name val="Book Antiqua"/>
      <family val="1"/>
    </font>
    <font>
      <sz val="11"/>
      <name val="Book Antiqua"/>
      <family val="1"/>
    </font>
    <font>
      <b/>
      <sz val="12"/>
      <color rgb="FF000000"/>
      <name val="Calibri"/>
      <family val="2"/>
      <scheme val="minor"/>
    </font>
    <font>
      <b/>
      <sz val="11"/>
      <name val="Book Antiqua"/>
      <family val="1"/>
    </font>
    <font>
      <sz val="12"/>
      <color rgb="FF000000"/>
      <name val="Calibri"/>
      <family val="2"/>
      <scheme val="minor"/>
    </font>
    <font>
      <i/>
      <sz val="11"/>
      <color rgb="FF000000"/>
      <name val="Book Antiqua"/>
      <family val="1"/>
    </font>
    <font>
      <sz val="10"/>
      <color rgb="FF000000"/>
      <name val="Tahoma"/>
      <family val="2"/>
    </font>
    <font>
      <b/>
      <sz val="10"/>
      <color rgb="FF000000"/>
      <name val="Tahoma"/>
      <family val="2"/>
    </font>
    <font>
      <sz val="11"/>
      <name val="Cambria"/>
      <family val="1"/>
      <scheme val="major"/>
    </font>
    <font>
      <sz val="11"/>
      <name val="Calibri"/>
      <family val="2"/>
      <scheme val="minor"/>
    </font>
    <font>
      <b/>
      <sz val="11"/>
      <color rgb="FFCC3300"/>
      <name val="Cambria"/>
      <family val="1"/>
      <scheme val="major"/>
    </font>
    <font>
      <sz val="10"/>
      <name val="Arial"/>
      <family val="2"/>
    </font>
    <font>
      <sz val="10"/>
      <name val="Times New Roman"/>
      <family val="1"/>
    </font>
    <font>
      <b/>
      <sz val="12"/>
      <color theme="0"/>
      <name val="Book Antiqua"/>
      <family val="1"/>
    </font>
    <font>
      <sz val="12"/>
      <color theme="1"/>
      <name val="Book Antiqua"/>
      <family val="1"/>
    </font>
    <font>
      <sz val="11"/>
      <color theme="0"/>
      <name val="Book Antiqua"/>
      <family val="1"/>
    </font>
    <font>
      <b/>
      <sz val="11"/>
      <color theme="0"/>
      <name val="Book Antiqua"/>
      <family val="1"/>
    </font>
    <font>
      <b/>
      <sz val="12"/>
      <color rgb="FF001588"/>
      <name val="Cambria"/>
      <family val="1"/>
      <scheme val="major"/>
    </font>
    <font>
      <sz val="12"/>
      <color theme="1"/>
      <name val="Cambria"/>
      <family val="1"/>
      <scheme val="major"/>
    </font>
    <font>
      <i/>
      <sz val="8"/>
      <color theme="1"/>
      <name val="Cambria"/>
      <family val="1"/>
      <scheme val="major"/>
    </font>
    <font>
      <i/>
      <sz val="8"/>
      <color rgb="FFFF0000"/>
      <name val="Cambria"/>
      <family val="1"/>
      <scheme val="major"/>
    </font>
    <font>
      <i/>
      <sz val="11"/>
      <color rgb="FFFF0000"/>
      <name val="Cambria"/>
      <family val="1"/>
      <scheme val="major"/>
    </font>
    <font>
      <b/>
      <sz val="25"/>
      <color theme="0"/>
      <name val="Book Antiqua"/>
      <family val="1"/>
    </font>
    <font>
      <sz val="12"/>
      <color rgb="FF0432FF"/>
      <name val="Book Antiqua"/>
      <family val="1"/>
    </font>
    <font>
      <sz val="12"/>
      <color rgb="FF0000FF"/>
      <name val="Book Antiqua"/>
      <family val="1"/>
    </font>
    <font>
      <sz val="12"/>
      <color rgb="FF101113"/>
      <name val="Book Antiqua"/>
      <family val="1"/>
    </font>
    <font>
      <sz val="12"/>
      <name val="Book Antiqua"/>
      <family val="1"/>
    </font>
    <font>
      <sz val="12"/>
      <color rgb="FFFF0000"/>
      <name val="Book Antiqua"/>
      <family val="1"/>
    </font>
    <font>
      <b/>
      <sz val="12"/>
      <color theme="1"/>
      <name val="Helvetica"/>
      <family val="2"/>
    </font>
    <font>
      <b/>
      <sz val="11"/>
      <color rgb="FF000000"/>
      <name val="Calibri"/>
      <family val="2"/>
      <scheme val="minor"/>
    </font>
    <font>
      <u/>
      <sz val="10"/>
      <color rgb="FF0432FF"/>
      <name val="Tahoma"/>
      <family val="2"/>
    </font>
    <font>
      <b/>
      <u/>
      <sz val="12"/>
      <color theme="1"/>
      <name val="Cambria"/>
      <family val="1"/>
      <scheme val="major"/>
    </font>
    <font>
      <sz val="10"/>
      <color rgb="FF0432FF"/>
      <name val="Tahoma"/>
      <family val="2"/>
    </font>
    <font>
      <sz val="8"/>
      <color theme="1"/>
      <name val="Helvetica"/>
      <family val="2"/>
    </font>
    <font>
      <sz val="12"/>
      <color rgb="FFFF0000"/>
      <name val="Cambria"/>
      <family val="1"/>
      <scheme val="major"/>
    </font>
    <font>
      <sz val="11"/>
      <color rgb="FFFF0000"/>
      <name val="Cambria"/>
      <family val="1"/>
      <scheme val="major"/>
    </font>
    <font>
      <sz val="10"/>
      <color rgb="FF17365D"/>
      <name val="Times New Roman"/>
      <family val="1"/>
    </font>
    <font>
      <b/>
      <sz val="12"/>
      <color rgb="FF17365D"/>
      <name val="Calibri"/>
      <family val="2"/>
      <scheme val="minor"/>
    </font>
    <font>
      <sz val="10.5"/>
      <color theme="1"/>
      <name val="Calibri"/>
      <family val="2"/>
      <scheme val="minor"/>
    </font>
    <font>
      <sz val="10.5"/>
      <color rgb="FF000000"/>
      <name val="Calibri"/>
      <family val="2"/>
      <scheme val="minor"/>
    </font>
    <font>
      <sz val="10"/>
      <color theme="1"/>
      <name val="Times New Roman"/>
      <family val="1"/>
    </font>
    <font>
      <sz val="10"/>
      <color theme="1"/>
      <name val="Calibri"/>
      <family val="2"/>
      <scheme val="minor"/>
    </font>
    <font>
      <b/>
      <sz val="10"/>
      <color rgb="FF000000"/>
      <name val="Calibri"/>
      <family val="2"/>
      <scheme val="minor"/>
    </font>
    <font>
      <i/>
      <sz val="10"/>
      <color theme="1"/>
      <name val="Calibri"/>
      <family val="2"/>
      <scheme val="minor"/>
    </font>
    <font>
      <sz val="11"/>
      <color rgb="FF000000"/>
      <name val="Calibri"/>
      <family val="2"/>
      <scheme val="minor"/>
    </font>
    <font>
      <i/>
      <u/>
      <sz val="11"/>
      <color rgb="FFFF0000"/>
      <name val="Cambria"/>
      <family val="1"/>
      <scheme val="major"/>
    </font>
  </fonts>
  <fills count="14">
    <fill>
      <patternFill patternType="none"/>
    </fill>
    <fill>
      <patternFill patternType="gray125"/>
    </fill>
    <fill>
      <patternFill patternType="solid">
        <fgColor theme="4" tint="0.79998168889431442"/>
        <bgColor indexed="65"/>
      </patternFill>
    </fill>
    <fill>
      <patternFill patternType="solid">
        <fgColor theme="9" tint="0.79998168889431442"/>
        <bgColor indexed="64"/>
      </patternFill>
    </fill>
    <fill>
      <patternFill patternType="solid">
        <fgColor rgb="FFFFFFCC"/>
        <bgColor indexed="64"/>
      </patternFill>
    </fill>
    <fill>
      <patternFill patternType="lightGray"/>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rgb="FFCCFF99"/>
        <bgColor indexed="64"/>
      </patternFill>
    </fill>
    <fill>
      <patternFill patternType="solid">
        <fgColor rgb="FFFCFDFE"/>
        <bgColor indexed="64"/>
      </patternFill>
    </fill>
    <fill>
      <patternFill patternType="solid">
        <fgColor rgb="FF002060"/>
        <bgColor indexed="64"/>
      </patternFill>
    </fill>
    <fill>
      <patternFill patternType="solid">
        <fgColor theme="4" tint="0.79998168889431442"/>
        <bgColor indexed="64"/>
      </patternFill>
    </fill>
    <fill>
      <patternFill patternType="solid">
        <fgColor theme="3" tint="-0.249977111117893"/>
        <bgColor indexed="64"/>
      </patternFill>
    </fill>
  </fills>
  <borders count="25">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right style="medium">
        <color auto="1"/>
      </right>
      <top/>
      <bottom/>
      <diagonal/>
    </border>
    <border>
      <left/>
      <right style="thin">
        <color auto="1"/>
      </right>
      <top/>
      <bottom/>
      <diagonal/>
    </border>
    <border>
      <left/>
      <right/>
      <top style="thin">
        <color indexed="64"/>
      </top>
      <bottom style="double">
        <color indexed="64"/>
      </bottom>
      <diagonal/>
    </border>
    <border>
      <left/>
      <right/>
      <top style="thin">
        <color indexed="64"/>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auto="1"/>
      </left>
      <right/>
      <top style="thin">
        <color indexed="64"/>
      </top>
      <bottom style="thin">
        <color indexed="64"/>
      </bottom>
      <diagonal/>
    </border>
    <border>
      <left style="thin">
        <color auto="1"/>
      </left>
      <right/>
      <top style="thin">
        <color indexed="64"/>
      </top>
      <bottom style="double">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right/>
      <top/>
      <bottom style="medium">
        <color rgb="FFE3EAF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auto="1"/>
      </left>
      <right/>
      <top style="thin">
        <color indexed="64"/>
      </top>
      <bottom style="medium">
        <color indexed="64"/>
      </bottom>
      <diagonal/>
    </border>
    <border>
      <left style="dashed">
        <color auto="1"/>
      </left>
      <right style="dashed">
        <color auto="1"/>
      </right>
      <top style="dashed">
        <color auto="1"/>
      </top>
      <bottom style="dashed">
        <color auto="1"/>
      </bottom>
      <diagonal/>
    </border>
  </borders>
  <cellStyleXfs count="16">
    <xf numFmtId="0" fontId="0" fillId="0" borderId="0"/>
    <xf numFmtId="164" fontId="6" fillId="0" borderId="0" applyFont="0" applyFill="0" applyBorder="0" applyAlignment="0" applyProtection="0"/>
    <xf numFmtId="9" fontId="6" fillId="0" borderId="0" applyFont="0" applyFill="0" applyBorder="0" applyAlignment="0" applyProtection="0"/>
    <xf numFmtId="0" fontId="6" fillId="2" borderId="0" applyNumberFormat="0" applyBorder="0" applyAlignment="0" applyProtection="0"/>
    <xf numFmtId="0" fontId="12" fillId="0" borderId="0"/>
    <xf numFmtId="0" fontId="21" fillId="0" borderId="0" applyNumberFormat="0" applyFill="0" applyBorder="0" applyAlignment="0" applyProtection="0"/>
    <xf numFmtId="0" fontId="33" fillId="0" borderId="0"/>
    <xf numFmtId="0" fontId="4" fillId="0" borderId="0"/>
    <xf numFmtId="0" fontId="3" fillId="0" borderId="0"/>
    <xf numFmtId="0" fontId="2" fillId="0" borderId="0"/>
    <xf numFmtId="0" fontId="1" fillId="0" borderId="0"/>
    <xf numFmtId="0" fontId="58" fillId="0" borderId="0"/>
    <xf numFmtId="0" fontId="6" fillId="0" borderId="0"/>
    <xf numFmtId="9" fontId="6" fillId="0" borderId="0" applyFont="0" applyFill="0" applyBorder="0" applyAlignment="0" applyProtection="0"/>
    <xf numFmtId="164" fontId="6" fillId="0" borderId="0" applyFont="0" applyFill="0" applyBorder="0" applyAlignment="0" applyProtection="0"/>
    <xf numFmtId="0" fontId="6" fillId="2" borderId="0" applyNumberFormat="0" applyBorder="0" applyAlignment="0" applyProtection="0"/>
  </cellStyleXfs>
  <cellXfs count="551">
    <xf numFmtId="0" fontId="0" fillId="0" borderId="0" xfId="0"/>
    <xf numFmtId="0" fontId="7" fillId="0" borderId="0" xfId="0" applyFont="1" applyAlignment="1">
      <alignment wrapText="1"/>
    </xf>
    <xf numFmtId="0" fontId="7" fillId="0" borderId="0" xfId="0" applyFont="1"/>
    <xf numFmtId="0" fontId="8" fillId="0" borderId="0" xfId="0" applyFont="1" applyAlignment="1">
      <alignment horizontal="right" wrapText="1"/>
    </xf>
    <xf numFmtId="0" fontId="9" fillId="0" borderId="0" xfId="0" applyFont="1"/>
    <xf numFmtId="0" fontId="8" fillId="0" borderId="0" xfId="0" applyFont="1"/>
    <xf numFmtId="164" fontId="10" fillId="0" borderId="0" xfId="1" applyFont="1"/>
    <xf numFmtId="0" fontId="9" fillId="0" borderId="0" xfId="0" applyFont="1" applyAlignment="1">
      <alignment wrapText="1"/>
    </xf>
    <xf numFmtId="164" fontId="9" fillId="0" borderId="0" xfId="1" applyFont="1"/>
    <xf numFmtId="164" fontId="7" fillId="0" borderId="0" xfId="1" applyFont="1"/>
    <xf numFmtId="0" fontId="9" fillId="0" borderId="0" xfId="0" applyFont="1" applyAlignment="1">
      <alignment horizontal="center"/>
    </xf>
    <xf numFmtId="164" fontId="9" fillId="0" borderId="1" xfId="1" applyFont="1" applyBorder="1"/>
    <xf numFmtId="0" fontId="9" fillId="0" borderId="1" xfId="0" applyFont="1" applyBorder="1" applyAlignment="1">
      <alignment wrapText="1"/>
    </xf>
    <xf numFmtId="0" fontId="8" fillId="0" borderId="3" xfId="0" applyFont="1" applyBorder="1" applyAlignment="1">
      <alignment horizontal="center"/>
    </xf>
    <xf numFmtId="9" fontId="7" fillId="0" borderId="0" xfId="2" applyFont="1"/>
    <xf numFmtId="10" fontId="8" fillId="0" borderId="0" xfId="2" applyNumberFormat="1" applyFont="1"/>
    <xf numFmtId="164" fontId="8" fillId="0" borderId="0" xfId="1" applyFont="1"/>
    <xf numFmtId="9" fontId="8" fillId="0" borderId="0" xfId="2" applyFont="1"/>
    <xf numFmtId="10" fontId="10" fillId="0" borderId="0" xfId="1" applyNumberFormat="1" applyFont="1"/>
    <xf numFmtId="2" fontId="10" fillId="0" borderId="0" xfId="1" applyNumberFormat="1" applyFont="1"/>
    <xf numFmtId="43" fontId="10" fillId="0" borderId="0" xfId="1" applyNumberFormat="1" applyFont="1"/>
    <xf numFmtId="9" fontId="10" fillId="0" borderId="0" xfId="2" applyFont="1"/>
    <xf numFmtId="9" fontId="9" fillId="0" borderId="1" xfId="2" applyFont="1" applyBorder="1"/>
    <xf numFmtId="0" fontId="9" fillId="0" borderId="0" xfId="0" applyFont="1" applyAlignment="1">
      <alignment horizontal="center" vertical="center" wrapText="1"/>
    </xf>
    <xf numFmtId="0" fontId="8" fillId="0" borderId="0" xfId="0" applyFont="1" applyAlignment="1">
      <alignment horizontal="center"/>
    </xf>
    <xf numFmtId="0" fontId="8" fillId="0" borderId="0" xfId="0" applyFont="1" applyAlignment="1">
      <alignment horizontal="right"/>
    </xf>
    <xf numFmtId="0" fontId="7" fillId="6" borderId="0" xfId="3" applyFont="1" applyFill="1"/>
    <xf numFmtId="164" fontId="7" fillId="6" borderId="0" xfId="3" applyNumberFormat="1" applyFont="1" applyFill="1"/>
    <xf numFmtId="10" fontId="7" fillId="6" borderId="0" xfId="3" applyNumberFormat="1" applyFont="1" applyFill="1"/>
    <xf numFmtId="165" fontId="13" fillId="5" borderId="0" xfId="4" applyNumberFormat="1" applyFont="1" applyFill="1" applyAlignment="1">
      <alignment horizontal="center" vertical="top" wrapText="1"/>
    </xf>
    <xf numFmtId="0" fontId="7" fillId="6" borderId="0" xfId="0" applyFont="1" applyFill="1"/>
    <xf numFmtId="164" fontId="7" fillId="6" borderId="0" xfId="1" applyFont="1" applyFill="1"/>
    <xf numFmtId="164" fontId="7" fillId="6" borderId="0" xfId="0" applyNumberFormat="1" applyFont="1" applyFill="1"/>
    <xf numFmtId="9" fontId="8" fillId="4" borderId="4" xfId="0" applyNumberFormat="1" applyFont="1" applyFill="1" applyBorder="1"/>
    <xf numFmtId="0" fontId="7" fillId="0" borderId="6" xfId="0" applyFont="1" applyBorder="1"/>
    <xf numFmtId="0" fontId="7" fillId="0" borderId="6" xfId="0" applyFont="1" applyBorder="1" applyAlignment="1">
      <alignment wrapText="1"/>
    </xf>
    <xf numFmtId="0" fontId="8" fillId="0" borderId="6" xfId="0" applyFont="1" applyBorder="1" applyAlignment="1">
      <alignment wrapText="1"/>
    </xf>
    <xf numFmtId="0" fontId="8" fillId="0" borderId="6" xfId="0" applyFont="1" applyBorder="1"/>
    <xf numFmtId="10" fontId="7" fillId="0" borderId="0" xfId="2" applyNumberFormat="1" applyFont="1"/>
    <xf numFmtId="0" fontId="9" fillId="6" borderId="0" xfId="0" applyFont="1" applyFill="1"/>
    <xf numFmtId="164" fontId="9" fillId="6" borderId="0" xfId="1" applyFont="1" applyFill="1"/>
    <xf numFmtId="164" fontId="7" fillId="0" borderId="0" xfId="0" applyNumberFormat="1" applyFont="1"/>
    <xf numFmtId="164" fontId="9" fillId="0" borderId="1" xfId="0" applyNumberFormat="1" applyFont="1" applyBorder="1"/>
    <xf numFmtId="164" fontId="9" fillId="0" borderId="0" xfId="0" applyNumberFormat="1" applyFont="1"/>
    <xf numFmtId="0" fontId="9" fillId="0" borderId="6" xfId="0" applyFont="1" applyBorder="1"/>
    <xf numFmtId="164" fontId="10" fillId="0" borderId="0" xfId="0" applyNumberFormat="1" applyFont="1"/>
    <xf numFmtId="164" fontId="9" fillId="0" borderId="7" xfId="0" applyNumberFormat="1" applyFont="1" applyBorder="1"/>
    <xf numFmtId="164" fontId="9" fillId="6" borderId="1" xfId="0" applyNumberFormat="1" applyFont="1" applyFill="1" applyBorder="1"/>
    <xf numFmtId="164" fontId="9" fillId="6" borderId="7" xfId="0" applyNumberFormat="1" applyFont="1" applyFill="1" applyBorder="1"/>
    <xf numFmtId="164" fontId="0" fillId="0" borderId="0" xfId="0" applyNumberFormat="1"/>
    <xf numFmtId="0" fontId="8" fillId="0" borderId="3" xfId="0" applyFont="1" applyBorder="1" applyAlignment="1">
      <alignment wrapText="1"/>
    </xf>
    <xf numFmtId="10" fontId="8" fillId="0" borderId="6" xfId="2" applyNumberFormat="1" applyFont="1" applyBorder="1"/>
    <xf numFmtId="164" fontId="9" fillId="6" borderId="0" xfId="1" applyFont="1" applyFill="1" applyBorder="1"/>
    <xf numFmtId="9" fontId="8" fillId="4" borderId="4" xfId="2" applyFont="1" applyFill="1" applyBorder="1"/>
    <xf numFmtId="0" fontId="0" fillId="6" borderId="0" xfId="0" applyFill="1"/>
    <xf numFmtId="164" fontId="0" fillId="6" borderId="0" xfId="0" applyNumberFormat="1" applyFill="1"/>
    <xf numFmtId="164" fontId="9" fillId="6" borderId="1" xfId="1" applyFont="1" applyFill="1" applyBorder="1"/>
    <xf numFmtId="43" fontId="15" fillId="0" borderId="0" xfId="1" applyNumberFormat="1" applyFont="1"/>
    <xf numFmtId="43" fontId="9" fillId="6" borderId="0" xfId="1" applyNumberFormat="1" applyFont="1" applyFill="1"/>
    <xf numFmtId="43" fontId="7" fillId="6" borderId="0" xfId="1" applyNumberFormat="1" applyFont="1" applyFill="1"/>
    <xf numFmtId="43" fontId="9" fillId="0" borderId="7" xfId="1" applyNumberFormat="1" applyFont="1" applyBorder="1"/>
    <xf numFmtId="43" fontId="9" fillId="6" borderId="7" xfId="1" applyNumberFormat="1" applyFont="1" applyFill="1" applyBorder="1"/>
    <xf numFmtId="43" fontId="9" fillId="0" borderId="0" xfId="1" applyNumberFormat="1" applyFont="1"/>
    <xf numFmtId="43" fontId="7" fillId="0" borderId="0" xfId="1" applyNumberFormat="1" applyFont="1"/>
    <xf numFmtId="43" fontId="7" fillId="0" borderId="0" xfId="2" applyNumberFormat="1" applyFont="1"/>
    <xf numFmtId="43" fontId="9" fillId="0" borderId="8" xfId="1" applyNumberFormat="1" applyFont="1" applyBorder="1"/>
    <xf numFmtId="0" fontId="11" fillId="0" borderId="0" xfId="0" applyFont="1"/>
    <xf numFmtId="43" fontId="7" fillId="0" borderId="0" xfId="0" applyNumberFormat="1" applyFont="1"/>
    <xf numFmtId="43" fontId="11" fillId="0" borderId="0" xfId="0" applyNumberFormat="1" applyFont="1"/>
    <xf numFmtId="164" fontId="9" fillId="0" borderId="8" xfId="0" applyNumberFormat="1" applyFont="1" applyBorder="1"/>
    <xf numFmtId="0" fontId="11" fillId="6" borderId="0" xfId="0" applyFont="1" applyFill="1"/>
    <xf numFmtId="43" fontId="7" fillId="6" borderId="0" xfId="0" applyNumberFormat="1" applyFont="1" applyFill="1"/>
    <xf numFmtId="43" fontId="11" fillId="6" borderId="0" xfId="0" applyNumberFormat="1" applyFont="1" applyFill="1"/>
    <xf numFmtId="0" fontId="11" fillId="0" borderId="6" xfId="0" applyFont="1" applyBorder="1"/>
    <xf numFmtId="0" fontId="16" fillId="0" borderId="6" xfId="0" applyFont="1" applyBorder="1"/>
    <xf numFmtId="0" fontId="17" fillId="0" borderId="6" xfId="0" applyFont="1" applyBorder="1"/>
    <xf numFmtId="0" fontId="9" fillId="8" borderId="6" xfId="0" applyFont="1" applyFill="1" applyBorder="1"/>
    <xf numFmtId="43" fontId="9" fillId="8" borderId="11" xfId="0" applyNumberFormat="1" applyFont="1" applyFill="1" applyBorder="1"/>
    <xf numFmtId="43" fontId="9" fillId="8" borderId="1" xfId="0" applyNumberFormat="1" applyFont="1" applyFill="1" applyBorder="1"/>
    <xf numFmtId="0" fontId="7" fillId="3" borderId="6" xfId="0" applyFont="1" applyFill="1" applyBorder="1"/>
    <xf numFmtId="43" fontId="7" fillId="3" borderId="0" xfId="0" applyNumberFormat="1" applyFont="1" applyFill="1"/>
    <xf numFmtId="0" fontId="9" fillId="3" borderId="6" xfId="0" applyFont="1" applyFill="1" applyBorder="1"/>
    <xf numFmtId="43" fontId="9" fillId="3" borderId="12" xfId="0" applyNumberFormat="1" applyFont="1" applyFill="1" applyBorder="1"/>
    <xf numFmtId="43" fontId="9" fillId="3" borderId="7" xfId="0" applyNumberFormat="1" applyFont="1" applyFill="1" applyBorder="1"/>
    <xf numFmtId="0" fontId="9" fillId="0" borderId="6" xfId="0" applyFont="1" applyBorder="1" applyAlignment="1">
      <alignment horizontal="center" vertical="center" wrapText="1"/>
    </xf>
    <xf numFmtId="0" fontId="9" fillId="0" borderId="6" xfId="0" applyFont="1" applyBorder="1" applyAlignment="1">
      <alignment wrapText="1"/>
    </xf>
    <xf numFmtId="164" fontId="7" fillId="0" borderId="6" xfId="1" applyFont="1" applyBorder="1" applyAlignment="1">
      <alignment wrapText="1"/>
    </xf>
    <xf numFmtId="0" fontId="9" fillId="0" borderId="6" xfId="0" applyFont="1" applyBorder="1" applyAlignment="1">
      <alignment horizontal="center"/>
    </xf>
    <xf numFmtId="4" fontId="7" fillId="0" borderId="0" xfId="0" applyNumberFormat="1" applyFont="1"/>
    <xf numFmtId="167" fontId="9" fillId="0" borderId="0" xfId="2" applyNumberFormat="1" applyFont="1"/>
    <xf numFmtId="167" fontId="9" fillId="0" borderId="0" xfId="0" applyNumberFormat="1" applyFont="1"/>
    <xf numFmtId="2" fontId="9" fillId="0" borderId="0" xfId="0" applyNumberFormat="1" applyFont="1"/>
    <xf numFmtId="10" fontId="7" fillId="0" borderId="0" xfId="0" applyNumberFormat="1" applyFont="1"/>
    <xf numFmtId="2" fontId="7" fillId="0" borderId="0" xfId="0" applyNumberFormat="1" applyFont="1"/>
    <xf numFmtId="168" fontId="9" fillId="0" borderId="0" xfId="0" applyNumberFormat="1" applyFont="1"/>
    <xf numFmtId="166" fontId="7" fillId="0" borderId="0" xfId="1" applyNumberFormat="1" applyFont="1"/>
    <xf numFmtId="166" fontId="7" fillId="0" borderId="0" xfId="1" applyNumberFormat="1" applyFont="1" applyFill="1"/>
    <xf numFmtId="10" fontId="7" fillId="0" borderId="16" xfId="2" applyNumberFormat="1" applyFont="1" applyBorder="1"/>
    <xf numFmtId="166" fontId="7" fillId="0" borderId="16" xfId="1" applyNumberFormat="1" applyFont="1" applyBorder="1"/>
    <xf numFmtId="10" fontId="7" fillId="0" borderId="16" xfId="2" applyNumberFormat="1" applyFont="1" applyFill="1" applyBorder="1"/>
    <xf numFmtId="166" fontId="7" fillId="0" borderId="16" xfId="1" applyNumberFormat="1" applyFont="1" applyFill="1" applyBorder="1"/>
    <xf numFmtId="164" fontId="9" fillId="8" borderId="1" xfId="1" applyFont="1" applyFill="1" applyBorder="1"/>
    <xf numFmtId="0" fontId="9" fillId="8" borderId="13" xfId="0" applyFont="1" applyFill="1" applyBorder="1" applyAlignment="1">
      <alignment wrapText="1"/>
    </xf>
    <xf numFmtId="0" fontId="9" fillId="8" borderId="14" xfId="0" applyFont="1" applyFill="1" applyBorder="1" applyAlignment="1">
      <alignment wrapText="1"/>
    </xf>
    <xf numFmtId="164" fontId="9" fillId="8" borderId="7" xfId="1" applyFont="1" applyFill="1" applyBorder="1"/>
    <xf numFmtId="2" fontId="7" fillId="6" borderId="0" xfId="2" applyNumberFormat="1" applyFont="1" applyFill="1"/>
    <xf numFmtId="0" fontId="9" fillId="0" borderId="0" xfId="0" applyFont="1" applyAlignment="1">
      <alignment horizontal="left"/>
    </xf>
    <xf numFmtId="0" fontId="11" fillId="0" borderId="0" xfId="0" applyFont="1" applyAlignment="1">
      <alignment horizontal="center"/>
    </xf>
    <xf numFmtId="0" fontId="11" fillId="0" borderId="6" xfId="0" applyFont="1" applyBorder="1" applyAlignment="1">
      <alignment horizontal="center"/>
    </xf>
    <xf numFmtId="169" fontId="7" fillId="0" borderId="16" xfId="0" applyNumberFormat="1" applyFont="1" applyBorder="1"/>
    <xf numFmtId="0" fontId="8" fillId="6" borderId="3" xfId="3" applyFont="1" applyFill="1" applyBorder="1" applyAlignment="1">
      <alignment horizontal="center"/>
    </xf>
    <xf numFmtId="0" fontId="8" fillId="0" borderId="0" xfId="0" applyFont="1" applyAlignment="1">
      <alignment wrapText="1"/>
    </xf>
    <xf numFmtId="0" fontId="8" fillId="0" borderId="6" xfId="0" applyFont="1" applyBorder="1" applyAlignment="1">
      <alignment horizontal="right"/>
    </xf>
    <xf numFmtId="164" fontId="9" fillId="6" borderId="1" xfId="3" applyNumberFormat="1" applyFont="1" applyFill="1" applyBorder="1"/>
    <xf numFmtId="0" fontId="9" fillId="0" borderId="6" xfId="0" applyFont="1" applyBorder="1" applyAlignment="1">
      <alignment horizontal="left"/>
    </xf>
    <xf numFmtId="0" fontId="7" fillId="0" borderId="0" xfId="0" applyFont="1" applyAlignment="1">
      <alignment horizontal="center"/>
    </xf>
    <xf numFmtId="0" fontId="14" fillId="6" borderId="0" xfId="3" applyFont="1" applyFill="1" applyBorder="1" applyAlignment="1">
      <alignment horizontal="center"/>
    </xf>
    <xf numFmtId="0" fontId="8" fillId="0" borderId="3" xfId="0" applyFont="1" applyBorder="1" applyAlignment="1">
      <alignment vertical="center"/>
    </xf>
    <xf numFmtId="0" fontId="9" fillId="0" borderId="0" xfId="0" applyFont="1" applyAlignment="1">
      <alignment vertical="center"/>
    </xf>
    <xf numFmtId="0" fontId="7" fillId="0" borderId="0" xfId="0" applyFont="1" applyAlignment="1">
      <alignment vertical="center"/>
    </xf>
    <xf numFmtId="9" fontId="7" fillId="6" borderId="0" xfId="0" applyNumberFormat="1" applyFont="1" applyFill="1" applyAlignment="1">
      <alignment vertical="center"/>
    </xf>
    <xf numFmtId="0" fontId="7" fillId="6" borderId="0" xfId="0" applyFont="1" applyFill="1" applyAlignment="1">
      <alignment vertical="center"/>
    </xf>
    <xf numFmtId="0" fontId="9" fillId="6" borderId="0" xfId="0" applyFont="1" applyFill="1" applyAlignment="1">
      <alignment vertical="center"/>
    </xf>
    <xf numFmtId="2" fontId="7" fillId="0" borderId="0" xfId="0" applyNumberFormat="1" applyFont="1" applyAlignment="1">
      <alignment vertical="center"/>
    </xf>
    <xf numFmtId="2" fontId="7" fillId="6" borderId="0" xfId="0" applyNumberFormat="1" applyFont="1" applyFill="1" applyAlignment="1">
      <alignment vertical="center"/>
    </xf>
    <xf numFmtId="164" fontId="7" fillId="0" borderId="0" xfId="1" applyFont="1" applyAlignment="1">
      <alignment vertical="center"/>
    </xf>
    <xf numFmtId="164" fontId="7" fillId="6" borderId="0" xfId="1" applyFont="1" applyFill="1" applyAlignment="1">
      <alignment vertical="center"/>
    </xf>
    <xf numFmtId="164" fontId="7" fillId="0" borderId="0" xfId="0" applyNumberFormat="1" applyFont="1" applyAlignment="1">
      <alignment vertical="center"/>
    </xf>
    <xf numFmtId="164" fontId="7" fillId="6" borderId="0" xfId="0" applyNumberFormat="1" applyFont="1" applyFill="1" applyAlignment="1">
      <alignment vertical="center"/>
    </xf>
    <xf numFmtId="10" fontId="7" fillId="0" borderId="0" xfId="2" applyNumberFormat="1" applyFont="1" applyAlignment="1">
      <alignment vertical="center"/>
    </xf>
    <xf numFmtId="10" fontId="7" fillId="6" borderId="0" xfId="2" applyNumberFormat="1" applyFont="1" applyFill="1" applyAlignment="1">
      <alignment vertical="center"/>
    </xf>
    <xf numFmtId="164" fontId="15" fillId="0" borderId="11" xfId="1" applyFont="1" applyBorder="1"/>
    <xf numFmtId="164" fontId="15" fillId="0" borderId="1" xfId="1" applyFont="1" applyBorder="1"/>
    <xf numFmtId="0" fontId="5" fillId="0" borderId="0" xfId="0" applyFont="1"/>
    <xf numFmtId="0" fontId="7" fillId="0" borderId="16" xfId="0" applyFont="1" applyBorder="1" applyAlignment="1">
      <alignment vertical="center" wrapText="1"/>
    </xf>
    <xf numFmtId="0" fontId="0" fillId="0" borderId="9" xfId="0" applyBorder="1"/>
    <xf numFmtId="0" fontId="9" fillId="0" borderId="6" xfId="0" applyFont="1" applyBorder="1" applyAlignment="1">
      <alignment vertical="center"/>
    </xf>
    <xf numFmtId="0" fontId="7" fillId="0" borderId="6" xfId="0" applyFont="1" applyBorder="1" applyAlignment="1">
      <alignment vertical="center"/>
    </xf>
    <xf numFmtId="0" fontId="7" fillId="0" borderId="21" xfId="0" applyFont="1" applyBorder="1"/>
    <xf numFmtId="166" fontId="7" fillId="0" borderId="6" xfId="1" applyNumberFormat="1" applyFont="1" applyBorder="1"/>
    <xf numFmtId="0" fontId="7" fillId="0" borderId="22" xfId="0" applyFont="1" applyBorder="1"/>
    <xf numFmtId="0" fontId="7" fillId="0" borderId="3" xfId="0" applyFont="1" applyBorder="1" applyAlignment="1">
      <alignment horizontal="center"/>
    </xf>
    <xf numFmtId="10" fontId="7" fillId="0" borderId="6" xfId="0" applyNumberFormat="1" applyFont="1" applyBorder="1"/>
    <xf numFmtId="164" fontId="7" fillId="0" borderId="10" xfId="1" applyFont="1" applyBorder="1"/>
    <xf numFmtId="0" fontId="9" fillId="9" borderId="0" xfId="0" applyFont="1" applyFill="1"/>
    <xf numFmtId="166" fontId="9" fillId="9" borderId="0" xfId="1" applyNumberFormat="1" applyFont="1" applyFill="1"/>
    <xf numFmtId="166" fontId="7" fillId="9" borderId="16" xfId="1" applyNumberFormat="1" applyFont="1" applyFill="1" applyBorder="1"/>
    <xf numFmtId="10" fontId="22" fillId="0" borderId="0" xfId="1" applyNumberFormat="1" applyFont="1"/>
    <xf numFmtId="10" fontId="23" fillId="0" borderId="0" xfId="1" applyNumberFormat="1" applyFont="1"/>
    <xf numFmtId="10" fontId="23" fillId="6" borderId="0" xfId="1" applyNumberFormat="1" applyFont="1" applyFill="1"/>
    <xf numFmtId="0" fontId="9" fillId="0" borderId="0" xfId="0" applyFont="1" applyAlignment="1">
      <alignment horizontal="center" wrapText="1"/>
    </xf>
    <xf numFmtId="0" fontId="9" fillId="0" borderId="0" xfId="0" applyFont="1" applyAlignment="1">
      <alignment horizontal="left" vertical="center" wrapText="1"/>
    </xf>
    <xf numFmtId="0" fontId="9" fillId="0" borderId="0" xfId="0" applyFont="1" applyAlignment="1">
      <alignment horizontal="left" vertical="center"/>
    </xf>
    <xf numFmtId="164" fontId="20" fillId="0" borderId="0" xfId="1" applyFont="1" applyAlignment="1">
      <alignment horizontal="left" vertical="center"/>
    </xf>
    <xf numFmtId="164" fontId="25" fillId="0" borderId="0" xfId="1" applyFont="1"/>
    <xf numFmtId="43" fontId="20" fillId="0" borderId="0" xfId="1" applyNumberFormat="1" applyFont="1"/>
    <xf numFmtId="43" fontId="20" fillId="0" borderId="0" xfId="1" applyNumberFormat="1" applyFont="1" applyAlignment="1">
      <alignment vertical="center"/>
    </xf>
    <xf numFmtId="43" fontId="20" fillId="0" borderId="1" xfId="1" applyNumberFormat="1" applyFont="1" applyBorder="1"/>
    <xf numFmtId="0" fontId="26" fillId="0" borderId="0" xfId="0" applyFont="1"/>
    <xf numFmtId="0" fontId="7" fillId="0" borderId="0" xfId="0" applyFont="1" applyAlignment="1">
      <alignment horizontal="left"/>
    </xf>
    <xf numFmtId="164" fontId="20" fillId="0" borderId="0" xfId="1" applyFont="1"/>
    <xf numFmtId="9" fontId="9" fillId="0" borderId="0" xfId="2" applyFont="1" applyBorder="1"/>
    <xf numFmtId="0" fontId="9" fillId="0" borderId="0" xfId="0" applyFont="1" applyAlignment="1">
      <alignment vertical="center" wrapText="1"/>
    </xf>
    <xf numFmtId="9" fontId="7" fillId="0" borderId="0" xfId="0" applyNumberFormat="1" applyFont="1"/>
    <xf numFmtId="165" fontId="7" fillId="0" borderId="0" xfId="2" applyNumberFormat="1" applyFont="1"/>
    <xf numFmtId="43" fontId="9" fillId="0" borderId="0" xfId="1" applyNumberFormat="1" applyFont="1" applyBorder="1"/>
    <xf numFmtId="43" fontId="9" fillId="6" borderId="0" xfId="1" applyNumberFormat="1" applyFont="1" applyFill="1" applyBorder="1"/>
    <xf numFmtId="43" fontId="9" fillId="0" borderId="23" xfId="1" applyNumberFormat="1" applyFont="1" applyBorder="1"/>
    <xf numFmtId="0" fontId="9" fillId="0" borderId="0" xfId="0" applyFont="1" applyAlignment="1">
      <alignment horizontal="center" vertical="center"/>
    </xf>
    <xf numFmtId="9" fontId="7" fillId="4" borderId="4" xfId="1" applyNumberFormat="1" applyFont="1" applyFill="1" applyBorder="1"/>
    <xf numFmtId="164" fontId="25" fillId="0" borderId="0" xfId="2" applyNumberFormat="1" applyFont="1"/>
    <xf numFmtId="0" fontId="7" fillId="0" borderId="6" xfId="0" applyFont="1" applyBorder="1" applyAlignment="1">
      <alignment horizontal="left"/>
    </xf>
    <xf numFmtId="164" fontId="9" fillId="0" borderId="0" xfId="1" applyFont="1" applyAlignment="1">
      <alignment vertical="center"/>
    </xf>
    <xf numFmtId="43" fontId="9" fillId="8" borderId="7" xfId="1" applyNumberFormat="1" applyFont="1" applyFill="1" applyBorder="1"/>
    <xf numFmtId="43" fontId="9" fillId="0" borderId="0" xfId="1" applyNumberFormat="1" applyFont="1" applyAlignment="1">
      <alignment vertical="center"/>
    </xf>
    <xf numFmtId="164" fontId="8" fillId="0" borderId="0" xfId="0" applyNumberFormat="1" applyFont="1"/>
    <xf numFmtId="0" fontId="26" fillId="0" borderId="6" xfId="0" applyFont="1" applyBorder="1"/>
    <xf numFmtId="9" fontId="9" fillId="6" borderId="0" xfId="2" applyFont="1" applyFill="1"/>
    <xf numFmtId="10" fontId="31" fillId="0" borderId="15" xfId="0" applyNumberFormat="1" applyFont="1" applyBorder="1" applyAlignment="1">
      <alignment horizontal="right" vertical="center" indent="1"/>
    </xf>
    <xf numFmtId="0" fontId="32" fillId="0" borderId="0" xfId="0" applyFont="1" applyAlignment="1">
      <alignment horizontal="right" vertical="center" indent="1"/>
    </xf>
    <xf numFmtId="10" fontId="31" fillId="0" borderId="0" xfId="0" applyNumberFormat="1" applyFont="1" applyAlignment="1">
      <alignment horizontal="right" vertical="center" indent="1"/>
    </xf>
    <xf numFmtId="0" fontId="9" fillId="0" borderId="1" xfId="0" applyFont="1" applyBorder="1" applyAlignment="1">
      <alignment horizontal="center"/>
    </xf>
    <xf numFmtId="43" fontId="9" fillId="0" borderId="1" xfId="0" applyNumberFormat="1" applyFont="1" applyBorder="1"/>
    <xf numFmtId="170" fontId="7" fillId="0" borderId="0" xfId="0" applyNumberFormat="1" applyFont="1"/>
    <xf numFmtId="164" fontId="7" fillId="0" borderId="0" xfId="1" applyFont="1" applyBorder="1"/>
    <xf numFmtId="9" fontId="8" fillId="6" borderId="0" xfId="2" applyFont="1" applyFill="1"/>
    <xf numFmtId="0" fontId="35" fillId="0" borderId="0" xfId="0" applyFont="1"/>
    <xf numFmtId="0" fontId="9" fillId="0" borderId="11" xfId="0" applyFont="1" applyBorder="1" applyAlignment="1">
      <alignment horizontal="center"/>
    </xf>
    <xf numFmtId="0" fontId="9" fillId="0" borderId="13" xfId="0" applyFont="1" applyBorder="1" applyAlignment="1">
      <alignment horizontal="center"/>
    </xf>
    <xf numFmtId="9" fontId="22" fillId="0" borderId="0" xfId="1" applyNumberFormat="1" applyFont="1"/>
    <xf numFmtId="0" fontId="8" fillId="0" borderId="6" xfId="0" applyFont="1" applyBorder="1" applyAlignment="1">
      <alignment horizontal="right" wrapText="1"/>
    </xf>
    <xf numFmtId="0" fontId="7" fillId="6" borderId="0" xfId="0" applyFont="1" applyFill="1" applyAlignment="1">
      <alignment wrapText="1"/>
    </xf>
    <xf numFmtId="9" fontId="7" fillId="6" borderId="0" xfId="2" applyFont="1" applyFill="1"/>
    <xf numFmtId="0" fontId="11" fillId="0" borderId="0" xfId="0" applyFont="1" applyAlignment="1">
      <alignment wrapText="1"/>
    </xf>
    <xf numFmtId="10" fontId="9" fillId="0" borderId="1" xfId="2" applyNumberFormat="1" applyFont="1" applyBorder="1"/>
    <xf numFmtId="0" fontId="9" fillId="0" borderId="2" xfId="0" applyFont="1" applyBorder="1" applyAlignment="1">
      <alignment horizontal="center" vertical="center" wrapText="1"/>
    </xf>
    <xf numFmtId="0" fontId="7" fillId="0" borderId="21" xfId="0" applyFont="1" applyBorder="1" applyAlignment="1">
      <alignment horizontal="center" vertical="center"/>
    </xf>
    <xf numFmtId="0" fontId="7" fillId="0" borderId="0" xfId="0" applyFont="1" applyAlignment="1">
      <alignment horizontal="center" vertical="center"/>
    </xf>
    <xf numFmtId="43" fontId="10" fillId="0" borderId="0" xfId="0" applyNumberFormat="1" applyFont="1" applyAlignment="1">
      <alignment wrapText="1"/>
    </xf>
    <xf numFmtId="164" fontId="10" fillId="0" borderId="0" xfId="1" applyFont="1" applyBorder="1" applyAlignment="1">
      <alignment wrapText="1"/>
    </xf>
    <xf numFmtId="0" fontId="7" fillId="0" borderId="6" xfId="0" applyFont="1" applyBorder="1" applyAlignment="1">
      <alignment horizontal="left" wrapText="1"/>
    </xf>
    <xf numFmtId="0" fontId="9" fillId="7" borderId="6" xfId="0" applyFont="1" applyFill="1" applyBorder="1" applyAlignment="1">
      <alignment wrapText="1"/>
    </xf>
    <xf numFmtId="164" fontId="9" fillId="7" borderId="0" xfId="1" applyFont="1" applyFill="1" applyBorder="1"/>
    <xf numFmtId="43" fontId="9" fillId="7" borderId="0" xfId="1" applyNumberFormat="1" applyFont="1" applyFill="1" applyBorder="1"/>
    <xf numFmtId="10" fontId="7" fillId="0" borderId="10" xfId="0" applyNumberFormat="1" applyFont="1" applyBorder="1"/>
    <xf numFmtId="166" fontId="8" fillId="0" borderId="0" xfId="0" applyNumberFormat="1" applyFont="1"/>
    <xf numFmtId="0" fontId="37" fillId="0" borderId="0" xfId="0" applyFont="1" applyAlignment="1">
      <alignment horizontal="center"/>
    </xf>
    <xf numFmtId="0" fontId="38" fillId="0" borderId="0" xfId="0" applyFont="1"/>
    <xf numFmtId="0" fontId="37" fillId="0" borderId="0" xfId="0" applyFont="1"/>
    <xf numFmtId="0" fontId="38" fillId="0" borderId="0" xfId="0" applyFont="1" applyAlignment="1">
      <alignment horizontal="center"/>
    </xf>
    <xf numFmtId="171" fontId="7" fillId="0" borderId="0" xfId="1" applyNumberFormat="1" applyFont="1"/>
    <xf numFmtId="164" fontId="8" fillId="6" borderId="0" xfId="0" applyNumberFormat="1" applyFont="1" applyFill="1"/>
    <xf numFmtId="164" fontId="9" fillId="6" borderId="0" xfId="0" applyNumberFormat="1" applyFont="1" applyFill="1"/>
    <xf numFmtId="164" fontId="9" fillId="0" borderId="12" xfId="1" applyFont="1" applyBorder="1"/>
    <xf numFmtId="43" fontId="9" fillId="6" borderId="1" xfId="0" applyNumberFormat="1" applyFont="1" applyFill="1" applyBorder="1"/>
    <xf numFmtId="164" fontId="7" fillId="0" borderId="0" xfId="1" applyFont="1" applyBorder="1" applyAlignment="1">
      <alignment horizontal="center"/>
    </xf>
    <xf numFmtId="0" fontId="7" fillId="0" borderId="22" xfId="0" applyFont="1" applyBorder="1" applyAlignment="1">
      <alignment horizontal="center" vertical="center"/>
    </xf>
    <xf numFmtId="0" fontId="9" fillId="6" borderId="2" xfId="0" applyFont="1" applyFill="1" applyBorder="1" applyAlignment="1">
      <alignment horizontal="center" vertical="center" wrapText="1"/>
    </xf>
    <xf numFmtId="168" fontId="7" fillId="6" borderId="0" xfId="2" applyNumberFormat="1" applyFont="1" applyFill="1"/>
    <xf numFmtId="172" fontId="7" fillId="6" borderId="0" xfId="2" applyNumberFormat="1" applyFont="1" applyFill="1"/>
    <xf numFmtId="171" fontId="7" fillId="0" borderId="0" xfId="0" applyNumberFormat="1" applyFont="1"/>
    <xf numFmtId="2" fontId="25" fillId="0" borderId="0" xfId="2" applyNumberFormat="1" applyFont="1"/>
    <xf numFmtId="9" fontId="0" fillId="6" borderId="0" xfId="2" applyFont="1" applyFill="1"/>
    <xf numFmtId="173" fontId="41" fillId="0" borderId="0" xfId="0" applyNumberFormat="1" applyFont="1"/>
    <xf numFmtId="0" fontId="42" fillId="0" borderId="0" xfId="0" applyFont="1"/>
    <xf numFmtId="0" fontId="44" fillId="0" borderId="0" xfId="0" applyFont="1"/>
    <xf numFmtId="173" fontId="46" fillId="0" borderId="0" xfId="0" applyNumberFormat="1" applyFont="1"/>
    <xf numFmtId="173" fontId="45" fillId="0" borderId="0" xfId="0" applyNumberFormat="1" applyFont="1"/>
    <xf numFmtId="0" fontId="43" fillId="0" borderId="0" xfId="0" applyFont="1"/>
    <xf numFmtId="4" fontId="43" fillId="0" borderId="0" xfId="0" applyNumberFormat="1" applyFont="1"/>
    <xf numFmtId="173" fontId="43" fillId="0" borderId="0" xfId="0" applyNumberFormat="1" applyFont="1"/>
    <xf numFmtId="0" fontId="47" fillId="0" borderId="0" xfId="0" applyFont="1"/>
    <xf numFmtId="0" fontId="48" fillId="0" borderId="0" xfId="0" applyFont="1"/>
    <xf numFmtId="0" fontId="49" fillId="0" borderId="0" xfId="0" applyFont="1"/>
    <xf numFmtId="0" fontId="50" fillId="0" borderId="0" xfId="0" applyFont="1"/>
    <xf numFmtId="0" fontId="40" fillId="0" borderId="0" xfId="0" applyFont="1"/>
    <xf numFmtId="0" fontId="51" fillId="0" borderId="0" xfId="0" applyFont="1" applyAlignment="1">
      <alignment horizontal="left"/>
    </xf>
    <xf numFmtId="4" fontId="0" fillId="0" borderId="0" xfId="0" applyNumberFormat="1"/>
    <xf numFmtId="0" fontId="51" fillId="0" borderId="0" xfId="0" applyFont="1"/>
    <xf numFmtId="173" fontId="49" fillId="0" borderId="0" xfId="0" applyNumberFormat="1" applyFont="1"/>
    <xf numFmtId="165" fontId="10" fillId="0" borderId="0" xfId="2" applyNumberFormat="1" applyFont="1"/>
    <xf numFmtId="165" fontId="8" fillId="4" borderId="4" xfId="3" applyNumberFormat="1" applyFont="1" applyFill="1" applyBorder="1"/>
    <xf numFmtId="43" fontId="9" fillId="0" borderId="12" xfId="1" applyNumberFormat="1" applyFont="1" applyBorder="1"/>
    <xf numFmtId="43" fontId="8" fillId="0" borderId="0" xfId="0" applyNumberFormat="1" applyFont="1"/>
    <xf numFmtId="164" fontId="10" fillId="0" borderId="21" xfId="1" applyFont="1" applyBorder="1"/>
    <xf numFmtId="0" fontId="54" fillId="0" borderId="6" xfId="0" applyFont="1" applyBorder="1"/>
    <xf numFmtId="0" fontId="23" fillId="0" borderId="6" xfId="0" applyFont="1" applyBorder="1" applyAlignment="1">
      <alignment horizontal="right"/>
    </xf>
    <xf numFmtId="9" fontId="22" fillId="0" borderId="21" xfId="1" applyNumberFormat="1" applyFont="1" applyBorder="1"/>
    <xf numFmtId="43" fontId="0" fillId="6" borderId="0" xfId="0" applyNumberFormat="1" applyFill="1"/>
    <xf numFmtId="164" fontId="55" fillId="6" borderId="0" xfId="0" applyNumberFormat="1" applyFont="1" applyFill="1"/>
    <xf numFmtId="43" fontId="7" fillId="0" borderId="21" xfId="0" applyNumberFormat="1" applyFont="1" applyBorder="1"/>
    <xf numFmtId="174" fontId="39" fillId="0" borderId="15" xfId="0" applyNumberFormat="1" applyFont="1" applyBorder="1" applyAlignment="1">
      <alignment horizontal="left" vertical="center" indent="1"/>
    </xf>
    <xf numFmtId="174" fontId="30" fillId="0" borderId="15" xfId="0" applyNumberFormat="1" applyFont="1" applyBorder="1" applyAlignment="1">
      <alignment horizontal="left" vertical="center" indent="1"/>
    </xf>
    <xf numFmtId="0" fontId="56" fillId="0" borderId="0" xfId="0" applyFont="1"/>
    <xf numFmtId="4" fontId="57" fillId="0" borderId="15" xfId="0" applyNumberFormat="1" applyFont="1" applyBorder="1" applyAlignment="1">
      <alignment horizontal="right" vertical="center" indent="1"/>
    </xf>
    <xf numFmtId="0" fontId="45" fillId="0" borderId="0" xfId="10" applyFont="1"/>
    <xf numFmtId="0" fontId="43" fillId="0" borderId="0" xfId="10" applyFont="1"/>
    <xf numFmtId="165" fontId="43" fillId="0" borderId="0" xfId="10" applyNumberFormat="1" applyFont="1"/>
    <xf numFmtId="43" fontId="9" fillId="0" borderId="0" xfId="0" applyNumberFormat="1" applyFont="1"/>
    <xf numFmtId="43" fontId="9" fillId="0" borderId="0" xfId="1" applyNumberFormat="1" applyFont="1" applyFill="1" applyBorder="1"/>
    <xf numFmtId="43" fontId="7" fillId="0" borderId="0" xfId="1" applyNumberFormat="1" applyFont="1" applyFill="1"/>
    <xf numFmtId="10" fontId="38" fillId="0" borderId="15" xfId="0" applyNumberFormat="1" applyFont="1" applyBorder="1" applyAlignment="1">
      <alignment horizontal="right" vertical="center" indent="1"/>
    </xf>
    <xf numFmtId="4" fontId="57" fillId="10" borderId="15" xfId="0" applyNumberFormat="1" applyFont="1" applyFill="1" applyBorder="1" applyAlignment="1">
      <alignment horizontal="right" vertical="center" indent="1"/>
    </xf>
    <xf numFmtId="0" fontId="9" fillId="0" borderId="0" xfId="0" applyFont="1" applyAlignment="1">
      <alignment horizontal="right"/>
    </xf>
    <xf numFmtId="164" fontId="7" fillId="0" borderId="0" xfId="1" applyFont="1" applyFill="1" applyBorder="1"/>
    <xf numFmtId="10" fontId="7" fillId="0" borderId="0" xfId="2" applyNumberFormat="1" applyFont="1" applyFill="1" applyBorder="1"/>
    <xf numFmtId="0" fontId="9" fillId="0" borderId="0" xfId="3" applyFont="1" applyFill="1" applyBorder="1" applyAlignment="1">
      <alignment horizontal="center"/>
    </xf>
    <xf numFmtId="0" fontId="10" fillId="0" borderId="0" xfId="0" applyFont="1"/>
    <xf numFmtId="2" fontId="10" fillId="0" borderId="0" xfId="0" applyNumberFormat="1" applyFont="1"/>
    <xf numFmtId="0" fontId="9" fillId="0" borderId="0" xfId="3" applyFont="1" applyFill="1" applyBorder="1" applyAlignment="1">
      <alignment horizontal="right"/>
    </xf>
    <xf numFmtId="176" fontId="7" fillId="0" borderId="0" xfId="0" applyNumberFormat="1" applyFont="1"/>
    <xf numFmtId="176" fontId="7" fillId="0" borderId="0" xfId="2" applyNumberFormat="1" applyFont="1" applyFill="1" applyBorder="1"/>
    <xf numFmtId="176" fontId="10" fillId="0" borderId="0" xfId="0" applyNumberFormat="1" applyFont="1"/>
    <xf numFmtId="177" fontId="10" fillId="0" borderId="0" xfId="0" applyNumberFormat="1" applyFont="1"/>
    <xf numFmtId="178" fontId="60" fillId="0" borderId="0" xfId="12" applyNumberFormat="1" applyFont="1" applyAlignment="1">
      <alignment vertical="center"/>
    </xf>
    <xf numFmtId="0" fontId="28" fillId="0" borderId="0" xfId="0" applyFont="1" applyAlignment="1">
      <alignment horizontal="left"/>
    </xf>
    <xf numFmtId="0" fontId="28" fillId="0" borderId="0" xfId="0" applyFont="1" applyAlignment="1">
      <alignment horizontal="center"/>
    </xf>
    <xf numFmtId="178" fontId="7" fillId="0" borderId="0" xfId="0" applyNumberFormat="1" applyFont="1"/>
    <xf numFmtId="179" fontId="7" fillId="0" borderId="0" xfId="0" applyNumberFormat="1" applyFont="1"/>
    <xf numFmtId="0" fontId="14" fillId="0" borderId="0" xfId="0" applyFont="1" applyAlignment="1">
      <alignment horizontal="right"/>
    </xf>
    <xf numFmtId="0" fontId="14" fillId="0" borderId="0" xfId="0" applyFont="1" applyAlignment="1">
      <alignment horizontal="center"/>
    </xf>
    <xf numFmtId="0" fontId="14" fillId="0" borderId="0" xfId="3" applyFont="1" applyFill="1" applyBorder="1" applyAlignment="1">
      <alignment horizontal="right"/>
    </xf>
    <xf numFmtId="0" fontId="14" fillId="0" borderId="0" xfId="3" applyFont="1" applyFill="1" applyBorder="1" applyAlignment="1">
      <alignment horizontal="center"/>
    </xf>
    <xf numFmtId="174" fontId="39" fillId="0" borderId="0" xfId="0" applyNumberFormat="1" applyFont="1" applyAlignment="1">
      <alignment horizontal="left" vertical="center" indent="1"/>
    </xf>
    <xf numFmtId="10" fontId="38" fillId="0" borderId="0" xfId="0" applyNumberFormat="1" applyFont="1" applyAlignment="1">
      <alignment horizontal="right" vertical="center" indent="1"/>
    </xf>
    <xf numFmtId="0" fontId="43" fillId="0" borderId="16" xfId="12" applyFont="1" applyBorder="1" applyAlignment="1">
      <alignment horizontal="center" vertical="center" wrapText="1"/>
    </xf>
    <xf numFmtId="0" fontId="43" fillId="0" borderId="13" xfId="12" applyFont="1" applyBorder="1" applyAlignment="1">
      <alignment horizontal="center" vertical="center"/>
    </xf>
    <xf numFmtId="0" fontId="43" fillId="0" borderId="9" xfId="12" applyFont="1" applyBorder="1" applyAlignment="1">
      <alignment horizontal="center" vertical="center" wrapText="1"/>
    </xf>
    <xf numFmtId="0" fontId="43" fillId="0" borderId="13" xfId="12" applyFont="1" applyBorder="1" applyAlignment="1">
      <alignment horizontal="center" vertical="center" wrapText="1"/>
    </xf>
    <xf numFmtId="0" fontId="27" fillId="11" borderId="16" xfId="0" applyFont="1" applyFill="1" applyBorder="1"/>
    <xf numFmtId="0" fontId="27" fillId="11" borderId="16" xfId="0" applyFont="1" applyFill="1" applyBorder="1" applyAlignment="1">
      <alignment vertical="center"/>
    </xf>
    <xf numFmtId="0" fontId="27" fillId="11" borderId="0" xfId="0" applyFont="1" applyFill="1" applyAlignment="1">
      <alignment horizontal="center"/>
    </xf>
    <xf numFmtId="0" fontId="62" fillId="11" borderId="0" xfId="10" applyFont="1" applyFill="1" applyAlignment="1">
      <alignment horizontal="center" wrapText="1"/>
    </xf>
    <xf numFmtId="0" fontId="28" fillId="11" borderId="0" xfId="0" applyFont="1" applyFill="1" applyAlignment="1">
      <alignment horizontal="center"/>
    </xf>
    <xf numFmtId="0" fontId="29" fillId="11" borderId="15" xfId="0" applyFont="1" applyFill="1" applyBorder="1" applyAlignment="1">
      <alignment horizontal="left" vertical="center" indent="1"/>
    </xf>
    <xf numFmtId="0" fontId="29" fillId="11" borderId="15" xfId="0" applyFont="1" applyFill="1" applyBorder="1" applyAlignment="1">
      <alignment horizontal="center" vertical="center"/>
    </xf>
    <xf numFmtId="14" fontId="36" fillId="11" borderId="0" xfId="0" applyNumberFormat="1" applyFont="1" applyFill="1" applyAlignment="1">
      <alignment horizontal="center"/>
    </xf>
    <xf numFmtId="0" fontId="36" fillId="11" borderId="0" xfId="0" applyFont="1" applyFill="1" applyAlignment="1">
      <alignment horizontal="center"/>
    </xf>
    <xf numFmtId="0" fontId="28" fillId="11" borderId="0" xfId="0" applyFont="1" applyFill="1" applyAlignment="1">
      <alignment horizontal="center" wrapText="1"/>
    </xf>
    <xf numFmtId="0" fontId="28" fillId="11" borderId="0" xfId="0" applyFont="1" applyFill="1" applyAlignment="1">
      <alignment horizontal="left"/>
    </xf>
    <xf numFmtId="178" fontId="59" fillId="11" borderId="0" xfId="12" applyNumberFormat="1" applyFont="1" applyFill="1" applyAlignment="1">
      <alignment vertical="center"/>
    </xf>
    <xf numFmtId="0" fontId="28" fillId="11" borderId="0" xfId="0" applyFont="1" applyFill="1" applyAlignment="1">
      <alignment horizontal="right"/>
    </xf>
    <xf numFmtId="0" fontId="7" fillId="12" borderId="0" xfId="0" applyFont="1" applyFill="1" applyAlignment="1">
      <alignment horizontal="center"/>
    </xf>
    <xf numFmtId="0" fontId="63" fillId="0" borderId="0" xfId="0" applyFont="1"/>
    <xf numFmtId="0" fontId="64" fillId="0" borderId="0" xfId="0" applyFont="1"/>
    <xf numFmtId="0" fontId="18" fillId="0" borderId="0" xfId="0" applyFont="1"/>
    <xf numFmtId="165" fontId="10" fillId="0" borderId="0" xfId="2" applyNumberFormat="1" applyFont="1" applyAlignment="1">
      <alignment vertical="center"/>
    </xf>
    <xf numFmtId="165" fontId="7" fillId="0" borderId="0" xfId="0" applyNumberFormat="1" applyFont="1"/>
    <xf numFmtId="0" fontId="65" fillId="0" borderId="0" xfId="0" applyFont="1" applyAlignment="1">
      <alignment horizontal="center"/>
    </xf>
    <xf numFmtId="164" fontId="15" fillId="0" borderId="0" xfId="1" applyFont="1" applyBorder="1"/>
    <xf numFmtId="164" fontId="66" fillId="0" borderId="0" xfId="1" applyFont="1" applyBorder="1" applyAlignment="1">
      <alignment horizontal="center" vertical="center"/>
    </xf>
    <xf numFmtId="164" fontId="66" fillId="0" borderId="0" xfId="1" applyFont="1" applyBorder="1" applyAlignment="1">
      <alignment horizontal="right" vertical="center"/>
    </xf>
    <xf numFmtId="0" fontId="9" fillId="0" borderId="6" xfId="0" applyFont="1" applyBorder="1" applyAlignment="1">
      <alignment horizontal="left" vertical="center" wrapText="1"/>
    </xf>
    <xf numFmtId="0" fontId="67" fillId="0" borderId="0" xfId="0" applyFont="1"/>
    <xf numFmtId="0" fontId="62" fillId="11" borderId="0" xfId="10" applyFont="1" applyFill="1" applyAlignment="1">
      <alignment horizontal="center"/>
    </xf>
    <xf numFmtId="164" fontId="10" fillId="0" borderId="0" xfId="1" applyFont="1" applyBorder="1"/>
    <xf numFmtId="0" fontId="60" fillId="0" borderId="0" xfId="10" applyFont="1"/>
    <xf numFmtId="0" fontId="69" fillId="0" borderId="0" xfId="10" applyFont="1" applyAlignment="1">
      <alignment horizontal="left"/>
    </xf>
    <xf numFmtId="6" fontId="70" fillId="0" borderId="0" xfId="12" applyNumberFormat="1" applyFont="1" applyAlignment="1">
      <alignment vertical="center"/>
    </xf>
    <xf numFmtId="180" fontId="46" fillId="0" borderId="0" xfId="10" applyNumberFormat="1" applyFont="1"/>
    <xf numFmtId="165" fontId="70" fillId="0" borderId="0" xfId="12" applyNumberFormat="1" applyFont="1" applyAlignment="1">
      <alignment vertical="center"/>
    </xf>
    <xf numFmtId="0" fontId="71" fillId="8" borderId="0" xfId="10" applyFont="1" applyFill="1" applyAlignment="1">
      <alignment horizontal="left" vertical="center" wrapText="1"/>
    </xf>
    <xf numFmtId="0" fontId="60" fillId="8" borderId="0" xfId="10" applyFont="1" applyFill="1"/>
    <xf numFmtId="0" fontId="69" fillId="8" borderId="0" xfId="10" applyFont="1" applyFill="1" applyAlignment="1">
      <alignment horizontal="left" vertical="center" wrapText="1"/>
    </xf>
    <xf numFmtId="6" fontId="70" fillId="8" borderId="0" xfId="12" applyNumberFormat="1" applyFont="1" applyFill="1" applyAlignment="1">
      <alignment vertical="center"/>
    </xf>
    <xf numFmtId="0" fontId="50" fillId="0" borderId="0" xfId="10" applyFont="1"/>
    <xf numFmtId="0" fontId="50" fillId="0" borderId="0" xfId="10" applyFont="1" applyAlignment="1">
      <alignment horizontal="left"/>
    </xf>
    <xf numFmtId="0" fontId="50" fillId="0" borderId="0" xfId="10" applyFont="1" applyAlignment="1">
      <alignment horizontal="right"/>
    </xf>
    <xf numFmtId="10" fontId="50" fillId="0" borderId="0" xfId="10" applyNumberFormat="1" applyFont="1"/>
    <xf numFmtId="0" fontId="43" fillId="0" borderId="0" xfId="10" applyFont="1" applyAlignment="1">
      <alignment horizontal="right"/>
    </xf>
    <xf numFmtId="0" fontId="43" fillId="0" borderId="0" xfId="10" applyFont="1" applyAlignment="1">
      <alignment horizontal="left"/>
    </xf>
    <xf numFmtId="0" fontId="43" fillId="0" borderId="0" xfId="10" applyFont="1" applyAlignment="1">
      <alignment horizontal="center"/>
    </xf>
    <xf numFmtId="181" fontId="43" fillId="0" borderId="0" xfId="10" applyNumberFormat="1" applyFont="1" applyAlignment="1">
      <alignment horizontal="right"/>
    </xf>
    <xf numFmtId="181" fontId="43" fillId="0" borderId="0" xfId="10" applyNumberFormat="1" applyFont="1"/>
    <xf numFmtId="0" fontId="47" fillId="0" borderId="0" xfId="10" applyFont="1"/>
    <xf numFmtId="0" fontId="47" fillId="0" borderId="0" xfId="10" applyFont="1" applyAlignment="1">
      <alignment horizontal="center"/>
    </xf>
    <xf numFmtId="0" fontId="49" fillId="0" borderId="0" xfId="10" applyFont="1"/>
    <xf numFmtId="0" fontId="49" fillId="0" borderId="0" xfId="10" applyFont="1" applyAlignment="1">
      <alignment horizontal="left"/>
    </xf>
    <xf numFmtId="0" fontId="49" fillId="0" borderId="0" xfId="10" applyFont="1" applyAlignment="1">
      <alignment horizontal="right"/>
    </xf>
    <xf numFmtId="0" fontId="49" fillId="0" borderId="0" xfId="10" applyFont="1" applyAlignment="1">
      <alignment horizontal="center"/>
    </xf>
    <xf numFmtId="0" fontId="72" fillId="0" borderId="0" xfId="10" applyFont="1" applyAlignment="1">
      <alignment horizontal="left"/>
    </xf>
    <xf numFmtId="0" fontId="72" fillId="0" borderId="0" xfId="10" applyFont="1"/>
    <xf numFmtId="6" fontId="72" fillId="0" borderId="0" xfId="12" applyNumberFormat="1" applyFont="1" applyAlignment="1">
      <alignment vertical="center"/>
    </xf>
    <xf numFmtId="180" fontId="47" fillId="0" borderId="0" xfId="10" applyNumberFormat="1" applyFont="1"/>
    <xf numFmtId="165" fontId="72" fillId="0" borderId="0" xfId="12" applyNumberFormat="1" applyFont="1" applyAlignment="1">
      <alignment vertical="center"/>
    </xf>
    <xf numFmtId="0" fontId="72" fillId="0" borderId="0" xfId="10" applyFont="1" applyAlignment="1">
      <alignment horizontal="left" vertical="center" wrapText="1"/>
    </xf>
    <xf numFmtId="180" fontId="72" fillId="0" borderId="0" xfId="12" applyNumberFormat="1" applyFont="1" applyAlignment="1">
      <alignment vertical="center"/>
    </xf>
    <xf numFmtId="0" fontId="62" fillId="11" borderId="0" xfId="10" applyFont="1" applyFill="1"/>
    <xf numFmtId="0" fontId="61" fillId="11" borderId="0" xfId="10" applyFont="1" applyFill="1"/>
    <xf numFmtId="0" fontId="62" fillId="11" borderId="0" xfId="10" applyFont="1" applyFill="1" applyAlignment="1">
      <alignment horizontal="left"/>
    </xf>
    <xf numFmtId="0" fontId="62" fillId="11" borderId="0" xfId="10" applyFont="1" applyFill="1" applyAlignment="1">
      <alignment horizontal="right"/>
    </xf>
    <xf numFmtId="0" fontId="68" fillId="0" borderId="0" xfId="10" applyFont="1"/>
    <xf numFmtId="0" fontId="59" fillId="0" borderId="0" xfId="10" applyFont="1"/>
    <xf numFmtId="180" fontId="73" fillId="8" borderId="0" xfId="12" applyNumberFormat="1" applyFont="1" applyFill="1" applyAlignment="1">
      <alignment vertical="center"/>
    </xf>
    <xf numFmtId="165" fontId="69" fillId="8" borderId="0" xfId="12" applyNumberFormat="1" applyFont="1" applyFill="1" applyAlignment="1">
      <alignment vertical="center"/>
    </xf>
    <xf numFmtId="9" fontId="42" fillId="0" borderId="0" xfId="2" applyFont="1"/>
    <xf numFmtId="9" fontId="45" fillId="0" borderId="0" xfId="2" applyFont="1"/>
    <xf numFmtId="1" fontId="44" fillId="0" borderId="0" xfId="0" applyNumberFormat="1" applyFont="1"/>
    <xf numFmtId="1" fontId="41" fillId="0" borderId="0" xfId="0" applyNumberFormat="1" applyFont="1"/>
    <xf numFmtId="181" fontId="42" fillId="0" borderId="0" xfId="0" applyNumberFormat="1" applyFont="1"/>
    <xf numFmtId="181" fontId="43" fillId="0" borderId="0" xfId="0" applyNumberFormat="1" applyFont="1"/>
    <xf numFmtId="2" fontId="74" fillId="0" borderId="0" xfId="0" applyNumberFormat="1" applyFont="1"/>
    <xf numFmtId="2" fontId="0" fillId="0" borderId="0" xfId="0" applyNumberFormat="1"/>
    <xf numFmtId="43" fontId="0" fillId="0" borderId="0" xfId="0" applyNumberFormat="1"/>
    <xf numFmtId="43" fontId="44" fillId="0" borderId="0" xfId="0" applyNumberFormat="1" applyFont="1"/>
    <xf numFmtId="43" fontId="42" fillId="0" borderId="0" xfId="0" applyNumberFormat="1" applyFont="1"/>
    <xf numFmtId="164" fontId="7" fillId="0" borderId="0" xfId="1" applyFont="1" applyFill="1"/>
    <xf numFmtId="10" fontId="7" fillId="0" borderId="0" xfId="2" applyNumberFormat="1" applyFont="1" applyFill="1"/>
    <xf numFmtId="9" fontId="7" fillId="0" borderId="0" xfId="2" applyFont="1" applyFill="1"/>
    <xf numFmtId="0" fontId="9" fillId="0" borderId="21" xfId="0" applyFont="1" applyBorder="1"/>
    <xf numFmtId="10" fontId="7" fillId="0" borderId="21" xfId="2" applyNumberFormat="1" applyFont="1" applyFill="1" applyBorder="1"/>
    <xf numFmtId="10" fontId="7" fillId="0" borderId="21" xfId="0" applyNumberFormat="1" applyFont="1" applyBorder="1"/>
    <xf numFmtId="10" fontId="7" fillId="0" borderId="0" xfId="2" applyNumberFormat="1" applyFont="1" applyFill="1" applyAlignment="1"/>
    <xf numFmtId="10" fontId="7" fillId="0" borderId="0" xfId="1" applyNumberFormat="1" applyFont="1" applyFill="1"/>
    <xf numFmtId="164" fontId="9" fillId="0" borderId="0" xfId="1" applyFont="1" applyAlignment="1">
      <alignment horizontal="right"/>
    </xf>
    <xf numFmtId="9" fontId="7" fillId="0" borderId="21" xfId="2" applyFont="1" applyFill="1" applyBorder="1"/>
    <xf numFmtId="164" fontId="7" fillId="0" borderId="0" xfId="3" applyNumberFormat="1" applyFont="1" applyFill="1" applyBorder="1"/>
    <xf numFmtId="164" fontId="9" fillId="0" borderId="11" xfId="1" applyFont="1" applyBorder="1"/>
    <xf numFmtId="0" fontId="77" fillId="0" borderId="0" xfId="0" applyFont="1"/>
    <xf numFmtId="164" fontId="7" fillId="0" borderId="0" xfId="1" applyFont="1" applyBorder="1" applyAlignment="1">
      <alignment horizontal="center" vertical="center"/>
    </xf>
    <xf numFmtId="0" fontId="9" fillId="0" borderId="11" xfId="0" applyFont="1" applyBorder="1" applyAlignment="1">
      <alignment horizontal="center" vertical="center"/>
    </xf>
    <xf numFmtId="0" fontId="7" fillId="0" borderId="17" xfId="0" applyFont="1" applyBorder="1" applyAlignment="1">
      <alignment horizontal="center" vertical="center"/>
    </xf>
    <xf numFmtId="0" fontId="7" fillId="0" borderId="19" xfId="0" applyFont="1" applyBorder="1" applyAlignment="1">
      <alignment horizontal="center" vertical="center"/>
    </xf>
    <xf numFmtId="0" fontId="7" fillId="0" borderId="18" xfId="0" applyFont="1" applyBorder="1" applyAlignment="1">
      <alignment horizontal="center" vertical="center"/>
    </xf>
    <xf numFmtId="0" fontId="14" fillId="0" borderId="0" xfId="0" applyFont="1"/>
    <xf numFmtId="2" fontId="7" fillId="0" borderId="0" xfId="0" applyNumberFormat="1" applyFont="1" applyAlignment="1">
      <alignment horizontal="center" vertical="center"/>
    </xf>
    <xf numFmtId="2" fontId="9" fillId="0" borderId="0" xfId="0" applyNumberFormat="1" applyFont="1" applyAlignment="1">
      <alignment horizontal="center" vertical="center"/>
    </xf>
    <xf numFmtId="2" fontId="7" fillId="0" borderId="20" xfId="1" applyNumberFormat="1" applyFont="1" applyBorder="1" applyAlignment="1"/>
    <xf numFmtId="2" fontId="7" fillId="0" borderId="2" xfId="1" applyNumberFormat="1" applyFont="1" applyBorder="1" applyAlignment="1"/>
    <xf numFmtId="2" fontId="7" fillId="0" borderId="2" xfId="0" applyNumberFormat="1" applyFont="1" applyBorder="1"/>
    <xf numFmtId="2" fontId="7" fillId="0" borderId="9" xfId="0" applyNumberFormat="1" applyFont="1" applyBorder="1"/>
    <xf numFmtId="2" fontId="7" fillId="0" borderId="21" xfId="1" applyNumberFormat="1" applyFont="1" applyBorder="1" applyAlignment="1"/>
    <xf numFmtId="2" fontId="7" fillId="0" borderId="0" xfId="1" applyNumberFormat="1" applyFont="1" applyBorder="1" applyAlignment="1"/>
    <xf numFmtId="2" fontId="7" fillId="0" borderId="6" xfId="0" applyNumberFormat="1" applyFont="1" applyBorder="1"/>
    <xf numFmtId="2" fontId="7" fillId="0" borderId="22" xfId="1" applyNumberFormat="1" applyFont="1" applyBorder="1" applyAlignment="1"/>
    <xf numFmtId="2" fontId="7" fillId="0" borderId="3" xfId="1" applyNumberFormat="1" applyFont="1" applyBorder="1" applyAlignment="1"/>
    <xf numFmtId="2" fontId="7" fillId="0" borderId="3" xfId="0" applyNumberFormat="1" applyFont="1" applyBorder="1"/>
    <xf numFmtId="2" fontId="7" fillId="0" borderId="10" xfId="0" applyNumberFormat="1" applyFont="1" applyBorder="1"/>
    <xf numFmtId="0" fontId="43" fillId="0" borderId="18" xfId="12" applyFont="1" applyBorder="1" applyAlignment="1">
      <alignment horizontal="center" vertical="center"/>
    </xf>
    <xf numFmtId="0" fontId="7" fillId="0" borderId="20" xfId="0" applyFont="1" applyBorder="1"/>
    <xf numFmtId="0" fontId="7" fillId="0" borderId="2" xfId="0" applyFont="1" applyBorder="1" applyAlignment="1">
      <alignment horizontal="center"/>
    </xf>
    <xf numFmtId="10" fontId="7" fillId="0" borderId="9" xfId="0" applyNumberFormat="1" applyFont="1" applyBorder="1"/>
    <xf numFmtId="2" fontId="79" fillId="0" borderId="0" xfId="0" applyNumberFormat="1" applyFont="1"/>
    <xf numFmtId="0" fontId="80" fillId="0" borderId="0" xfId="0" applyFont="1"/>
    <xf numFmtId="0" fontId="81" fillId="0" borderId="0" xfId="1" applyNumberFormat="1" applyFont="1"/>
    <xf numFmtId="17" fontId="7" fillId="0" borderId="0" xfId="0" applyNumberFormat="1" applyFont="1"/>
    <xf numFmtId="0" fontId="82" fillId="0" borderId="0" xfId="0" applyFont="1" applyAlignment="1">
      <alignment horizontal="left" vertical="center" wrapText="1"/>
    </xf>
    <xf numFmtId="17" fontId="83" fillId="0" borderId="0" xfId="0" applyNumberFormat="1" applyFont="1" applyAlignment="1">
      <alignment horizontal="center" vertical="center" wrapText="1"/>
    </xf>
    <xf numFmtId="0" fontId="1" fillId="0" borderId="0" xfId="0" applyFont="1" applyAlignment="1">
      <alignment horizontal="left" vertical="center" wrapText="1"/>
    </xf>
    <xf numFmtId="17" fontId="83" fillId="0" borderId="0" xfId="0" applyNumberFormat="1" applyFont="1" applyAlignment="1">
      <alignment horizontal="right" vertical="center" wrapText="1"/>
    </xf>
    <xf numFmtId="0" fontId="85" fillId="0" borderId="0" xfId="0" applyFont="1" applyAlignment="1">
      <alignment horizontal="center" vertical="center" wrapText="1"/>
    </xf>
    <xf numFmtId="0" fontId="84" fillId="0" borderId="0" xfId="0" applyFont="1" applyAlignment="1">
      <alignment horizontal="center" vertical="center" wrapText="1"/>
    </xf>
    <xf numFmtId="4" fontId="84" fillId="0" borderId="0" xfId="0" applyNumberFormat="1" applyFont="1" applyAlignment="1">
      <alignment horizontal="center" vertical="center" wrapText="1"/>
    </xf>
    <xf numFmtId="0" fontId="87" fillId="0" borderId="0" xfId="0" applyFont="1" applyAlignment="1">
      <alignment horizontal="right" vertical="center" wrapText="1"/>
    </xf>
    <xf numFmtId="10" fontId="88" fillId="0" borderId="0" xfId="0" applyNumberFormat="1" applyFont="1" applyAlignment="1">
      <alignment horizontal="right" vertical="center" wrapText="1"/>
    </xf>
    <xf numFmtId="0" fontId="89" fillId="0" borderId="0" xfId="0" applyFont="1" applyAlignment="1">
      <alignment horizontal="left" vertical="center" wrapText="1"/>
    </xf>
    <xf numFmtId="0" fontId="88" fillId="0" borderId="0" xfId="0" applyFont="1" applyAlignment="1">
      <alignment horizontal="right" vertical="center" wrapText="1"/>
    </xf>
    <xf numFmtId="0" fontId="86" fillId="0" borderId="0" xfId="0" applyFont="1" applyAlignment="1">
      <alignment horizontal="left" vertical="center" wrapText="1"/>
    </xf>
    <xf numFmtId="17" fontId="48" fillId="0" borderId="0" xfId="0" applyNumberFormat="1" applyFont="1" applyAlignment="1">
      <alignment horizontal="right" vertical="center" wrapText="1"/>
    </xf>
    <xf numFmtId="0" fontId="0" fillId="0" borderId="0" xfId="0" applyAlignment="1">
      <alignment horizontal="left" vertical="center" wrapText="1"/>
    </xf>
    <xf numFmtId="0" fontId="75" fillId="0" borderId="0" xfId="0" applyFont="1" applyAlignment="1">
      <alignment horizontal="left" vertical="center" wrapText="1"/>
    </xf>
    <xf numFmtId="0" fontId="35" fillId="0" borderId="0" xfId="0" applyFont="1" applyAlignment="1">
      <alignment horizontal="left" vertical="center" wrapText="1"/>
    </xf>
    <xf numFmtId="2" fontId="87" fillId="0" borderId="0" xfId="0" applyNumberFormat="1" applyFont="1" applyAlignment="1">
      <alignment horizontal="right" vertical="center" wrapText="1"/>
    </xf>
    <xf numFmtId="2" fontId="88" fillId="0" borderId="0" xfId="0" applyNumberFormat="1" applyFont="1" applyAlignment="1">
      <alignment horizontal="right" vertical="center" wrapText="1"/>
    </xf>
    <xf numFmtId="175" fontId="61" fillId="13" borderId="24" xfId="10" applyNumberFormat="1" applyFont="1" applyFill="1" applyBorder="1"/>
    <xf numFmtId="165" fontId="61" fillId="13" borderId="24" xfId="2" applyNumberFormat="1" applyFont="1" applyFill="1" applyBorder="1"/>
    <xf numFmtId="9" fontId="22" fillId="0" borderId="0" xfId="2" applyFont="1"/>
    <xf numFmtId="0" fontId="11" fillId="0" borderId="21" xfId="0" applyFont="1" applyBorder="1" applyAlignment="1">
      <alignment horizontal="right" vertical="center" wrapText="1"/>
    </xf>
    <xf numFmtId="0" fontId="11" fillId="0" borderId="0" xfId="0" applyFont="1" applyAlignment="1">
      <alignment horizontal="right" vertical="center" wrapText="1"/>
    </xf>
    <xf numFmtId="165" fontId="8" fillId="0" borderId="0" xfId="2" applyNumberFormat="1" applyFont="1" applyFill="1"/>
    <xf numFmtId="0" fontId="11" fillId="6" borderId="0" xfId="1" applyNumberFormat="1" applyFont="1" applyFill="1"/>
    <xf numFmtId="164" fontId="9" fillId="6" borderId="0" xfId="3" applyNumberFormat="1" applyFont="1" applyFill="1"/>
    <xf numFmtId="165" fontId="9" fillId="6" borderId="0" xfId="2" applyNumberFormat="1" applyFont="1" applyFill="1"/>
    <xf numFmtId="0" fontId="43" fillId="0" borderId="16" xfId="12" applyFont="1" applyBorder="1" applyAlignment="1">
      <alignment horizontal="center" vertical="center"/>
    </xf>
    <xf numFmtId="0" fontId="7" fillId="0" borderId="16" xfId="0" applyFont="1" applyBorder="1" applyAlignment="1">
      <alignment vertical="center"/>
    </xf>
    <xf numFmtId="0" fontId="9" fillId="0" borderId="16" xfId="0" applyFont="1" applyBorder="1" applyAlignment="1">
      <alignment vertical="center"/>
    </xf>
    <xf numFmtId="164" fontId="9" fillId="0" borderId="1" xfId="2" applyNumberFormat="1" applyFont="1" applyBorder="1"/>
    <xf numFmtId="0" fontId="75" fillId="0" borderId="0" xfId="0" applyFont="1"/>
    <xf numFmtId="0" fontId="90" fillId="0" borderId="0" xfId="0" applyFont="1"/>
    <xf numFmtId="164" fontId="9" fillId="0" borderId="0" xfId="1" applyFont="1" applyBorder="1"/>
    <xf numFmtId="164" fontId="81" fillId="0" borderId="0" xfId="1" applyFont="1"/>
    <xf numFmtId="164" fontId="10" fillId="0" borderId="0" xfId="1" applyFont="1" applyFill="1"/>
    <xf numFmtId="164" fontId="64" fillId="0" borderId="0" xfId="0" applyNumberFormat="1" applyFont="1"/>
    <xf numFmtId="0" fontId="43" fillId="0" borderId="17" xfId="12" applyFont="1" applyBorder="1" applyAlignment="1">
      <alignment horizontal="center" vertical="center" wrapText="1"/>
    </xf>
    <xf numFmtId="2" fontId="69" fillId="8" borderId="0" xfId="12" applyNumberFormat="1" applyFont="1" applyFill="1" applyAlignment="1">
      <alignment vertical="center"/>
    </xf>
    <xf numFmtId="1" fontId="10" fillId="0" borderId="0" xfId="0" applyNumberFormat="1" applyFont="1"/>
    <xf numFmtId="177" fontId="91" fillId="0" borderId="0" xfId="0" applyNumberFormat="1" applyFont="1"/>
    <xf numFmtId="177" fontId="69" fillId="8" borderId="0" xfId="12" applyNumberFormat="1" applyFont="1" applyFill="1" applyAlignment="1">
      <alignment vertical="center"/>
    </xf>
    <xf numFmtId="1" fontId="69" fillId="8" borderId="0" xfId="12" applyNumberFormat="1" applyFont="1" applyFill="1" applyAlignment="1">
      <alignment vertical="center"/>
    </xf>
    <xf numFmtId="1" fontId="73" fillId="8" borderId="0" xfId="12" applyNumberFormat="1" applyFont="1" applyFill="1" applyAlignment="1">
      <alignment vertical="center"/>
    </xf>
    <xf numFmtId="165" fontId="9" fillId="0" borderId="1" xfId="0" applyNumberFormat="1" applyFont="1" applyBorder="1"/>
    <xf numFmtId="4" fontId="38" fillId="0" borderId="15" xfId="0" applyNumberFormat="1" applyFont="1" applyBorder="1" applyAlignment="1">
      <alignment horizontal="right" vertical="center" indent="1"/>
    </xf>
    <xf numFmtId="4" fontId="38" fillId="0" borderId="0" xfId="0" applyNumberFormat="1" applyFont="1" applyAlignment="1">
      <alignment horizontal="right" vertical="center" indent="1"/>
    </xf>
    <xf numFmtId="2" fontId="7" fillId="0" borderId="0" xfId="0" applyNumberFormat="1" applyFont="1" applyAlignment="1">
      <alignment horizontal="center" vertical="center"/>
    </xf>
    <xf numFmtId="2" fontId="7" fillId="0" borderId="3" xfId="0" applyNumberFormat="1" applyFont="1" applyBorder="1" applyAlignment="1">
      <alignment horizontal="center" vertical="center"/>
    </xf>
    <xf numFmtId="2" fontId="7" fillId="0" borderId="21" xfId="1" applyNumberFormat="1" applyFont="1" applyBorder="1" applyAlignment="1">
      <alignment horizontal="center"/>
    </xf>
    <xf numFmtId="2" fontId="7" fillId="0" borderId="0" xfId="1" applyNumberFormat="1" applyFont="1" applyBorder="1" applyAlignment="1">
      <alignment horizontal="center"/>
    </xf>
    <xf numFmtId="2" fontId="7" fillId="0" borderId="22" xfId="1" applyNumberFormat="1" applyFont="1" applyBorder="1" applyAlignment="1">
      <alignment horizontal="center"/>
    </xf>
    <xf numFmtId="2" fontId="7" fillId="0" borderId="3" xfId="1" applyNumberFormat="1" applyFont="1" applyBorder="1" applyAlignment="1">
      <alignment horizontal="center"/>
    </xf>
    <xf numFmtId="0" fontId="62" fillId="11" borderId="0" xfId="10" applyFont="1" applyFill="1" applyAlignment="1">
      <alignment horizontal="center"/>
    </xf>
    <xf numFmtId="0" fontId="43" fillId="0" borderId="11" xfId="12" applyFont="1" applyBorder="1" applyAlignment="1">
      <alignment horizontal="left" vertical="center" wrapText="1"/>
    </xf>
    <xf numFmtId="0" fontId="43" fillId="0" borderId="1" xfId="12" applyFont="1" applyBorder="1" applyAlignment="1">
      <alignment horizontal="left" vertical="center" wrapText="1"/>
    </xf>
    <xf numFmtId="0" fontId="43" fillId="0" borderId="13" xfId="12" applyFont="1" applyBorder="1" applyAlignment="1">
      <alignment horizontal="left" vertical="center" wrapText="1"/>
    </xf>
    <xf numFmtId="0" fontId="47" fillId="0" borderId="11" xfId="12" applyFont="1" applyBorder="1" applyAlignment="1">
      <alignment horizontal="left" vertical="center" wrapText="1"/>
    </xf>
    <xf numFmtId="0" fontId="47" fillId="0" borderId="1" xfId="12" applyFont="1" applyBorder="1" applyAlignment="1">
      <alignment horizontal="left" vertical="center" wrapText="1"/>
    </xf>
    <xf numFmtId="0" fontId="47" fillId="0" borderId="13" xfId="12" applyFont="1" applyBorder="1" applyAlignment="1">
      <alignment horizontal="left" vertical="center" wrapText="1"/>
    </xf>
    <xf numFmtId="0" fontId="9" fillId="0" borderId="1" xfId="0" applyFont="1" applyBorder="1" applyAlignment="1">
      <alignment horizontal="center" vertical="center"/>
    </xf>
    <xf numFmtId="0" fontId="9" fillId="0" borderId="13" xfId="0" applyFont="1" applyBorder="1" applyAlignment="1">
      <alignment horizontal="center" vertical="center"/>
    </xf>
    <xf numFmtId="0" fontId="9" fillId="0" borderId="20" xfId="0" applyFont="1" applyBorder="1" applyAlignment="1">
      <alignment horizontal="center" vertical="center"/>
    </xf>
    <xf numFmtId="0" fontId="9" fillId="0" borderId="2" xfId="0" applyFont="1" applyBorder="1" applyAlignment="1">
      <alignment horizontal="center" vertical="center"/>
    </xf>
    <xf numFmtId="0" fontId="9" fillId="0" borderId="9" xfId="0" applyFont="1" applyBorder="1" applyAlignment="1">
      <alignment horizontal="center" vertical="center"/>
    </xf>
    <xf numFmtId="0" fontId="27" fillId="11" borderId="22" xfId="0" applyFont="1" applyFill="1" applyBorder="1" applyAlignment="1">
      <alignment horizontal="center"/>
    </xf>
    <xf numFmtId="0" fontId="27" fillId="11" borderId="3" xfId="0" applyFont="1" applyFill="1" applyBorder="1" applyAlignment="1">
      <alignment horizontal="center"/>
    </xf>
    <xf numFmtId="0" fontId="9" fillId="0" borderId="11" xfId="0" applyFont="1" applyBorder="1" applyAlignment="1">
      <alignment horizontal="center" vertical="center"/>
    </xf>
    <xf numFmtId="2" fontId="7" fillId="0" borderId="20" xfId="1" applyNumberFormat="1" applyFont="1" applyBorder="1" applyAlignment="1">
      <alignment horizontal="center" vertical="center"/>
    </xf>
    <xf numFmtId="2" fontId="7" fillId="0" borderId="2" xfId="1" applyNumberFormat="1" applyFont="1" applyBorder="1" applyAlignment="1">
      <alignment horizontal="center" vertical="center"/>
    </xf>
    <xf numFmtId="2" fontId="7" fillId="0" borderId="2" xfId="0" applyNumberFormat="1" applyFont="1" applyBorder="1" applyAlignment="1">
      <alignment horizontal="center" vertical="center"/>
    </xf>
    <xf numFmtId="2" fontId="7" fillId="0" borderId="9" xfId="0" applyNumberFormat="1" applyFont="1" applyBorder="1" applyAlignment="1">
      <alignment horizontal="center" vertical="center"/>
    </xf>
    <xf numFmtId="2" fontId="7" fillId="0" borderId="6" xfId="0" applyNumberFormat="1" applyFont="1" applyBorder="1" applyAlignment="1">
      <alignment horizontal="center" vertical="center"/>
    </xf>
    <xf numFmtId="2" fontId="7" fillId="0" borderId="10" xfId="0" applyNumberFormat="1" applyFont="1" applyBorder="1" applyAlignment="1">
      <alignment horizontal="center" vertical="center"/>
    </xf>
    <xf numFmtId="0" fontId="27" fillId="11" borderId="21" xfId="0" applyFont="1" applyFill="1" applyBorder="1" applyAlignment="1">
      <alignment horizontal="center"/>
    </xf>
    <xf numFmtId="0" fontId="27" fillId="11" borderId="0" xfId="0" applyFont="1" applyFill="1" applyAlignment="1">
      <alignment horizontal="center"/>
    </xf>
    <xf numFmtId="0" fontId="9" fillId="0" borderId="16" xfId="0" applyFont="1" applyBorder="1" applyAlignment="1">
      <alignment horizontal="left"/>
    </xf>
    <xf numFmtId="0" fontId="7" fillId="0" borderId="11" xfId="0" applyFont="1" applyBorder="1" applyAlignment="1">
      <alignment horizontal="left" wrapText="1"/>
    </xf>
    <xf numFmtId="0" fontId="7" fillId="0" borderId="1" xfId="0" applyFont="1" applyBorder="1" applyAlignment="1">
      <alignment horizontal="left" wrapText="1"/>
    </xf>
    <xf numFmtId="0" fontId="7" fillId="0" borderId="13" xfId="0" applyFont="1" applyBorder="1" applyAlignment="1">
      <alignment horizontal="left" wrapText="1"/>
    </xf>
    <xf numFmtId="1" fontId="9" fillId="0" borderId="11" xfId="0" applyNumberFormat="1" applyFont="1" applyBorder="1" applyAlignment="1">
      <alignment horizontal="center"/>
    </xf>
    <xf numFmtId="1" fontId="9" fillId="0" borderId="1" xfId="0" applyNumberFormat="1" applyFont="1" applyBorder="1" applyAlignment="1">
      <alignment horizontal="center"/>
    </xf>
    <xf numFmtId="1" fontId="9" fillId="0" borderId="13" xfId="0" applyNumberFormat="1" applyFont="1" applyBorder="1" applyAlignment="1">
      <alignment horizontal="center"/>
    </xf>
    <xf numFmtId="0" fontId="27" fillId="11" borderId="20" xfId="0" applyFont="1" applyFill="1" applyBorder="1" applyAlignment="1">
      <alignment horizontal="center"/>
    </xf>
    <xf numFmtId="0" fontId="27" fillId="11" borderId="2" xfId="0" applyFont="1" applyFill="1" applyBorder="1" applyAlignment="1">
      <alignment horizontal="center"/>
    </xf>
    <xf numFmtId="0" fontId="27" fillId="11" borderId="9" xfId="0" applyFont="1" applyFill="1" applyBorder="1" applyAlignment="1">
      <alignment horizontal="center"/>
    </xf>
    <xf numFmtId="0" fontId="27" fillId="11" borderId="16" xfId="0" applyFont="1" applyFill="1" applyBorder="1" applyAlignment="1">
      <alignment horizontal="center"/>
    </xf>
    <xf numFmtId="0" fontId="7" fillId="12" borderId="0" xfId="0" applyFont="1" applyFill="1" applyAlignment="1">
      <alignment horizontal="center"/>
    </xf>
    <xf numFmtId="0" fontId="7" fillId="0" borderId="16" xfId="0" applyFont="1" applyBorder="1" applyAlignment="1">
      <alignment horizontal="left"/>
    </xf>
    <xf numFmtId="0" fontId="21" fillId="0" borderId="16" xfId="5" applyBorder="1" applyAlignment="1">
      <alignment horizontal="left"/>
    </xf>
    <xf numFmtId="0" fontId="24" fillId="0" borderId="16" xfId="5" applyFont="1" applyBorder="1" applyAlignment="1">
      <alignment horizontal="left"/>
    </xf>
    <xf numFmtId="0" fontId="43" fillId="0" borderId="16" xfId="12" applyFont="1" applyBorder="1" applyAlignment="1">
      <alignment horizontal="left" vertical="center" wrapText="1"/>
    </xf>
    <xf numFmtId="0" fontId="43" fillId="0" borderId="17" xfId="12" applyFont="1" applyBorder="1" applyAlignment="1">
      <alignment horizontal="center" vertical="center" wrapText="1"/>
    </xf>
    <xf numFmtId="0" fontId="43" fillId="0" borderId="18" xfId="12" applyFont="1" applyBorder="1" applyAlignment="1">
      <alignment horizontal="center" vertical="center" wrapText="1"/>
    </xf>
    <xf numFmtId="0" fontId="43" fillId="0" borderId="19" xfId="12" applyFont="1" applyBorder="1" applyAlignment="1">
      <alignment horizontal="center"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8" fillId="0" borderId="0" xfId="0" applyFont="1" applyAlignment="1">
      <alignment horizontal="center" wrapText="1"/>
    </xf>
    <xf numFmtId="0" fontId="28" fillId="11" borderId="11" xfId="0" applyFont="1" applyFill="1" applyBorder="1" applyAlignment="1">
      <alignment horizontal="center" wrapText="1"/>
    </xf>
    <xf numFmtId="0" fontId="28" fillId="11" borderId="1" xfId="0" applyFont="1" applyFill="1" applyBorder="1" applyAlignment="1">
      <alignment horizontal="center" wrapText="1"/>
    </xf>
    <xf numFmtId="0" fontId="28" fillId="11" borderId="13" xfId="0" applyFont="1" applyFill="1" applyBorder="1" applyAlignment="1">
      <alignment horizontal="center" wrapText="1"/>
    </xf>
    <xf numFmtId="0" fontId="8" fillId="0" borderId="3" xfId="0" applyFont="1" applyBorder="1" applyAlignment="1">
      <alignment horizontal="center" wrapText="1"/>
    </xf>
    <xf numFmtId="0" fontId="11" fillId="0" borderId="0" xfId="0" applyFont="1" applyAlignment="1">
      <alignment horizontal="center"/>
    </xf>
    <xf numFmtId="0" fontId="9" fillId="0" borderId="1" xfId="0" applyFont="1" applyBorder="1" applyAlignment="1">
      <alignment horizontal="center"/>
    </xf>
    <xf numFmtId="0" fontId="27" fillId="11" borderId="11" xfId="0" applyFont="1" applyFill="1" applyBorder="1" applyAlignment="1">
      <alignment horizontal="center" wrapText="1"/>
    </xf>
    <xf numFmtId="0" fontId="27" fillId="11" borderId="1" xfId="0" applyFont="1" applyFill="1" applyBorder="1" applyAlignment="1">
      <alignment horizontal="center" wrapText="1"/>
    </xf>
    <xf numFmtId="0" fontId="9" fillId="0" borderId="0" xfId="0" applyFont="1" applyAlignment="1">
      <alignment horizontal="center" wrapText="1"/>
    </xf>
    <xf numFmtId="0" fontId="27" fillId="11" borderId="11" xfId="0" applyFont="1" applyFill="1" applyBorder="1" applyAlignment="1">
      <alignment horizontal="center"/>
    </xf>
    <xf numFmtId="0" fontId="27" fillId="11" borderId="1" xfId="0" applyFont="1" applyFill="1" applyBorder="1" applyAlignment="1">
      <alignment horizontal="center"/>
    </xf>
    <xf numFmtId="0" fontId="27" fillId="11" borderId="13" xfId="0" applyFont="1" applyFill="1" applyBorder="1" applyAlignment="1">
      <alignment horizontal="center"/>
    </xf>
    <xf numFmtId="0" fontId="9" fillId="0" borderId="6" xfId="0" applyFont="1" applyBorder="1" applyAlignment="1">
      <alignment horizontal="center" vertical="center"/>
    </xf>
    <xf numFmtId="0" fontId="9" fillId="0" borderId="10" xfId="0" applyFont="1" applyBorder="1" applyAlignment="1">
      <alignment horizontal="center" vertical="center"/>
    </xf>
    <xf numFmtId="0" fontId="28" fillId="11" borderId="11" xfId="0" applyFont="1" applyFill="1" applyBorder="1" applyAlignment="1">
      <alignment horizontal="center"/>
    </xf>
    <xf numFmtId="0" fontId="28" fillId="11" borderId="1" xfId="0" applyFont="1" applyFill="1" applyBorder="1" applyAlignment="1">
      <alignment horizontal="center"/>
    </xf>
    <xf numFmtId="0" fontId="28" fillId="11" borderId="13" xfId="0" applyFont="1" applyFill="1" applyBorder="1" applyAlignment="1">
      <alignment horizontal="center"/>
    </xf>
    <xf numFmtId="0" fontId="65" fillId="0" borderId="6" xfId="0" applyFont="1" applyBorder="1" applyAlignment="1">
      <alignment horizontal="center" wrapText="1"/>
    </xf>
    <xf numFmtId="0" fontId="18" fillId="8" borderId="5" xfId="0" applyFont="1" applyFill="1" applyBorder="1" applyAlignment="1">
      <alignment horizontal="center"/>
    </xf>
    <xf numFmtId="0" fontId="18" fillId="8" borderId="0" xfId="0" applyFont="1" applyFill="1" applyAlignment="1">
      <alignment horizontal="center"/>
    </xf>
    <xf numFmtId="0" fontId="9" fillId="8" borderId="6" xfId="0" applyFont="1" applyFill="1" applyBorder="1" applyAlignment="1">
      <alignment horizontal="center"/>
    </xf>
    <xf numFmtId="0" fontId="9" fillId="0" borderId="0" xfId="0" applyFont="1" applyAlignment="1">
      <alignment horizontal="left"/>
    </xf>
    <xf numFmtId="0" fontId="9" fillId="0" borderId="6" xfId="0" applyFont="1" applyBorder="1" applyAlignment="1">
      <alignment horizontal="left"/>
    </xf>
    <xf numFmtId="0" fontId="8" fillId="0" borderId="0" xfId="0" applyFont="1" applyAlignment="1">
      <alignment horizontal="left" wrapText="1"/>
    </xf>
    <xf numFmtId="0" fontId="9" fillId="0" borderId="9" xfId="0" applyFont="1" applyBorder="1" applyAlignment="1">
      <alignment horizontal="center" vertical="center" wrapText="1"/>
    </xf>
    <xf numFmtId="0" fontId="9" fillId="0" borderId="10" xfId="0" applyFont="1" applyBorder="1" applyAlignment="1">
      <alignment horizontal="center" vertical="center" wrapText="1"/>
    </xf>
    <xf numFmtId="0" fontId="11" fillId="0" borderId="6" xfId="0" applyFont="1" applyBorder="1" applyAlignment="1">
      <alignment horizontal="center"/>
    </xf>
    <xf numFmtId="0" fontId="9" fillId="0" borderId="6" xfId="0" applyFont="1" applyBorder="1" applyAlignment="1">
      <alignment horizontal="center" vertical="center" wrapText="1"/>
    </xf>
    <xf numFmtId="0" fontId="9" fillId="8" borderId="1" xfId="0" applyFont="1" applyFill="1" applyBorder="1" applyAlignment="1">
      <alignment horizontal="center"/>
    </xf>
    <xf numFmtId="0" fontId="9" fillId="8" borderId="13" xfId="0" applyFont="1" applyFill="1" applyBorder="1" applyAlignment="1">
      <alignment horizontal="center"/>
    </xf>
    <xf numFmtId="0" fontId="8" fillId="0" borderId="3" xfId="0" applyFont="1" applyBorder="1" applyAlignment="1">
      <alignment horizontal="center"/>
    </xf>
    <xf numFmtId="0" fontId="27" fillId="11" borderId="16" xfId="0" applyFont="1" applyFill="1" applyBorder="1" applyAlignment="1">
      <alignment horizontal="left" vertical="center" wrapText="1"/>
    </xf>
    <xf numFmtId="0" fontId="14" fillId="6" borderId="0" xfId="3" applyFont="1" applyFill="1" applyBorder="1" applyAlignment="1">
      <alignment horizontal="center" vertical="center"/>
    </xf>
    <xf numFmtId="0" fontId="14" fillId="6" borderId="3" xfId="3" applyFont="1" applyFill="1" applyBorder="1" applyAlignment="1">
      <alignment horizontal="center" vertical="center"/>
    </xf>
    <xf numFmtId="0" fontId="28" fillId="11" borderId="21" xfId="0" applyFont="1" applyFill="1" applyBorder="1" applyAlignment="1">
      <alignment horizontal="center"/>
    </xf>
    <xf numFmtId="0" fontId="28" fillId="11" borderId="0" xfId="0" applyFont="1" applyFill="1" applyAlignment="1">
      <alignment horizontal="center"/>
    </xf>
    <xf numFmtId="0" fontId="28" fillId="11" borderId="3" xfId="0" applyFont="1" applyFill="1" applyBorder="1" applyAlignment="1">
      <alignment horizontal="center" wrapText="1"/>
    </xf>
    <xf numFmtId="0" fontId="34" fillId="11" borderId="3" xfId="0" applyFont="1" applyFill="1" applyBorder="1" applyAlignment="1">
      <alignment horizontal="center" wrapText="1"/>
    </xf>
    <xf numFmtId="0" fontId="28" fillId="11" borderId="20" xfId="0" applyFont="1" applyFill="1" applyBorder="1" applyAlignment="1">
      <alignment horizontal="center"/>
    </xf>
    <xf numFmtId="0" fontId="28" fillId="11" borderId="2" xfId="0" applyFont="1" applyFill="1" applyBorder="1" applyAlignment="1">
      <alignment horizontal="center"/>
    </xf>
    <xf numFmtId="0" fontId="9" fillId="0" borderId="0" xfId="0" applyFont="1" applyAlignment="1">
      <alignment horizontal="left" vertical="center"/>
    </xf>
    <xf numFmtId="0" fontId="9" fillId="0" borderId="0" xfId="0" applyFont="1" applyAlignment="1">
      <alignment horizontal="left" vertical="center" wrapText="1"/>
    </xf>
    <xf numFmtId="0" fontId="9" fillId="0" borderId="0" xfId="0" applyFont="1" applyAlignment="1">
      <alignment horizontal="right" vertical="center" wrapText="1"/>
    </xf>
    <xf numFmtId="0" fontId="28" fillId="11" borderId="0" xfId="0" applyFont="1" applyFill="1" applyAlignment="1">
      <alignment horizontal="center" wrapText="1"/>
    </xf>
    <xf numFmtId="0" fontId="27" fillId="11" borderId="0" xfId="0" applyFont="1" applyFill="1" applyAlignment="1">
      <alignment horizontal="center" vertical="center" textRotation="90" wrapText="1"/>
    </xf>
    <xf numFmtId="0" fontId="9" fillId="7" borderId="0" xfId="0" applyFont="1" applyFill="1" applyAlignment="1">
      <alignment horizontal="center" vertical="center" wrapText="1"/>
    </xf>
    <xf numFmtId="0" fontId="9" fillId="7" borderId="3" xfId="0" applyFont="1" applyFill="1" applyBorder="1" applyAlignment="1">
      <alignment horizontal="center" vertical="center" wrapText="1"/>
    </xf>
  </cellXfs>
  <cellStyles count="16">
    <cellStyle name="20% - Accent1" xfId="3" builtinId="30"/>
    <cellStyle name="20% - Accent1 2" xfId="15" xr:uid="{537B9AED-4CEA-8840-A007-55AEFD1D01BB}"/>
    <cellStyle name="Comma" xfId="1" builtinId="3"/>
    <cellStyle name="Comma 2" xfId="14" xr:uid="{B69842B8-1D08-5744-9E1B-27B6B37DB3DB}"/>
    <cellStyle name="Hyperlink" xfId="5" builtinId="8"/>
    <cellStyle name="Normal" xfId="0" builtinId="0"/>
    <cellStyle name="Normal 2" xfId="7" xr:uid="{9BA2386E-6790-0248-AA66-04B7A8D30CAA}"/>
    <cellStyle name="Normal 2 2" xfId="12" xr:uid="{3503486B-B557-6A45-B183-BE97BE83DFD0}"/>
    <cellStyle name="Normal 3" xfId="8" xr:uid="{FFB63CF4-2456-1042-AE0C-81D14438FE42}"/>
    <cellStyle name="Normal 4" xfId="6" xr:uid="{7B51F0E0-7C1E-4C12-8FF7-90F75A6EB774}"/>
    <cellStyle name="Normal 5" xfId="9" xr:uid="{97AEFD65-05E1-ED41-B4B7-641770F7CD52}"/>
    <cellStyle name="Normal 5 2" xfId="11" xr:uid="{A5858B56-6CAC-104A-B49E-7282322E2EF3}"/>
    <cellStyle name="Normal 6" xfId="10" xr:uid="{B7554896-7921-6E44-A5FF-569E385723AE}"/>
    <cellStyle name="Normal 7 2" xfId="4" xr:uid="{00000000-0005-0000-0000-000004000000}"/>
    <cellStyle name="Per cent" xfId="2" builtinId="5"/>
    <cellStyle name="Per cent 2" xfId="13" xr:uid="{DC17FF31-7E57-E640-9B27-06BEB67F0390}"/>
  </cellStyles>
  <dxfs count="7">
    <dxf>
      <font>
        <color rgb="FFFF0000"/>
      </font>
    </dxf>
    <dxf>
      <font>
        <color rgb="FF00B050"/>
      </font>
    </dxf>
    <dxf>
      <font>
        <color rgb="FF00B050"/>
      </font>
    </dxf>
    <dxf>
      <font>
        <b val="0"/>
        <i val="0"/>
        <color rgb="FFFF0000"/>
      </font>
    </dxf>
    <dxf>
      <font>
        <b val="0"/>
        <i val="0"/>
        <color rgb="FF00B050"/>
      </font>
    </dxf>
    <dxf>
      <font>
        <color rgb="FFFF0000"/>
      </font>
    </dxf>
    <dxf>
      <font>
        <color rgb="FF00B050"/>
      </font>
    </dxf>
  </dxfs>
  <tableStyles count="0" defaultTableStyle="TableStyleMedium2" defaultPivotStyle="PivotStyleMedium9"/>
  <colors>
    <mruColors>
      <color rgb="FFCCFF99"/>
      <color rgb="FF0432FF"/>
      <color rgb="FF1E4A80"/>
      <color rgb="FF941651"/>
      <color rgb="FFCC3300"/>
      <color rgb="FFEF2D3B"/>
      <color rgb="FFE41217"/>
      <color rgb="FFBD0F1B"/>
      <color rgb="FFFFFFCC"/>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45"/>
    </mc:Choice>
    <mc:Fallback>
      <c:style val="45"/>
    </mc:Fallback>
  </mc:AlternateContent>
  <c:chart>
    <c:title>
      <c:tx>
        <c:rich>
          <a:bodyPr/>
          <a:lstStyle/>
          <a:p>
            <a:pPr>
              <a:defRPr/>
            </a:pPr>
            <a:r>
              <a:rPr lang="en-IN"/>
              <a:t>Revenue &amp; YoY</a:t>
            </a:r>
            <a:r>
              <a:rPr lang="en-IN" baseline="0"/>
              <a:t> Growth</a:t>
            </a:r>
            <a:endParaRPr lang="en-IN"/>
          </a:p>
        </c:rich>
      </c:tx>
      <c:overlay val="0"/>
    </c:title>
    <c:autoTitleDeleted val="0"/>
    <c:plotArea>
      <c:layout/>
      <c:barChart>
        <c:barDir val="col"/>
        <c:grouping val="clustered"/>
        <c:varyColors val="0"/>
        <c:ser>
          <c:idx val="1"/>
          <c:order val="0"/>
          <c:tx>
            <c:strRef>
              <c:f>'Income Statement'!$B$11</c:f>
              <c:strCache>
                <c:ptCount val="1"/>
                <c:pt idx="0">
                  <c:v>Revenue from Operations</c:v>
                </c:pt>
              </c:strCache>
            </c:strRef>
          </c:tx>
          <c:invertIfNegative val="0"/>
          <c:cat>
            <c:numRef>
              <c:f>'Income Statement'!$C$8:$Q$8</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'Income Statement'!$C$11:$Q$11</c:f>
              <c:numCache>
                <c:formatCode>_ * #,##0.00_ ;_ * \-#,##0.00_ ;_ * "-"??_ ;_ @_ </c:formatCode>
                <c:ptCount val="15"/>
                <c:pt idx="0">
                  <c:v>1720.77</c:v>
                </c:pt>
                <c:pt idx="1">
                  <c:v>2179.86</c:v>
                </c:pt>
                <c:pt idx="2">
                  <c:v>2558.1999999999998</c:v>
                </c:pt>
                <c:pt idx="3">
                  <c:v>3049.24</c:v>
                </c:pt>
                <c:pt idx="4">
                  <c:v>3447.82</c:v>
                </c:pt>
                <c:pt idx="5">
                  <c:v>4102.2705308551394</c:v>
                </c:pt>
                <c:pt idx="6">
                  <c:v>4903.91184989061</c:v>
                </c:pt>
                <c:pt idx="7">
                  <c:v>5809.7679771581652</c:v>
                </c:pt>
                <c:pt idx="8">
                  <c:v>6821.3284357579214</c:v>
                </c:pt>
                <c:pt idx="9">
                  <c:v>7937.2779848743576</c:v>
                </c:pt>
                <c:pt idx="10">
                  <c:v>9153.0812961701358</c:v>
                </c:pt>
                <c:pt idx="11">
                  <c:v>10460.658885012956</c:v>
                </c:pt>
                <c:pt idx="12">
                  <c:v>11848.186557439381</c:v>
                </c:pt>
                <c:pt idx="13">
                  <c:v>13300.046315662352</c:v>
                </c:pt>
                <c:pt idx="14">
                  <c:v>14796.949518457597</c:v>
                </c:pt>
              </c:numCache>
            </c:numRef>
          </c:val>
          <c:extLst>
            <c:ext xmlns:c16="http://schemas.microsoft.com/office/drawing/2014/chart" uri="{C3380CC4-5D6E-409C-BE32-E72D297353CC}">
              <c16:uniqueId val="{00000000-29AC-4C3C-B8AC-BA93B0BC9578}"/>
            </c:ext>
          </c:extLst>
        </c:ser>
        <c:dLbls>
          <c:showLegendKey val="0"/>
          <c:showVal val="0"/>
          <c:showCatName val="0"/>
          <c:showSerName val="0"/>
          <c:showPercent val="0"/>
          <c:showBubbleSize val="0"/>
        </c:dLbls>
        <c:gapWidth val="150"/>
        <c:axId val="204992896"/>
        <c:axId val="204994432"/>
      </c:barChart>
      <c:lineChart>
        <c:grouping val="standard"/>
        <c:varyColors val="0"/>
        <c:ser>
          <c:idx val="0"/>
          <c:order val="1"/>
          <c:tx>
            <c:v>YoY Growth</c:v>
          </c:tx>
          <c:spPr>
            <a:ln>
              <a:solidFill>
                <a:schemeClr val="accent5">
                  <a:lumMod val="60000"/>
                  <a:lumOff val="40000"/>
                </a:schemeClr>
              </a:solidFill>
            </a:ln>
          </c:spPr>
          <c:marker>
            <c:spPr>
              <a:ln>
                <a:solidFill>
                  <a:schemeClr val="accent5">
                    <a:lumMod val="60000"/>
                    <a:lumOff val="40000"/>
                  </a:schemeClr>
                </a:solidFill>
              </a:ln>
            </c:spPr>
          </c:marker>
          <c:cat>
            <c:numRef>
              <c:f>'Income Statement'!$C$8:$Q$8</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'Revenue Buildup'!$C$16:$Q$16</c:f>
              <c:numCache>
                <c:formatCode>0.00%</c:formatCode>
                <c:ptCount val="15"/>
                <c:pt idx="1">
                  <c:v>0.26830288176739114</c:v>
                </c:pt>
                <c:pt idx="2">
                  <c:v>0.17379936259066597</c:v>
                </c:pt>
                <c:pt idx="3">
                  <c:v>0.19169927322802982</c:v>
                </c:pt>
                <c:pt idx="4">
                  <c:v>0.13108593389398293</c:v>
                </c:pt>
                <c:pt idx="5">
                  <c:v>0.18927571614407768</c:v>
                </c:pt>
                <c:pt idx="6">
                  <c:v>0.19541405497417652</c:v>
                </c:pt>
                <c:pt idx="7">
                  <c:v>0.18472112774371396</c:v>
                </c:pt>
                <c:pt idx="8">
                  <c:v>0.1741137447445118</c:v>
                </c:pt>
                <c:pt idx="9">
                  <c:v>0.16359709983564841</c:v>
                </c:pt>
                <c:pt idx="10">
                  <c:v>0.15317635511981154</c:v>
                </c:pt>
                <c:pt idx="11">
                  <c:v>0.14285654705043882</c:v>
                </c:pt>
                <c:pt idx="12">
                  <c:v>0.13264247383253691</c:v>
                </c:pt>
                <c:pt idx="13">
                  <c:v>0.12253856328007928</c:v>
                </c:pt>
                <c:pt idx="14">
                  <c:v>0.11254872105463787</c:v>
                </c:pt>
              </c:numCache>
            </c:numRef>
          </c:val>
          <c:smooth val="0"/>
          <c:extLst>
            <c:ext xmlns:c16="http://schemas.microsoft.com/office/drawing/2014/chart" uri="{C3380CC4-5D6E-409C-BE32-E72D297353CC}">
              <c16:uniqueId val="{00000001-29AC-4C3C-B8AC-BA93B0BC9578}"/>
            </c:ext>
          </c:extLst>
        </c:ser>
        <c:dLbls>
          <c:showLegendKey val="0"/>
          <c:showVal val="0"/>
          <c:showCatName val="0"/>
          <c:showSerName val="0"/>
          <c:showPercent val="0"/>
          <c:showBubbleSize val="0"/>
        </c:dLbls>
        <c:marker val="1"/>
        <c:smooth val="0"/>
        <c:axId val="647328576"/>
        <c:axId val="647325696"/>
      </c:lineChart>
      <c:catAx>
        <c:axId val="204992896"/>
        <c:scaling>
          <c:orientation val="minMax"/>
        </c:scaling>
        <c:delete val="0"/>
        <c:axPos val="b"/>
        <c:numFmt formatCode="General" sourceLinked="0"/>
        <c:majorTickMark val="out"/>
        <c:minorTickMark val="none"/>
        <c:tickLblPos val="nextTo"/>
        <c:txPr>
          <a:bodyPr rot="-2640000"/>
          <a:lstStyle/>
          <a:p>
            <a:pPr>
              <a:defRPr/>
            </a:pPr>
            <a:endParaRPr lang="en-US"/>
          </a:p>
        </c:txPr>
        <c:crossAx val="204994432"/>
        <c:crosses val="autoZero"/>
        <c:auto val="1"/>
        <c:lblAlgn val="ctr"/>
        <c:lblOffset val="100"/>
        <c:noMultiLvlLbl val="0"/>
      </c:catAx>
      <c:valAx>
        <c:axId val="204994432"/>
        <c:scaling>
          <c:orientation val="minMax"/>
        </c:scaling>
        <c:delete val="0"/>
        <c:axPos val="l"/>
        <c:majorGridlines/>
        <c:numFmt formatCode="_(* #,##0_);_(* \(#,##0\);_(* &quot;-&quot;_);_(@_)" sourceLinked="0"/>
        <c:majorTickMark val="out"/>
        <c:minorTickMark val="none"/>
        <c:tickLblPos val="nextTo"/>
        <c:crossAx val="204992896"/>
        <c:crosses val="autoZero"/>
        <c:crossBetween val="between"/>
      </c:valAx>
      <c:valAx>
        <c:axId val="647325696"/>
        <c:scaling>
          <c:orientation val="minMax"/>
        </c:scaling>
        <c:delete val="0"/>
        <c:axPos val="r"/>
        <c:numFmt formatCode="0%" sourceLinked="0"/>
        <c:majorTickMark val="out"/>
        <c:minorTickMark val="none"/>
        <c:tickLblPos val="nextTo"/>
        <c:crossAx val="647328576"/>
        <c:crosses val="max"/>
        <c:crossBetween val="between"/>
      </c:valAx>
      <c:catAx>
        <c:axId val="647328576"/>
        <c:scaling>
          <c:orientation val="minMax"/>
        </c:scaling>
        <c:delete val="1"/>
        <c:axPos val="b"/>
        <c:numFmt formatCode="General" sourceLinked="1"/>
        <c:majorTickMark val="out"/>
        <c:minorTickMark val="none"/>
        <c:tickLblPos val="nextTo"/>
        <c:crossAx val="647325696"/>
        <c:crosses val="autoZero"/>
        <c:auto val="1"/>
        <c:lblAlgn val="ctr"/>
        <c:lblOffset val="100"/>
        <c:noMultiLvlLbl val="0"/>
      </c:catAx>
    </c:plotArea>
    <c:legend>
      <c:legendPos val="b"/>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48"/>
    </mc:Choice>
    <mc:Fallback>
      <c:style val="48"/>
    </mc:Fallback>
  </mc:AlternateContent>
  <c:chart>
    <c:title>
      <c:tx>
        <c:rich>
          <a:bodyPr/>
          <a:lstStyle/>
          <a:p>
            <a:pPr>
              <a:defRPr/>
            </a:pPr>
            <a:r>
              <a:rPr lang="en-IN"/>
              <a:t>EBITDA vs Net Profit</a:t>
            </a:r>
          </a:p>
        </c:rich>
      </c:tx>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'Income Statement'!$B$22</c:f>
              <c:strCache>
                <c:ptCount val="1"/>
                <c:pt idx="0">
                  <c:v>EBITDA</c:v>
                </c:pt>
              </c:strCache>
            </c:strRef>
          </c:tx>
          <c:invertIfNegative val="0"/>
          <c:cat>
            <c:numRef>
              <c:f>'Ratio Analysis'!$C$8:$Q$8</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'Income Statement'!$C$22:$Q$22</c:f>
              <c:numCache>
                <c:formatCode>_ * #,##0.00_ ;_ * \-#,##0.00_ ;_ * "-"??_ ;_ @_ </c:formatCode>
                <c:ptCount val="15"/>
                <c:pt idx="0">
                  <c:v>364.46999999999986</c:v>
                </c:pt>
                <c:pt idx="1">
                  <c:v>462.5100000000001</c:v>
                </c:pt>
                <c:pt idx="2">
                  <c:v>455.84999999999991</c:v>
                </c:pt>
                <c:pt idx="3">
                  <c:v>508.66999999999985</c:v>
                </c:pt>
                <c:pt idx="4">
                  <c:v>546.45000000000005</c:v>
                </c:pt>
                <c:pt idx="5">
                  <c:v>760.99304552100807</c:v>
                </c:pt>
                <c:pt idx="6">
                  <c:v>909.70178235341609</c:v>
                </c:pt>
                <c:pt idx="7">
                  <c:v>1077.7429215002057</c:v>
                </c:pt>
                <c:pt idx="8">
                  <c:v>1265.392777434497</c:v>
                </c:pt>
                <c:pt idx="9">
                  <c:v>1472.4073659757569</c:v>
                </c:pt>
                <c:pt idx="10">
                  <c:v>1697.9453595474856</c:v>
                </c:pt>
                <c:pt idx="11">
                  <c:v>1940.5079706927554</c:v>
                </c:pt>
                <c:pt idx="12">
                  <c:v>2197.9017484171982</c:v>
                </c:pt>
                <c:pt idx="13">
                  <c:v>2467.2294708990162</c:v>
                </c:pt>
                <c:pt idx="14">
                  <c:v>2744.9129923970122</c:v>
                </c:pt>
              </c:numCache>
            </c:numRef>
          </c:val>
          <c:extLst>
            <c:ext xmlns:c16="http://schemas.microsoft.com/office/drawing/2014/chart" uri="{C3380CC4-5D6E-409C-BE32-E72D297353CC}">
              <c16:uniqueId val="{00000000-DCD6-4CE0-9B94-A551EF94DB0C}"/>
            </c:ext>
          </c:extLst>
        </c:ser>
        <c:ser>
          <c:idx val="1"/>
          <c:order val="1"/>
          <c:tx>
            <c:v>Net Profit</c:v>
          </c:tx>
          <c:invertIfNegative val="0"/>
          <c:cat>
            <c:numRef>
              <c:f>'Ratio Analysis'!$C$8:$Q$8</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'Income Statement'!$C$40:$Q$40</c:f>
              <c:numCache>
                <c:formatCode>_ * #,##0.00_ ;_ * \-#,##0.00_ ;_ * "-"??_ ;_ @_ </c:formatCode>
                <c:ptCount val="15"/>
                <c:pt idx="0">
                  <c:v>251.74999999999989</c:v>
                </c:pt>
                <c:pt idx="1">
                  <c:v>333.42000000000007</c:v>
                </c:pt>
                <c:pt idx="2">
                  <c:v>310.27</c:v>
                </c:pt>
                <c:pt idx="3">
                  <c:v>310.9699999999998</c:v>
                </c:pt>
                <c:pt idx="4" formatCode="_(* #,##0.00_);_(* \(#,##0.00\);_(* &quot;-&quot;??_);_(@_)">
                  <c:v>375.93</c:v>
                </c:pt>
                <c:pt idx="5" formatCode="_(* #,##0.00_);_(* \(#,##0.00\);_(* &quot;-&quot;??_);_(@_)">
                  <c:v>589.69374805178381</c:v>
                </c:pt>
                <c:pt idx="6" formatCode="_(* #,##0.00_);_(* \(#,##0.00\);_(* &quot;-&quot;??_);_(@_)">
                  <c:v>714.41806226284086</c:v>
                </c:pt>
                <c:pt idx="7" formatCode="_(* #,##0.00_);_(* \(#,##0.00\);_(* &quot;-&quot;??_);_(@_)">
                  <c:v>844.78027293734863</c:v>
                </c:pt>
                <c:pt idx="8" formatCode="_(* #,##0.00_);_(* \(#,##0.00\);_(* &quot;-&quot;??_);_(@_)">
                  <c:v>998.30182369873501</c:v>
                </c:pt>
                <c:pt idx="9" formatCode="_(* #,##0.00_);_(* \(#,##0.00\);_(* &quot;-&quot;??_);_(@_)">
                  <c:v>1155.1358278964731</c:v>
                </c:pt>
                <c:pt idx="10" formatCode="_(* #,##0.00_);_(* \(#,##0.00\);_(* &quot;-&quot;??_);_(@_)">
                  <c:v>1339.6200444086867</c:v>
                </c:pt>
                <c:pt idx="11" formatCode="_(* #,##0.00_);_(* \(#,##0.00\);_(* &quot;-&quot;??_);_(@_)">
                  <c:v>1516.5859980814655</c:v>
                </c:pt>
                <c:pt idx="12" formatCode="_(* #,##0.00_);_(* \(#,##0.00\);_(* &quot;-&quot;??_);_(@_)">
                  <c:v>1724.4580597428703</c:v>
                </c:pt>
                <c:pt idx="13" formatCode="_(* #,##0.00_);_(* \(#,##0.00\);_(* &quot;-&quot;??_);_(@_)">
                  <c:v>1917.0305198756748</c:v>
                </c:pt>
                <c:pt idx="14" formatCode="_(* #,##0.00_);_(* \(#,##0.00\);_(* &quot;-&quot;??_);_(@_)">
                  <c:v>2136.4130907801568</c:v>
                </c:pt>
              </c:numCache>
            </c:numRef>
          </c:val>
          <c:extLst>
            <c:ext xmlns:c16="http://schemas.microsoft.com/office/drawing/2014/chart" uri="{C3380CC4-5D6E-409C-BE32-E72D297353CC}">
              <c16:uniqueId val="{00000001-DCD6-4CE0-9B94-A551EF94DB0C}"/>
            </c:ext>
          </c:extLst>
        </c:ser>
        <c:dLbls>
          <c:showLegendKey val="0"/>
          <c:showVal val="0"/>
          <c:showCatName val="0"/>
          <c:showSerName val="0"/>
          <c:showPercent val="0"/>
          <c:showBubbleSize val="0"/>
        </c:dLbls>
        <c:gapWidth val="150"/>
        <c:shape val="box"/>
        <c:axId val="205028352"/>
        <c:axId val="205034240"/>
        <c:axId val="0"/>
      </c:bar3DChart>
      <c:catAx>
        <c:axId val="205028352"/>
        <c:scaling>
          <c:orientation val="minMax"/>
        </c:scaling>
        <c:delete val="0"/>
        <c:axPos val="b"/>
        <c:numFmt formatCode="General" sourceLinked="1"/>
        <c:majorTickMark val="out"/>
        <c:minorTickMark val="none"/>
        <c:tickLblPos val="nextTo"/>
        <c:crossAx val="205034240"/>
        <c:crosses val="autoZero"/>
        <c:auto val="1"/>
        <c:lblAlgn val="ctr"/>
        <c:lblOffset val="100"/>
        <c:noMultiLvlLbl val="0"/>
      </c:catAx>
      <c:valAx>
        <c:axId val="205034240"/>
        <c:scaling>
          <c:orientation val="minMax"/>
        </c:scaling>
        <c:delete val="0"/>
        <c:axPos val="l"/>
        <c:majorGridlines/>
        <c:numFmt formatCode="_ * #,##0.00_ ;_ * \-#,##0.00_ ;_ * &quot;-&quot;??_ ;_ @_ " sourceLinked="1"/>
        <c:majorTickMark val="out"/>
        <c:minorTickMark val="none"/>
        <c:tickLblPos val="nextTo"/>
        <c:crossAx val="20502835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a:pPr>
            <a:r>
              <a:rPr lang="en-IN"/>
              <a:t>ROE vs ROCE</a:t>
            </a:r>
          </a:p>
        </c:rich>
      </c:tx>
      <c:overlay val="0"/>
    </c:title>
    <c:autoTitleDeleted val="0"/>
    <c:plotArea>
      <c:layout>
        <c:manualLayout>
          <c:layoutTarget val="inner"/>
          <c:xMode val="edge"/>
          <c:yMode val="edge"/>
          <c:x val="4.9642466940436274E-2"/>
          <c:y val="0.14068057189942532"/>
          <c:w val="0.92483919175174878"/>
          <c:h val="0.74168173812776916"/>
        </c:manualLayout>
      </c:layout>
      <c:barChart>
        <c:barDir val="col"/>
        <c:grouping val="clustered"/>
        <c:varyColors val="0"/>
        <c:ser>
          <c:idx val="0"/>
          <c:order val="0"/>
          <c:tx>
            <c:v>Return on Equity</c:v>
          </c:tx>
          <c:invertIfNegative val="0"/>
          <c:cat>
            <c:numRef>
              <c:f>'Balance Sheet'!$D$8:$R$8</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'Ratio Analysis'!$C$23:$Q$23</c:f>
              <c:numCache>
                <c:formatCode>0.00%</c:formatCode>
                <c:ptCount val="15"/>
                <c:pt idx="1">
                  <c:v>0.29476587675211197</c:v>
                </c:pt>
                <c:pt idx="2">
                  <c:v>0.2071083135027251</c:v>
                </c:pt>
                <c:pt idx="3">
                  <c:v>0.16104424742097184</c:v>
                </c:pt>
                <c:pt idx="4">
                  <c:v>0.16525303588109236</c:v>
                </c:pt>
                <c:pt idx="5">
                  <c:v>0.21724427211315561</c:v>
                </c:pt>
                <c:pt idx="6">
                  <c:v>0.21834829422327884</c:v>
                </c:pt>
                <c:pt idx="7">
                  <c:v>0.21449515460335633</c:v>
                </c:pt>
                <c:pt idx="8">
                  <c:v>0.2112202617229022</c:v>
                </c:pt>
                <c:pt idx="9">
                  <c:v>0.20456019729428593</c:v>
                </c:pt>
                <c:pt idx="10">
                  <c:v>0.19954412775425923</c:v>
                </c:pt>
                <c:pt idx="11">
                  <c:v>0.19114067570873777</c:v>
                </c:pt>
                <c:pt idx="12">
                  <c:v>0.18502957144610147</c:v>
                </c:pt>
                <c:pt idx="13">
                  <c:v>0.17625275821240793</c:v>
                </c:pt>
                <c:pt idx="14">
                  <c:v>0.16943021910559128</c:v>
                </c:pt>
              </c:numCache>
            </c:numRef>
          </c:val>
          <c:extLst>
            <c:ext xmlns:c16="http://schemas.microsoft.com/office/drawing/2014/chart" uri="{C3380CC4-5D6E-409C-BE32-E72D297353CC}">
              <c16:uniqueId val="{00000000-1BC2-4ED5-8B01-4141F2B92992}"/>
            </c:ext>
          </c:extLst>
        </c:ser>
        <c:dLbls>
          <c:showLegendKey val="0"/>
          <c:showVal val="0"/>
          <c:showCatName val="0"/>
          <c:showSerName val="0"/>
          <c:showPercent val="0"/>
          <c:showBubbleSize val="0"/>
        </c:dLbls>
        <c:gapWidth val="150"/>
        <c:axId val="215732608"/>
        <c:axId val="215734144"/>
      </c:barChart>
      <c:lineChart>
        <c:grouping val="stacked"/>
        <c:varyColors val="0"/>
        <c:ser>
          <c:idx val="1"/>
          <c:order val="1"/>
          <c:tx>
            <c:v>Return on Capital Employed</c:v>
          </c:tx>
          <c:val>
            <c:numRef>
              <c:f>'Ratio Analysis'!$C$42:$Q$42</c:f>
              <c:numCache>
                <c:formatCode>0.00%</c:formatCode>
                <c:ptCount val="15"/>
                <c:pt idx="0">
                  <c:v>0.19353623567216838</c:v>
                </c:pt>
                <c:pt idx="1">
                  <c:v>0.23613983398963151</c:v>
                </c:pt>
                <c:pt idx="2">
                  <c:v>0.14456848912952316</c:v>
                </c:pt>
                <c:pt idx="3">
                  <c:v>0.12081384326096746</c:v>
                </c:pt>
                <c:pt idx="4">
                  <c:v>0.12458285142385611</c:v>
                </c:pt>
                <c:pt idx="5">
                  <c:v>0.16632641729573275</c:v>
                </c:pt>
                <c:pt idx="6">
                  <c:v>0.16733713998576116</c:v>
                </c:pt>
                <c:pt idx="7">
                  <c:v>0.16501453731136731</c:v>
                </c:pt>
                <c:pt idx="8">
                  <c:v>0.16323593445602466</c:v>
                </c:pt>
                <c:pt idx="9">
                  <c:v>0.15909233946630696</c:v>
                </c:pt>
                <c:pt idx="10">
                  <c:v>0.15617476497049596</c:v>
                </c:pt>
                <c:pt idx="11">
                  <c:v>0.15077114885512879</c:v>
                </c:pt>
                <c:pt idx="12">
                  <c:v>0.14702476945889623</c:v>
                </c:pt>
                <c:pt idx="13">
                  <c:v>0.14123931731422337</c:v>
                </c:pt>
                <c:pt idx="14">
                  <c:v>0.13685533475122583</c:v>
                </c:pt>
              </c:numCache>
            </c:numRef>
          </c:val>
          <c:smooth val="0"/>
          <c:extLst>
            <c:ext xmlns:c16="http://schemas.microsoft.com/office/drawing/2014/chart" uri="{C3380CC4-5D6E-409C-BE32-E72D297353CC}">
              <c16:uniqueId val="{00000001-1BC2-4ED5-8B01-4141F2B92992}"/>
            </c:ext>
          </c:extLst>
        </c:ser>
        <c:dLbls>
          <c:showLegendKey val="0"/>
          <c:showVal val="0"/>
          <c:showCatName val="0"/>
          <c:showSerName val="0"/>
          <c:showPercent val="0"/>
          <c:showBubbleSize val="0"/>
        </c:dLbls>
        <c:marker val="1"/>
        <c:smooth val="0"/>
        <c:axId val="215732608"/>
        <c:axId val="215734144"/>
      </c:lineChart>
      <c:catAx>
        <c:axId val="215732608"/>
        <c:scaling>
          <c:orientation val="minMax"/>
        </c:scaling>
        <c:delete val="0"/>
        <c:axPos val="b"/>
        <c:numFmt formatCode="General" sourceLinked="0"/>
        <c:majorTickMark val="out"/>
        <c:minorTickMark val="none"/>
        <c:tickLblPos val="nextTo"/>
        <c:txPr>
          <a:bodyPr rot="-2580000"/>
          <a:lstStyle/>
          <a:p>
            <a:pPr>
              <a:defRPr/>
            </a:pPr>
            <a:endParaRPr lang="en-US"/>
          </a:p>
        </c:txPr>
        <c:crossAx val="215734144"/>
        <c:crosses val="autoZero"/>
        <c:auto val="1"/>
        <c:lblAlgn val="ctr"/>
        <c:lblOffset val="100"/>
        <c:noMultiLvlLbl val="0"/>
      </c:catAx>
      <c:valAx>
        <c:axId val="215734144"/>
        <c:scaling>
          <c:orientation val="minMax"/>
        </c:scaling>
        <c:delete val="0"/>
        <c:axPos val="l"/>
        <c:majorGridlines/>
        <c:numFmt formatCode="0%" sourceLinked="0"/>
        <c:majorTickMark val="out"/>
        <c:minorTickMark val="none"/>
        <c:tickLblPos val="nextTo"/>
        <c:crossAx val="215732608"/>
        <c:crosses val="autoZero"/>
        <c:crossBetween val="between"/>
      </c:valAx>
    </c:plotArea>
    <c:legend>
      <c:legendPos val="b"/>
      <c:layout>
        <c:manualLayout>
          <c:xMode val="edge"/>
          <c:yMode val="edge"/>
          <c:x val="0.28004487339079698"/>
          <c:y val="0.93860927566574581"/>
          <c:w val="0.43674511659829496"/>
          <c:h val="6.139072433425416E-2"/>
        </c:manualLayout>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517914</xdr:colOff>
      <xdr:row>0</xdr:row>
      <xdr:rowOff>98271</xdr:rowOff>
    </xdr:from>
    <xdr:to>
      <xdr:col>1</xdr:col>
      <xdr:colOff>2007420</xdr:colOff>
      <xdr:row>5</xdr:row>
      <xdr:rowOff>152425</xdr:rowOff>
    </xdr:to>
    <xdr:pic>
      <xdr:nvPicPr>
        <xdr:cNvPr id="3" name="Picture 2">
          <a:extLst>
            <a:ext uri="{FF2B5EF4-FFF2-40B4-BE49-F238E27FC236}">
              <a16:creationId xmlns:a16="http://schemas.microsoft.com/office/drawing/2014/main" id="{BAFFE236-FBC0-366E-DF12-17D66A414B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7914" y="98271"/>
          <a:ext cx="2039839" cy="900821"/>
        </a:xfrm>
        <a:prstGeom prst="rect">
          <a:avLst/>
        </a:prstGeom>
      </xdr:spPr>
    </xdr:pic>
    <xdr:clientData/>
  </xdr:twoCellAnchor>
  <xdr:twoCellAnchor editAs="oneCell">
    <xdr:from>
      <xdr:col>6</xdr:col>
      <xdr:colOff>1016000</xdr:colOff>
      <xdr:row>0</xdr:row>
      <xdr:rowOff>152400</xdr:rowOff>
    </xdr:from>
    <xdr:to>
      <xdr:col>23</xdr:col>
      <xdr:colOff>635000</xdr:colOff>
      <xdr:row>33</xdr:row>
      <xdr:rowOff>50800</xdr:rowOff>
    </xdr:to>
    <xdr:pic>
      <xdr:nvPicPr>
        <xdr:cNvPr id="5" name="Picture 4">
          <a:extLst>
            <a:ext uri="{FF2B5EF4-FFF2-40B4-BE49-F238E27FC236}">
              <a16:creationId xmlns:a16="http://schemas.microsoft.com/office/drawing/2014/main" id="{597BF958-C0A6-D05F-9423-4043B7D215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74200" y="152400"/>
          <a:ext cx="12573000" cy="6934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389466</xdr:colOff>
      <xdr:row>0</xdr:row>
      <xdr:rowOff>83930</xdr:rowOff>
    </xdr:from>
    <xdr:to>
      <xdr:col>1</xdr:col>
      <xdr:colOff>2012046</xdr:colOff>
      <xdr:row>5</xdr:row>
      <xdr:rowOff>169374</xdr:rowOff>
    </xdr:to>
    <xdr:pic>
      <xdr:nvPicPr>
        <xdr:cNvPr id="2" name="Picture 1">
          <a:extLst>
            <a:ext uri="{FF2B5EF4-FFF2-40B4-BE49-F238E27FC236}">
              <a16:creationId xmlns:a16="http://schemas.microsoft.com/office/drawing/2014/main" id="{50FF8453-82BC-534E-89B3-3B76BA263D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9466" y="83930"/>
          <a:ext cx="2041680" cy="9744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268172</xdr:colOff>
      <xdr:row>0</xdr:row>
      <xdr:rowOff>117429</xdr:rowOff>
    </xdr:from>
    <xdr:to>
      <xdr:col>2</xdr:col>
      <xdr:colOff>1691714</xdr:colOff>
      <xdr:row>6</xdr:row>
      <xdr:rowOff>7142</xdr:rowOff>
    </xdr:to>
    <xdr:pic>
      <xdr:nvPicPr>
        <xdr:cNvPr id="2" name="Picture 1">
          <a:extLst>
            <a:ext uri="{FF2B5EF4-FFF2-40B4-BE49-F238E27FC236}">
              <a16:creationId xmlns:a16="http://schemas.microsoft.com/office/drawing/2014/main" id="{4BC1CC43-2921-124E-AF72-EC0A56AFFB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172" y="117429"/>
          <a:ext cx="2007742" cy="9565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268172</xdr:colOff>
      <xdr:row>0</xdr:row>
      <xdr:rowOff>117429</xdr:rowOff>
    </xdr:from>
    <xdr:to>
      <xdr:col>2</xdr:col>
      <xdr:colOff>1691714</xdr:colOff>
      <xdr:row>6</xdr:row>
      <xdr:rowOff>7142</xdr:rowOff>
    </xdr:to>
    <xdr:pic>
      <xdr:nvPicPr>
        <xdr:cNvPr id="2" name="Picture 1">
          <a:extLst>
            <a:ext uri="{FF2B5EF4-FFF2-40B4-BE49-F238E27FC236}">
              <a16:creationId xmlns:a16="http://schemas.microsoft.com/office/drawing/2014/main" id="{F86E8EE8-DC98-AA44-832E-45A3FD657A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172" y="117429"/>
          <a:ext cx="2007742" cy="9565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436880</xdr:colOff>
      <xdr:row>0</xdr:row>
      <xdr:rowOff>142240</xdr:rowOff>
    </xdr:from>
    <xdr:to>
      <xdr:col>2</xdr:col>
      <xdr:colOff>1809328</xdr:colOff>
      <xdr:row>5</xdr:row>
      <xdr:rowOff>169628</xdr:rowOff>
    </xdr:to>
    <xdr:pic>
      <xdr:nvPicPr>
        <xdr:cNvPr id="2" name="Picture 1">
          <a:extLst>
            <a:ext uri="{FF2B5EF4-FFF2-40B4-BE49-F238E27FC236}">
              <a16:creationId xmlns:a16="http://schemas.microsoft.com/office/drawing/2014/main" id="{73406ECC-CC22-5541-AAD0-E9FE0D8EB6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6880" y="142240"/>
          <a:ext cx="2012528" cy="9417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45</xdr:col>
      <xdr:colOff>0</xdr:colOff>
      <xdr:row>36</xdr:row>
      <xdr:rowOff>0</xdr:rowOff>
    </xdr:from>
    <xdr:to>
      <xdr:col>56</xdr:col>
      <xdr:colOff>228600</xdr:colOff>
      <xdr:row>62</xdr:row>
      <xdr:rowOff>117597</xdr:rowOff>
    </xdr:to>
    <xdr:pic>
      <xdr:nvPicPr>
        <xdr:cNvPr id="18" name="Picture 17">
          <a:extLst>
            <a:ext uri="{FF2B5EF4-FFF2-40B4-BE49-F238E27FC236}">
              <a16:creationId xmlns:a16="http://schemas.microsoft.com/office/drawing/2014/main" id="{983FC69F-B794-5B36-665B-A9D993094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998400" y="12039600"/>
          <a:ext cx="7772400" cy="4782153"/>
        </a:xfrm>
        <a:prstGeom prst="rect">
          <a:avLst/>
        </a:prstGeom>
      </xdr:spPr>
    </xdr:pic>
    <xdr:clientData/>
  </xdr:twoCellAnchor>
  <xdr:twoCellAnchor editAs="oneCell">
    <xdr:from>
      <xdr:col>0</xdr:col>
      <xdr:colOff>324255</xdr:colOff>
      <xdr:row>0</xdr:row>
      <xdr:rowOff>94575</xdr:rowOff>
    </xdr:from>
    <xdr:to>
      <xdr:col>1</xdr:col>
      <xdr:colOff>1958485</xdr:colOff>
      <xdr:row>5</xdr:row>
      <xdr:rowOff>158172</xdr:rowOff>
    </xdr:to>
    <xdr:pic>
      <xdr:nvPicPr>
        <xdr:cNvPr id="2" name="Picture 1">
          <a:extLst>
            <a:ext uri="{FF2B5EF4-FFF2-40B4-BE49-F238E27FC236}">
              <a16:creationId xmlns:a16="http://schemas.microsoft.com/office/drawing/2014/main" id="{75DD1FD5-0016-F84D-8368-917F7425CC8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4255" y="94575"/>
          <a:ext cx="2012528" cy="9417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317500</xdr:colOff>
      <xdr:row>0</xdr:row>
      <xdr:rowOff>88900</xdr:rowOff>
    </xdr:from>
    <xdr:to>
      <xdr:col>1</xdr:col>
      <xdr:colOff>1949028</xdr:colOff>
      <xdr:row>5</xdr:row>
      <xdr:rowOff>141688</xdr:rowOff>
    </xdr:to>
    <xdr:pic>
      <xdr:nvPicPr>
        <xdr:cNvPr id="2" name="Picture 1">
          <a:extLst>
            <a:ext uri="{FF2B5EF4-FFF2-40B4-BE49-F238E27FC236}">
              <a16:creationId xmlns:a16="http://schemas.microsoft.com/office/drawing/2014/main" id="{3F24C720-491A-4342-A94A-9AF7A6FABF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500" y="88900"/>
          <a:ext cx="2012528" cy="9417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292100</xdr:colOff>
      <xdr:row>0</xdr:row>
      <xdr:rowOff>127000</xdr:rowOff>
    </xdr:from>
    <xdr:to>
      <xdr:col>1</xdr:col>
      <xdr:colOff>1936328</xdr:colOff>
      <xdr:row>6</xdr:row>
      <xdr:rowOff>1988</xdr:rowOff>
    </xdr:to>
    <xdr:pic>
      <xdr:nvPicPr>
        <xdr:cNvPr id="2" name="Picture 1">
          <a:extLst>
            <a:ext uri="{FF2B5EF4-FFF2-40B4-BE49-F238E27FC236}">
              <a16:creationId xmlns:a16="http://schemas.microsoft.com/office/drawing/2014/main" id="{F956C9C0-A778-444C-A3BE-FEB0314FCC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2100" y="127000"/>
          <a:ext cx="2012528" cy="9417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263153</xdr:colOff>
      <xdr:row>0</xdr:row>
      <xdr:rowOff>137297</xdr:rowOff>
    </xdr:from>
    <xdr:to>
      <xdr:col>2</xdr:col>
      <xdr:colOff>1703609</xdr:colOff>
      <xdr:row>5</xdr:row>
      <xdr:rowOff>163770</xdr:rowOff>
    </xdr:to>
    <xdr:pic>
      <xdr:nvPicPr>
        <xdr:cNvPr id="3" name="Picture 2">
          <a:extLst>
            <a:ext uri="{FF2B5EF4-FFF2-40B4-BE49-F238E27FC236}">
              <a16:creationId xmlns:a16="http://schemas.microsoft.com/office/drawing/2014/main" id="{7B2153EC-8EEE-8845-BC8F-6A68C3790E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3153" y="137297"/>
          <a:ext cx="2012528" cy="9417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431800</xdr:colOff>
      <xdr:row>0</xdr:row>
      <xdr:rowOff>114300</xdr:rowOff>
    </xdr:from>
    <xdr:to>
      <xdr:col>2</xdr:col>
      <xdr:colOff>437728</xdr:colOff>
      <xdr:row>5</xdr:row>
      <xdr:rowOff>167088</xdr:rowOff>
    </xdr:to>
    <xdr:pic>
      <xdr:nvPicPr>
        <xdr:cNvPr id="2" name="Picture 1">
          <a:extLst>
            <a:ext uri="{FF2B5EF4-FFF2-40B4-BE49-F238E27FC236}">
              <a16:creationId xmlns:a16="http://schemas.microsoft.com/office/drawing/2014/main" id="{650E6920-54E5-AA48-B148-F1CF6BD93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1800" y="114300"/>
          <a:ext cx="2012528" cy="9417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368300</xdr:colOff>
      <xdr:row>0</xdr:row>
      <xdr:rowOff>88900</xdr:rowOff>
    </xdr:from>
    <xdr:to>
      <xdr:col>1</xdr:col>
      <xdr:colOff>1961728</xdr:colOff>
      <xdr:row>5</xdr:row>
      <xdr:rowOff>141688</xdr:rowOff>
    </xdr:to>
    <xdr:pic>
      <xdr:nvPicPr>
        <xdr:cNvPr id="2" name="Picture 1">
          <a:extLst>
            <a:ext uri="{FF2B5EF4-FFF2-40B4-BE49-F238E27FC236}">
              <a16:creationId xmlns:a16="http://schemas.microsoft.com/office/drawing/2014/main" id="{3B0A0831-FC70-454B-BF11-357271BF49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8300" y="88900"/>
          <a:ext cx="2012528" cy="9417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418829</xdr:colOff>
      <xdr:row>0</xdr:row>
      <xdr:rowOff>94575</xdr:rowOff>
    </xdr:from>
    <xdr:to>
      <xdr:col>2</xdr:col>
      <xdr:colOff>1769336</xdr:colOff>
      <xdr:row>5</xdr:row>
      <xdr:rowOff>90618</xdr:rowOff>
    </xdr:to>
    <xdr:pic>
      <xdr:nvPicPr>
        <xdr:cNvPr id="5" name="Picture 4">
          <a:extLst>
            <a:ext uri="{FF2B5EF4-FFF2-40B4-BE49-F238E27FC236}">
              <a16:creationId xmlns:a16="http://schemas.microsoft.com/office/drawing/2014/main" id="{7E461FFA-EAFA-A34A-98EA-2F478F7B05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8829" y="94575"/>
          <a:ext cx="2012528" cy="9417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381000</xdr:colOff>
      <xdr:row>0</xdr:row>
      <xdr:rowOff>127000</xdr:rowOff>
    </xdr:from>
    <xdr:to>
      <xdr:col>2</xdr:col>
      <xdr:colOff>111280</xdr:colOff>
      <xdr:row>6</xdr:row>
      <xdr:rowOff>1698</xdr:rowOff>
    </xdr:to>
    <xdr:pic>
      <xdr:nvPicPr>
        <xdr:cNvPr id="2" name="Picture 1">
          <a:extLst>
            <a:ext uri="{FF2B5EF4-FFF2-40B4-BE49-F238E27FC236}">
              <a16:creationId xmlns:a16="http://schemas.microsoft.com/office/drawing/2014/main" id="{0BF76292-203E-2B42-A5A9-1DDF82C9A5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127000"/>
          <a:ext cx="2041680" cy="97444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314086</xdr:colOff>
      <xdr:row>0</xdr:row>
      <xdr:rowOff>109247</xdr:rowOff>
    </xdr:from>
    <xdr:to>
      <xdr:col>1</xdr:col>
      <xdr:colOff>1930592</xdr:colOff>
      <xdr:row>6</xdr:row>
      <xdr:rowOff>841</xdr:rowOff>
    </xdr:to>
    <xdr:pic>
      <xdr:nvPicPr>
        <xdr:cNvPr id="2" name="Picture 1">
          <a:extLst>
            <a:ext uri="{FF2B5EF4-FFF2-40B4-BE49-F238E27FC236}">
              <a16:creationId xmlns:a16="http://schemas.microsoft.com/office/drawing/2014/main" id="{BA55EA62-10E2-1F41-BE97-A931A84D28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086" y="109247"/>
          <a:ext cx="2012528" cy="94178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596900</xdr:colOff>
      <xdr:row>0</xdr:row>
      <xdr:rowOff>139700</xdr:rowOff>
    </xdr:from>
    <xdr:to>
      <xdr:col>2</xdr:col>
      <xdr:colOff>73180</xdr:colOff>
      <xdr:row>5</xdr:row>
      <xdr:rowOff>161644</xdr:rowOff>
    </xdr:to>
    <xdr:pic>
      <xdr:nvPicPr>
        <xdr:cNvPr id="2" name="Picture 1">
          <a:extLst>
            <a:ext uri="{FF2B5EF4-FFF2-40B4-BE49-F238E27FC236}">
              <a16:creationId xmlns:a16="http://schemas.microsoft.com/office/drawing/2014/main" id="{A87550D8-CECD-E04C-B70A-BF1D4CE57D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900" y="139700"/>
          <a:ext cx="2041680" cy="97444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15240</xdr:colOff>
      <xdr:row>0</xdr:row>
      <xdr:rowOff>15240</xdr:rowOff>
    </xdr:from>
    <xdr:to>
      <xdr:col>11</xdr:col>
      <xdr:colOff>403860</xdr:colOff>
      <xdr:row>19</xdr:row>
      <xdr:rowOff>160020</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447040</xdr:colOff>
      <xdr:row>0</xdr:row>
      <xdr:rowOff>25400</xdr:rowOff>
    </xdr:from>
    <xdr:to>
      <xdr:col>23</xdr:col>
      <xdr:colOff>302260</xdr:colOff>
      <xdr:row>19</xdr:row>
      <xdr:rowOff>158750</xdr:rowOff>
    </xdr:to>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353060</xdr:colOff>
      <xdr:row>20</xdr:row>
      <xdr:rowOff>34290</xdr:rowOff>
    </xdr:from>
    <xdr:to>
      <xdr:col>17</xdr:col>
      <xdr:colOff>238760</xdr:colOff>
      <xdr:row>40</xdr:row>
      <xdr:rowOff>22860</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495300</xdr:colOff>
      <xdr:row>0</xdr:row>
      <xdr:rowOff>38100</xdr:rowOff>
    </xdr:from>
    <xdr:to>
      <xdr:col>2</xdr:col>
      <xdr:colOff>797080</xdr:colOff>
      <xdr:row>5</xdr:row>
      <xdr:rowOff>123544</xdr:rowOff>
    </xdr:to>
    <xdr:pic>
      <xdr:nvPicPr>
        <xdr:cNvPr id="2" name="Picture 1">
          <a:extLst>
            <a:ext uri="{FF2B5EF4-FFF2-40B4-BE49-F238E27FC236}">
              <a16:creationId xmlns:a16="http://schemas.microsoft.com/office/drawing/2014/main" id="{FEEC7534-1A99-0F4F-A0BE-B7B4DF3708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5300" y="38100"/>
          <a:ext cx="2041680" cy="97444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400242</xdr:colOff>
      <xdr:row>0</xdr:row>
      <xdr:rowOff>15394</xdr:rowOff>
    </xdr:from>
    <xdr:to>
      <xdr:col>2</xdr:col>
      <xdr:colOff>671619</xdr:colOff>
      <xdr:row>5</xdr:row>
      <xdr:rowOff>181656</xdr:rowOff>
    </xdr:to>
    <xdr:pic>
      <xdr:nvPicPr>
        <xdr:cNvPr id="2" name="Picture 1">
          <a:extLst>
            <a:ext uri="{FF2B5EF4-FFF2-40B4-BE49-F238E27FC236}">
              <a16:creationId xmlns:a16="http://schemas.microsoft.com/office/drawing/2014/main" id="{AE4A39DE-0456-5D46-825B-7F2557253B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0242" y="15394"/>
          <a:ext cx="2041680" cy="97444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81280</xdr:colOff>
      <xdr:row>0</xdr:row>
      <xdr:rowOff>0</xdr:rowOff>
    </xdr:from>
    <xdr:to>
      <xdr:col>3</xdr:col>
      <xdr:colOff>2031520</xdr:colOff>
      <xdr:row>3</xdr:row>
      <xdr:rowOff>161644</xdr:rowOff>
    </xdr:to>
    <xdr:pic>
      <xdr:nvPicPr>
        <xdr:cNvPr id="2" name="Picture 1">
          <a:extLst>
            <a:ext uri="{FF2B5EF4-FFF2-40B4-BE49-F238E27FC236}">
              <a16:creationId xmlns:a16="http://schemas.microsoft.com/office/drawing/2014/main" id="{C816C0A5-B29F-A14C-BE9A-A80AAD2259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4160" y="0"/>
          <a:ext cx="2041680" cy="97444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444500</xdr:colOff>
      <xdr:row>0</xdr:row>
      <xdr:rowOff>88900</xdr:rowOff>
    </xdr:from>
    <xdr:to>
      <xdr:col>2</xdr:col>
      <xdr:colOff>479580</xdr:colOff>
      <xdr:row>5</xdr:row>
      <xdr:rowOff>174344</xdr:rowOff>
    </xdr:to>
    <xdr:pic>
      <xdr:nvPicPr>
        <xdr:cNvPr id="3" name="Picture 2">
          <a:extLst>
            <a:ext uri="{FF2B5EF4-FFF2-40B4-BE49-F238E27FC236}">
              <a16:creationId xmlns:a16="http://schemas.microsoft.com/office/drawing/2014/main" id="{8ABCBA0F-32E7-574E-88CE-1BF7B98E17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4500" y="88900"/>
          <a:ext cx="2041680" cy="97444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347327</xdr:colOff>
      <xdr:row>0</xdr:row>
      <xdr:rowOff>44257</xdr:rowOff>
    </xdr:from>
    <xdr:to>
      <xdr:col>1</xdr:col>
      <xdr:colOff>1991074</xdr:colOff>
      <xdr:row>5</xdr:row>
      <xdr:rowOff>129701</xdr:rowOff>
    </xdr:to>
    <xdr:pic>
      <xdr:nvPicPr>
        <xdr:cNvPr id="2" name="Picture 1">
          <a:extLst>
            <a:ext uri="{FF2B5EF4-FFF2-40B4-BE49-F238E27FC236}">
              <a16:creationId xmlns:a16="http://schemas.microsoft.com/office/drawing/2014/main" id="{C7815C99-7265-7743-8620-A592F8FAF0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7327" y="44257"/>
          <a:ext cx="2041680" cy="974444"/>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in.investing.com/rates-bonds/india-10-year-bond-yield-historical-data" TargetMode="External"/><Relationship Id="rId7" Type="http://schemas.openxmlformats.org/officeDocument/2006/relationships/comments" Target="../comments1.xml"/><Relationship Id="rId2" Type="http://schemas.openxmlformats.org/officeDocument/2006/relationships/hyperlink" Target="https://www.godrejcp.com/" TargetMode="External"/><Relationship Id="rId1" Type="http://schemas.openxmlformats.org/officeDocument/2006/relationships/hyperlink" Target="https://varunbeverages.com/"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s://www.statista.com/outlook/tmo/it-services/united-kingdom"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CC"/>
  </sheetPr>
  <dimension ref="B7:L66"/>
  <sheetViews>
    <sheetView showGridLines="0" topLeftCell="A59" zoomScale="133" zoomScaleNormal="100" workbookViewId="0">
      <selection activeCell="C26" sqref="C26"/>
    </sheetView>
  </sheetViews>
  <sheetFormatPr baseColWidth="10" defaultColWidth="8.83203125" defaultRowHeight="14" x14ac:dyDescent="0.15"/>
  <cols>
    <col min="1" max="1" width="7.33203125" style="2" customWidth="1"/>
    <col min="2" max="2" width="38" style="2" bestFit="1" customWidth="1"/>
    <col min="3" max="3" width="16.83203125" style="115" customWidth="1"/>
    <col min="4" max="4" width="16.33203125" style="2" customWidth="1"/>
    <col min="5" max="5" width="15.1640625" style="2" customWidth="1"/>
    <col min="6" max="6" width="16.83203125" style="2" customWidth="1"/>
    <col min="7" max="7" width="13.5" style="2" customWidth="1"/>
    <col min="8" max="8" width="14.1640625" style="2" customWidth="1"/>
    <col min="9" max="9" width="15.33203125" style="2" customWidth="1"/>
    <col min="10" max="10" width="9.6640625" style="2" customWidth="1"/>
    <col min="11" max="16384" width="8.83203125" style="2"/>
  </cols>
  <sheetData>
    <row r="7" spans="2:7" x14ac:dyDescent="0.15">
      <c r="B7" s="289" t="s">
        <v>148</v>
      </c>
      <c r="C7" s="482" t="s">
        <v>302</v>
      </c>
      <c r="D7" s="482"/>
      <c r="E7" s="482"/>
      <c r="F7" s="482"/>
      <c r="G7" s="4"/>
    </row>
    <row r="8" spans="2:7" x14ac:dyDescent="0.15">
      <c r="B8" s="289" t="s">
        <v>143</v>
      </c>
      <c r="C8" s="494" t="s">
        <v>303</v>
      </c>
      <c r="D8" s="494"/>
      <c r="E8" s="494"/>
      <c r="F8" s="494"/>
    </row>
    <row r="9" spans="2:7" x14ac:dyDescent="0.15">
      <c r="B9" s="289" t="s">
        <v>144</v>
      </c>
      <c r="C9" s="494" t="s">
        <v>305</v>
      </c>
      <c r="D9" s="494"/>
      <c r="E9" s="494"/>
      <c r="F9" s="494"/>
    </row>
    <row r="10" spans="2:7" x14ac:dyDescent="0.15">
      <c r="B10" s="289" t="s">
        <v>145</v>
      </c>
      <c r="C10" s="494" t="s">
        <v>306</v>
      </c>
      <c r="D10" s="494"/>
      <c r="E10" s="494"/>
      <c r="F10" s="494"/>
    </row>
    <row r="11" spans="2:7" x14ac:dyDescent="0.15">
      <c r="B11" s="289" t="s">
        <v>146</v>
      </c>
      <c r="C11" s="494" t="s">
        <v>304</v>
      </c>
      <c r="D11" s="494"/>
      <c r="E11" s="494"/>
      <c r="F11" s="494"/>
    </row>
    <row r="12" spans="2:7" ht="16" x14ac:dyDescent="0.2">
      <c r="B12" s="289" t="s">
        <v>147</v>
      </c>
      <c r="C12" s="495" t="s">
        <v>301</v>
      </c>
      <c r="D12" s="496"/>
      <c r="E12" s="496"/>
      <c r="F12" s="496"/>
    </row>
    <row r="13" spans="2:7" ht="102" customHeight="1" x14ac:dyDescent="0.15">
      <c r="B13" s="290" t="s">
        <v>148</v>
      </c>
      <c r="C13" s="483" t="s">
        <v>359</v>
      </c>
      <c r="D13" s="484"/>
      <c r="E13" s="484"/>
      <c r="F13" s="485"/>
    </row>
    <row r="14" spans="2:7" ht="15" customHeight="1" x14ac:dyDescent="0.15">
      <c r="B14" s="289" t="s">
        <v>194</v>
      </c>
      <c r="C14" s="486">
        <v>2200.6</v>
      </c>
      <c r="D14" s="487"/>
      <c r="E14" s="487"/>
      <c r="F14" s="488"/>
    </row>
    <row r="17" spans="2:9" s="10" customFormat="1" x14ac:dyDescent="0.15">
      <c r="B17" s="481" t="s">
        <v>60</v>
      </c>
      <c r="C17" s="481"/>
      <c r="D17" s="291" t="s">
        <v>61</v>
      </c>
    </row>
    <row r="18" spans="2:9" x14ac:dyDescent="0.15">
      <c r="B18" s="493" t="s">
        <v>392</v>
      </c>
      <c r="C18" s="493"/>
      <c r="D18" s="302">
        <f>IF(B18="Best case",1,IF(B18="Base case",2,3))</f>
        <v>2</v>
      </c>
      <c r="E18" s="9"/>
    </row>
    <row r="20" spans="2:9" x14ac:dyDescent="0.15">
      <c r="E20" s="14"/>
      <c r="F20" s="9"/>
      <c r="H20" s="163"/>
    </row>
    <row r="21" spans="2:9" x14ac:dyDescent="0.15">
      <c r="B21" s="492" t="s">
        <v>55</v>
      </c>
      <c r="C21" s="492"/>
      <c r="D21" s="492"/>
      <c r="E21" s="14"/>
      <c r="F21" s="9"/>
      <c r="G21" s="41"/>
      <c r="H21" s="163"/>
      <c r="I21" s="41"/>
    </row>
    <row r="22" spans="2:9" x14ac:dyDescent="0.15">
      <c r="B22" s="187" t="s">
        <v>0</v>
      </c>
      <c r="C22" s="181"/>
      <c r="D22" s="188" t="s">
        <v>63</v>
      </c>
      <c r="E22" s="14"/>
      <c r="F22" s="9"/>
      <c r="G22" s="41"/>
      <c r="H22" s="163"/>
      <c r="I22" s="41"/>
    </row>
    <row r="23" spans="2:9" x14ac:dyDescent="0.15">
      <c r="B23" s="138" t="s">
        <v>56</v>
      </c>
      <c r="C23" s="115" t="s">
        <v>41</v>
      </c>
      <c r="D23" s="139">
        <v>30939894</v>
      </c>
      <c r="F23" s="9"/>
      <c r="G23" s="41"/>
      <c r="H23" s="163"/>
      <c r="I23" s="41"/>
    </row>
    <row r="24" spans="2:9" x14ac:dyDescent="0.15">
      <c r="B24" s="138" t="s">
        <v>62</v>
      </c>
      <c r="C24" s="115" t="s">
        <v>58</v>
      </c>
      <c r="D24" s="139">
        <v>5</v>
      </c>
      <c r="G24" s="41"/>
      <c r="H24" s="163"/>
      <c r="I24" s="41"/>
    </row>
    <row r="25" spans="2:9" x14ac:dyDescent="0.15">
      <c r="B25" s="138" t="s">
        <v>194</v>
      </c>
      <c r="C25" s="115" t="s">
        <v>58</v>
      </c>
      <c r="D25" s="139">
        <f>C14</f>
        <v>2200.6</v>
      </c>
    </row>
    <row r="26" spans="2:9" x14ac:dyDescent="0.15">
      <c r="B26" s="140" t="s">
        <v>57</v>
      </c>
      <c r="C26" s="141" t="s">
        <v>461</v>
      </c>
      <c r="D26" s="143">
        <f>D23*D25/10^7</f>
        <v>6808.6330736399996</v>
      </c>
    </row>
    <row r="27" spans="2:9" x14ac:dyDescent="0.15">
      <c r="D27" s="9"/>
    </row>
    <row r="29" spans="2:9" x14ac:dyDescent="0.15">
      <c r="B29" s="489" t="s">
        <v>38</v>
      </c>
      <c r="C29" s="490"/>
      <c r="D29" s="491"/>
    </row>
    <row r="30" spans="2:9" x14ac:dyDescent="0.15">
      <c r="B30" s="399" t="s">
        <v>54</v>
      </c>
      <c r="C30" s="400" t="s">
        <v>39</v>
      </c>
      <c r="D30" s="401">
        <v>0.04</v>
      </c>
    </row>
    <row r="31" spans="2:9" x14ac:dyDescent="0.15">
      <c r="B31" s="138" t="s">
        <v>59</v>
      </c>
      <c r="C31" s="115" t="s">
        <v>39</v>
      </c>
      <c r="D31" s="142">
        <v>6.5229999999999996E-2</v>
      </c>
    </row>
    <row r="32" spans="2:9" x14ac:dyDescent="0.15">
      <c r="B32" s="140" t="s">
        <v>375</v>
      </c>
      <c r="C32" s="141" t="s">
        <v>39</v>
      </c>
      <c r="D32" s="204">
        <f>'Cost Buildup'!G20*(1-'Cost Buildup'!G22)</f>
        <v>5.9053660221725042E-2</v>
      </c>
    </row>
    <row r="34" spans="2:12" x14ac:dyDescent="0.15">
      <c r="G34" s="384" t="s">
        <v>246</v>
      </c>
    </row>
    <row r="35" spans="2:12" x14ac:dyDescent="0.15">
      <c r="B35" s="480" t="s">
        <v>357</v>
      </c>
      <c r="C35" s="481"/>
      <c r="D35" s="481"/>
      <c r="E35" s="481"/>
      <c r="F35" s="481"/>
      <c r="G35" s="481"/>
      <c r="H35" s="481"/>
    </row>
    <row r="36" spans="2:12" x14ac:dyDescent="0.15">
      <c r="B36" s="380" t="s">
        <v>40</v>
      </c>
      <c r="C36" s="473" t="s">
        <v>320</v>
      </c>
      <c r="D36" s="466"/>
      <c r="E36" s="466" t="s">
        <v>321</v>
      </c>
      <c r="F36" s="466"/>
      <c r="G36" s="466" t="s">
        <v>355</v>
      </c>
      <c r="H36" s="467"/>
    </row>
    <row r="37" spans="2:12" s="168" customFormat="1" x14ac:dyDescent="0.2">
      <c r="B37" s="381">
        <v>2021</v>
      </c>
      <c r="C37" s="474">
        <v>1160.8900000000001</v>
      </c>
      <c r="D37" s="475"/>
      <c r="E37" s="476">
        <v>287.55</v>
      </c>
      <c r="F37" s="476"/>
      <c r="G37" s="476">
        <v>273.42</v>
      </c>
      <c r="H37" s="477"/>
      <c r="I37" s="386"/>
    </row>
    <row r="38" spans="2:12" s="197" customFormat="1" x14ac:dyDescent="0.15">
      <c r="B38" s="382">
        <v>2022</v>
      </c>
      <c r="C38" s="455">
        <v>1484.85</v>
      </c>
      <c r="D38" s="456"/>
      <c r="E38" s="453">
        <v>385.56</v>
      </c>
      <c r="F38" s="453"/>
      <c r="G38" s="453">
        <v>313.43</v>
      </c>
      <c r="H38" s="478"/>
      <c r="I38" s="385"/>
    </row>
    <row r="39" spans="2:12" x14ac:dyDescent="0.15">
      <c r="B39" s="382">
        <v>2023</v>
      </c>
      <c r="C39" s="455">
        <v>1587.61</v>
      </c>
      <c r="D39" s="456"/>
      <c r="E39" s="453">
        <v>625.76</v>
      </c>
      <c r="F39" s="453"/>
      <c r="G39" s="453">
        <v>350.02</v>
      </c>
      <c r="H39" s="478"/>
      <c r="I39" s="93"/>
    </row>
    <row r="40" spans="2:12" x14ac:dyDescent="0.15">
      <c r="B40" s="382">
        <v>2024</v>
      </c>
      <c r="C40" s="455">
        <v>1739.49</v>
      </c>
      <c r="D40" s="456"/>
      <c r="E40" s="453">
        <v>829.36</v>
      </c>
      <c r="F40" s="453"/>
      <c r="G40" s="453">
        <v>485.94</v>
      </c>
      <c r="H40" s="478"/>
      <c r="I40" s="93"/>
    </row>
    <row r="41" spans="2:12" x14ac:dyDescent="0.15">
      <c r="B41" s="383">
        <v>2025</v>
      </c>
      <c r="C41" s="457">
        <v>1980.52</v>
      </c>
      <c r="D41" s="458"/>
      <c r="E41" s="454">
        <v>932.85</v>
      </c>
      <c r="F41" s="454"/>
      <c r="G41" s="454">
        <v>541.86</v>
      </c>
      <c r="H41" s="479"/>
      <c r="I41" s="93"/>
    </row>
    <row r="42" spans="2:12" x14ac:dyDescent="0.15">
      <c r="B42" s="197"/>
      <c r="C42" s="215"/>
      <c r="D42" s="379"/>
      <c r="F42" s="41"/>
      <c r="H42" s="164"/>
    </row>
    <row r="43" spans="2:12" s="5" customFormat="1" x14ac:dyDescent="0.15">
      <c r="C43" s="24"/>
      <c r="F43" s="175"/>
      <c r="G43" s="384" t="s">
        <v>246</v>
      </c>
    </row>
    <row r="44" spans="2:12" x14ac:dyDescent="0.15">
      <c r="B44" s="471" t="s">
        <v>358</v>
      </c>
      <c r="C44" s="472"/>
      <c r="D44" s="472"/>
      <c r="E44" s="472"/>
      <c r="F44" s="472"/>
      <c r="G44" s="472"/>
      <c r="H44" s="472"/>
      <c r="I44" s="472"/>
      <c r="J44" s="472"/>
    </row>
    <row r="45" spans="2:12" x14ac:dyDescent="0.15">
      <c r="B45" s="380" t="s">
        <v>40</v>
      </c>
      <c r="C45" s="468" t="s">
        <v>350</v>
      </c>
      <c r="D45" s="469"/>
      <c r="E45" s="469" t="s">
        <v>351</v>
      </c>
      <c r="F45" s="469"/>
      <c r="G45" s="469" t="s">
        <v>352</v>
      </c>
      <c r="H45" s="469"/>
      <c r="I45" s="469" t="s">
        <v>353</v>
      </c>
      <c r="J45" s="470"/>
    </row>
    <row r="46" spans="2:12" x14ac:dyDescent="0.15">
      <c r="B46" s="196">
        <v>2021</v>
      </c>
      <c r="C46" s="387">
        <v>822.69</v>
      </c>
      <c r="D46" s="388"/>
      <c r="E46" s="389">
        <v>522.72</v>
      </c>
      <c r="F46" s="389"/>
      <c r="G46" s="389">
        <v>236.12</v>
      </c>
      <c r="H46" s="389"/>
      <c r="I46" s="389">
        <v>140.33000000000001</v>
      </c>
      <c r="J46" s="390"/>
      <c r="K46" s="41"/>
    </row>
    <row r="47" spans="2:12" x14ac:dyDescent="0.15">
      <c r="B47" s="196">
        <v>2022</v>
      </c>
      <c r="C47" s="391">
        <v>994.28</v>
      </c>
      <c r="D47" s="392"/>
      <c r="E47" s="93">
        <v>720</v>
      </c>
      <c r="F47" s="93"/>
      <c r="G47" s="93">
        <v>257.89</v>
      </c>
      <c r="H47" s="93"/>
      <c r="I47" s="93">
        <v>211.67</v>
      </c>
      <c r="J47" s="393"/>
      <c r="K47" s="41"/>
    </row>
    <row r="48" spans="2:12" x14ac:dyDescent="0.15">
      <c r="B48" s="196">
        <v>2023</v>
      </c>
      <c r="C48" s="391">
        <v>1110.71</v>
      </c>
      <c r="D48" s="392"/>
      <c r="E48" s="93">
        <v>816.19</v>
      </c>
      <c r="F48" s="93"/>
      <c r="G48" s="93">
        <v>462.63</v>
      </c>
      <c r="H48" s="93"/>
      <c r="I48" s="93">
        <v>173.86</v>
      </c>
      <c r="J48" s="393"/>
      <c r="K48" s="41"/>
      <c r="L48" s="5"/>
    </row>
    <row r="49" spans="2:12" x14ac:dyDescent="0.15">
      <c r="B49" s="196">
        <v>2024</v>
      </c>
      <c r="C49" s="391">
        <v>1352.87</v>
      </c>
      <c r="D49" s="392"/>
      <c r="E49" s="93">
        <v>944.54</v>
      </c>
      <c r="F49" s="93"/>
      <c r="G49" s="93">
        <v>536.08000000000004</v>
      </c>
      <c r="H49" s="93"/>
      <c r="I49" s="93">
        <v>221.3</v>
      </c>
      <c r="J49" s="393"/>
      <c r="K49" s="41"/>
      <c r="L49" s="5"/>
    </row>
    <row r="50" spans="2:12" x14ac:dyDescent="0.15">
      <c r="B50" s="216">
        <v>2025</v>
      </c>
      <c r="C50" s="394">
        <v>1605.38</v>
      </c>
      <c r="D50" s="395"/>
      <c r="E50" s="396">
        <v>1081.3</v>
      </c>
      <c r="F50" s="396"/>
      <c r="G50" s="396">
        <v>449.6</v>
      </c>
      <c r="H50" s="396"/>
      <c r="I50" s="396">
        <v>318.95</v>
      </c>
      <c r="J50" s="397"/>
      <c r="K50" s="41"/>
      <c r="L50" s="5"/>
    </row>
    <row r="51" spans="2:12" x14ac:dyDescent="0.15">
      <c r="L51" s="5"/>
    </row>
    <row r="52" spans="2:12" x14ac:dyDescent="0.15">
      <c r="L52" s="5"/>
    </row>
    <row r="53" spans="2:12" x14ac:dyDescent="0.15">
      <c r="L53" s="5"/>
    </row>
    <row r="54" spans="2:12" x14ac:dyDescent="0.15">
      <c r="L54" s="5"/>
    </row>
    <row r="55" spans="2:12" ht="15.5" customHeight="1" x14ac:dyDescent="0.2">
      <c r="B55" s="292" t="s">
        <v>295</v>
      </c>
      <c r="C55" s="292" t="s">
        <v>159</v>
      </c>
      <c r="D55" s="459" t="s">
        <v>38</v>
      </c>
      <c r="E55" s="459"/>
      <c r="F55" s="459"/>
      <c r="G55" s="459"/>
      <c r="H55" s="459"/>
      <c r="I55" s="459"/>
      <c r="J55" s="459"/>
    </row>
    <row r="56" spans="2:12" ht="68" customHeight="1" x14ac:dyDescent="0.15">
      <c r="B56" s="498" t="s">
        <v>360</v>
      </c>
      <c r="C56" s="287" t="s">
        <v>361</v>
      </c>
      <c r="D56" s="460" t="s">
        <v>462</v>
      </c>
      <c r="E56" s="461"/>
      <c r="F56" s="461"/>
      <c r="G56" s="461"/>
      <c r="H56" s="461"/>
      <c r="I56" s="461"/>
      <c r="J56" s="462"/>
    </row>
    <row r="57" spans="2:12" ht="47" customHeight="1" x14ac:dyDescent="0.15">
      <c r="B57" s="499"/>
      <c r="C57" s="288" t="s">
        <v>371</v>
      </c>
      <c r="D57" s="463" t="s">
        <v>463</v>
      </c>
      <c r="E57" s="464"/>
      <c r="F57" s="464"/>
      <c r="G57" s="464"/>
      <c r="H57" s="464"/>
      <c r="I57" s="464"/>
      <c r="J57" s="465"/>
    </row>
    <row r="58" spans="2:12" ht="41" customHeight="1" x14ac:dyDescent="0.15">
      <c r="B58" s="498" t="s">
        <v>362</v>
      </c>
      <c r="C58" s="288" t="s">
        <v>372</v>
      </c>
      <c r="D58" s="460" t="s">
        <v>464</v>
      </c>
      <c r="E58" s="461"/>
      <c r="F58" s="461"/>
      <c r="G58" s="461"/>
      <c r="H58" s="461"/>
      <c r="I58" s="461"/>
      <c r="J58" s="462"/>
    </row>
    <row r="59" spans="2:12" ht="39" customHeight="1" x14ac:dyDescent="0.15">
      <c r="B59" s="500"/>
      <c r="C59" s="287" t="s">
        <v>373</v>
      </c>
      <c r="D59" s="460" t="s">
        <v>389</v>
      </c>
      <c r="E59" s="461"/>
      <c r="F59" s="461"/>
      <c r="G59" s="461"/>
      <c r="H59" s="461"/>
      <c r="I59" s="461"/>
      <c r="J59" s="462"/>
    </row>
    <row r="60" spans="2:12" ht="39" customHeight="1" x14ac:dyDescent="0.15">
      <c r="B60" s="499"/>
      <c r="C60" s="286" t="s">
        <v>366</v>
      </c>
      <c r="D60" s="497" t="s">
        <v>394</v>
      </c>
      <c r="E60" s="497"/>
      <c r="F60" s="497"/>
      <c r="G60" s="497"/>
      <c r="H60" s="497"/>
      <c r="I60" s="497"/>
      <c r="J60" s="497"/>
    </row>
    <row r="61" spans="2:12" ht="37" customHeight="1" x14ac:dyDescent="0.15">
      <c r="B61" s="498" t="s">
        <v>363</v>
      </c>
      <c r="C61" s="287" t="s">
        <v>364</v>
      </c>
      <c r="D61" s="460" t="s">
        <v>379</v>
      </c>
      <c r="E61" s="461"/>
      <c r="F61" s="461"/>
      <c r="G61" s="461"/>
      <c r="H61" s="461"/>
      <c r="I61" s="461"/>
      <c r="J61" s="462"/>
    </row>
    <row r="62" spans="2:12" ht="29" customHeight="1" x14ac:dyDescent="0.15">
      <c r="B62" s="499"/>
      <c r="C62" s="287" t="s">
        <v>378</v>
      </c>
      <c r="D62" s="460" t="s">
        <v>377</v>
      </c>
      <c r="E62" s="461"/>
      <c r="F62" s="461"/>
      <c r="G62" s="461"/>
      <c r="H62" s="461"/>
      <c r="I62" s="461"/>
      <c r="J62" s="462"/>
    </row>
    <row r="63" spans="2:12" ht="38" customHeight="1" x14ac:dyDescent="0.15">
      <c r="B63" s="398" t="s">
        <v>369</v>
      </c>
      <c r="C63" s="285" t="s">
        <v>374</v>
      </c>
      <c r="D63" s="497" t="s">
        <v>380</v>
      </c>
      <c r="E63" s="497"/>
      <c r="F63" s="497"/>
      <c r="G63" s="497"/>
      <c r="H63" s="497"/>
      <c r="I63" s="497"/>
      <c r="J63" s="497"/>
    </row>
    <row r="64" spans="2:12" ht="45" customHeight="1" x14ac:dyDescent="0.15">
      <c r="B64" s="285" t="s">
        <v>154</v>
      </c>
      <c r="C64" s="287" t="s">
        <v>370</v>
      </c>
      <c r="D64" s="497" t="s">
        <v>390</v>
      </c>
      <c r="E64" s="497"/>
      <c r="F64" s="497"/>
      <c r="G64" s="497"/>
      <c r="H64" s="497"/>
      <c r="I64" s="497"/>
      <c r="J64" s="497"/>
    </row>
    <row r="65" spans="2:10" ht="55" customHeight="1" x14ac:dyDescent="0.15">
      <c r="B65" s="443" t="s">
        <v>155</v>
      </c>
      <c r="C65" s="287" t="s">
        <v>367</v>
      </c>
      <c r="D65" s="497" t="s">
        <v>465</v>
      </c>
      <c r="E65" s="497"/>
      <c r="F65" s="497"/>
      <c r="G65" s="497"/>
      <c r="H65" s="497"/>
      <c r="I65" s="497"/>
      <c r="J65" s="497"/>
    </row>
    <row r="66" spans="2:10" ht="32" customHeight="1" x14ac:dyDescent="0.15">
      <c r="B66" s="433" t="s">
        <v>157</v>
      </c>
      <c r="C66" s="285" t="s">
        <v>368</v>
      </c>
      <c r="D66" s="497" t="s">
        <v>365</v>
      </c>
      <c r="E66" s="497"/>
      <c r="F66" s="497"/>
      <c r="G66" s="497"/>
      <c r="H66" s="497"/>
      <c r="I66" s="497"/>
      <c r="J66" s="497"/>
    </row>
  </sheetData>
  <mergeCells count="51">
    <mergeCell ref="D65:J65"/>
    <mergeCell ref="D64:J64"/>
    <mergeCell ref="D66:J66"/>
    <mergeCell ref="D63:J63"/>
    <mergeCell ref="B56:B57"/>
    <mergeCell ref="B58:B60"/>
    <mergeCell ref="D62:J62"/>
    <mergeCell ref="B61:B62"/>
    <mergeCell ref="D56:J56"/>
    <mergeCell ref="D60:J60"/>
    <mergeCell ref="B35:H35"/>
    <mergeCell ref="C7:F7"/>
    <mergeCell ref="C13:F13"/>
    <mergeCell ref="C14:F14"/>
    <mergeCell ref="B29:D29"/>
    <mergeCell ref="B21:D21"/>
    <mergeCell ref="B17:C17"/>
    <mergeCell ref="B18:C18"/>
    <mergeCell ref="C8:F8"/>
    <mergeCell ref="C9:F9"/>
    <mergeCell ref="C10:F10"/>
    <mergeCell ref="C11:F11"/>
    <mergeCell ref="C12:F12"/>
    <mergeCell ref="G36:H36"/>
    <mergeCell ref="C45:D45"/>
    <mergeCell ref="E45:F45"/>
    <mergeCell ref="G45:H45"/>
    <mergeCell ref="I45:J45"/>
    <mergeCell ref="B44:J44"/>
    <mergeCell ref="C36:D36"/>
    <mergeCell ref="E36:F36"/>
    <mergeCell ref="C37:D37"/>
    <mergeCell ref="G37:H37"/>
    <mergeCell ref="G38:H38"/>
    <mergeCell ref="G39:H39"/>
    <mergeCell ref="G40:H40"/>
    <mergeCell ref="G41:H41"/>
    <mergeCell ref="E37:F37"/>
    <mergeCell ref="E38:F38"/>
    <mergeCell ref="D55:J55"/>
    <mergeCell ref="D58:J58"/>
    <mergeCell ref="D61:J61"/>
    <mergeCell ref="D59:J59"/>
    <mergeCell ref="D57:J57"/>
    <mergeCell ref="E39:F39"/>
    <mergeCell ref="E40:F40"/>
    <mergeCell ref="E41:F41"/>
    <mergeCell ref="C38:D38"/>
    <mergeCell ref="C39:D39"/>
    <mergeCell ref="C40:D40"/>
    <mergeCell ref="C41:D41"/>
  </mergeCells>
  <dataValidations count="1">
    <dataValidation type="list" allowBlank="1" showInputMessage="1" showErrorMessage="1" sqref="B18:C18" xr:uid="{00000000-0002-0000-0000-000000000000}">
      <formula1>"Best case, Base case, Worst case"</formula1>
    </dataValidation>
  </dataValidations>
  <hyperlinks>
    <hyperlink ref="C12:F12" r:id="rId1" display="https://varunbeverages.com/" xr:uid="{C300CA1E-65CD-45D1-964B-6773A20E32D3}"/>
    <hyperlink ref="C12" r:id="rId2" display="https://www.godrejcp.com/" xr:uid="{F92631FB-178E-A543-A096-62AF064DA4DF}"/>
    <hyperlink ref="D31" r:id="rId3" display="https://in.investing.com/rates-bonds/india-10-year-bond-yield-historical-data" xr:uid="{7C2A32BD-8C45-BA40-A8B1-D577F6163D2F}"/>
  </hyperlinks>
  <pageMargins left="0.7" right="0.7" top="0.75" bottom="0.75" header="0.3" footer="0.3"/>
  <pageSetup orientation="portrait" r:id="rId4"/>
  <drawing r:id="rId5"/>
  <legacy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CC"/>
  </sheetPr>
  <dimension ref="B1:R70"/>
  <sheetViews>
    <sheetView showGridLines="0" zoomScaleNormal="100" workbookViewId="0">
      <selection activeCell="B43" sqref="B43"/>
    </sheetView>
  </sheetViews>
  <sheetFormatPr baseColWidth="10" defaultColWidth="8.83203125" defaultRowHeight="14" x14ac:dyDescent="0.15"/>
  <cols>
    <col min="1" max="1" width="5.5" style="2" customWidth="1"/>
    <col min="2" max="2" width="36.6640625" style="1" bestFit="1" customWidth="1"/>
    <col min="3" max="3" width="13.1640625" style="1" bestFit="1" customWidth="1"/>
    <col min="4" max="6" width="13.1640625" style="9" bestFit="1" customWidth="1"/>
    <col min="7" max="7" width="13.5" style="9" customWidth="1"/>
    <col min="8" max="9" width="8.83203125" style="2"/>
    <col min="10" max="10" width="11" style="2" bestFit="1" customWidth="1"/>
    <col min="11" max="16384" width="8.83203125" style="2"/>
  </cols>
  <sheetData>
    <row r="1" spans="2:18" x14ac:dyDescent="0.15">
      <c r="D1" s="2"/>
      <c r="E1" s="2"/>
      <c r="F1" s="2"/>
      <c r="G1" s="2"/>
    </row>
    <row r="2" spans="2:18" x14ac:dyDescent="0.15">
      <c r="D2" s="2"/>
      <c r="E2" s="2"/>
      <c r="F2" s="2"/>
      <c r="G2" s="2"/>
    </row>
    <row r="3" spans="2:18" x14ac:dyDescent="0.15">
      <c r="D3" s="2"/>
      <c r="E3" s="2"/>
      <c r="F3" s="2"/>
      <c r="G3" s="2"/>
    </row>
    <row r="4" spans="2:18" x14ac:dyDescent="0.15">
      <c r="D4" s="2"/>
      <c r="E4" s="2"/>
      <c r="F4" s="2"/>
      <c r="G4" s="2"/>
    </row>
    <row r="5" spans="2:18" x14ac:dyDescent="0.15">
      <c r="D5" s="2"/>
      <c r="E5" s="2"/>
      <c r="F5" s="2"/>
      <c r="G5" s="2"/>
    </row>
    <row r="6" spans="2:18" ht="14.5" customHeight="1" x14ac:dyDescent="0.15">
      <c r="B6" s="3"/>
      <c r="C6" s="3"/>
      <c r="D6" s="2"/>
      <c r="E6" s="2"/>
      <c r="F6" s="503" t="s">
        <v>64</v>
      </c>
      <c r="G6" s="503"/>
    </row>
    <row r="7" spans="2:18" ht="16.75" customHeight="1" x14ac:dyDescent="0.2">
      <c r="B7" s="504" t="s">
        <v>149</v>
      </c>
      <c r="C7" s="505"/>
      <c r="D7" s="505"/>
      <c r="E7" s="505"/>
      <c r="F7" s="505"/>
      <c r="G7" s="506"/>
    </row>
    <row r="8" spans="2:18" s="4" customFormat="1" x14ac:dyDescent="0.15">
      <c r="B8" s="501" t="s">
        <v>0</v>
      </c>
      <c r="C8" s="195">
        <v>2021</v>
      </c>
      <c r="D8" s="195">
        <v>2022</v>
      </c>
      <c r="E8" s="195">
        <v>2023</v>
      </c>
      <c r="F8" s="195">
        <v>2024</v>
      </c>
      <c r="G8" s="195">
        <v>2025</v>
      </c>
      <c r="I8" s="2"/>
      <c r="J8" s="2"/>
      <c r="K8" s="2"/>
      <c r="L8" s="2"/>
      <c r="M8" s="2"/>
      <c r="N8" s="2"/>
      <c r="O8" s="2"/>
      <c r="P8" s="2"/>
      <c r="Q8" s="2"/>
      <c r="R8" s="2"/>
    </row>
    <row r="9" spans="2:18" x14ac:dyDescent="0.15">
      <c r="B9" s="502"/>
      <c r="C9" s="13" t="s">
        <v>1</v>
      </c>
      <c r="D9" s="13" t="s">
        <v>1</v>
      </c>
      <c r="E9" s="13" t="s">
        <v>1</v>
      </c>
      <c r="F9" s="13" t="s">
        <v>1</v>
      </c>
      <c r="G9" s="13" t="s">
        <v>1</v>
      </c>
    </row>
    <row r="10" spans="2:18" x14ac:dyDescent="0.15">
      <c r="B10" s="23"/>
      <c r="C10" s="23"/>
      <c r="D10" s="24"/>
      <c r="E10" s="24"/>
      <c r="F10" s="24"/>
      <c r="G10" s="24"/>
    </row>
    <row r="11" spans="2:18" ht="16" x14ac:dyDescent="0.2">
      <c r="B11" s="1" t="s">
        <v>310</v>
      </c>
      <c r="C11" s="198">
        <v>1720.77</v>
      </c>
      <c r="D11" s="6">
        <v>2179.86</v>
      </c>
      <c r="E11" s="6">
        <v>2558.1999999999998</v>
      </c>
      <c r="F11" s="6">
        <v>3049.24</v>
      </c>
      <c r="G11" s="6">
        <v>3447.82</v>
      </c>
      <c r="H11" s="223"/>
    </row>
    <row r="12" spans="2:18" ht="16" x14ac:dyDescent="0.2">
      <c r="B12" s="1" t="s">
        <v>311</v>
      </c>
      <c r="C12" s="198">
        <v>1.0900000000000001</v>
      </c>
      <c r="D12" s="6">
        <v>3.98</v>
      </c>
      <c r="E12" s="6">
        <v>5.19</v>
      </c>
      <c r="F12" s="6">
        <v>5.55</v>
      </c>
      <c r="G12" s="6">
        <v>7.41</v>
      </c>
      <c r="H12" s="223"/>
    </row>
    <row r="13" spans="2:18" ht="15" x14ac:dyDescent="0.2">
      <c r="C13" s="9"/>
      <c r="H13" s="223"/>
    </row>
    <row r="14" spans="2:18" s="4" customFormat="1" ht="15" x14ac:dyDescent="0.15">
      <c r="B14" s="12" t="s">
        <v>8</v>
      </c>
      <c r="C14" s="11">
        <f>SUM(C11:C12)</f>
        <v>1721.86</v>
      </c>
      <c r="D14" s="11">
        <f t="shared" ref="D14:G14" si="0">SUM(D11:D12)</f>
        <v>2183.84</v>
      </c>
      <c r="E14" s="11">
        <f t="shared" si="0"/>
        <v>2563.39</v>
      </c>
      <c r="F14" s="11">
        <f t="shared" si="0"/>
        <v>3054.79</v>
      </c>
      <c r="G14" s="11">
        <f t="shared" si="0"/>
        <v>3455.23</v>
      </c>
      <c r="I14" s="2"/>
      <c r="J14" s="2"/>
      <c r="K14" s="2"/>
      <c r="L14" s="2"/>
      <c r="M14" s="2"/>
      <c r="N14" s="2"/>
      <c r="O14" s="2"/>
      <c r="P14" s="2"/>
      <c r="Q14" s="2"/>
      <c r="R14" s="2"/>
    </row>
    <row r="16" spans="2:18" s="4" customFormat="1" ht="15" x14ac:dyDescent="0.15">
      <c r="B16" s="7" t="s">
        <v>7</v>
      </c>
      <c r="C16" s="7"/>
      <c r="D16" s="8"/>
      <c r="E16" s="8"/>
      <c r="F16" s="8"/>
      <c r="G16" s="8"/>
      <c r="I16" s="2"/>
      <c r="J16" s="2"/>
      <c r="K16" s="2"/>
      <c r="L16" s="2"/>
      <c r="M16" s="2"/>
      <c r="N16" s="2"/>
      <c r="O16" s="2"/>
      <c r="P16" s="2"/>
      <c r="Q16" s="2"/>
      <c r="R16" s="2"/>
    </row>
    <row r="17" spans="2:18" ht="15" x14ac:dyDescent="0.15">
      <c r="B17" s="1" t="s">
        <v>9</v>
      </c>
      <c r="C17" s="198">
        <v>882.72</v>
      </c>
      <c r="D17" s="6">
        <v>1095.45</v>
      </c>
      <c r="E17" s="6">
        <v>1376.75</v>
      </c>
      <c r="F17" s="6">
        <v>1670.91</v>
      </c>
      <c r="G17" s="6">
        <v>1859.03</v>
      </c>
    </row>
    <row r="18" spans="2:18" ht="15" x14ac:dyDescent="0.15">
      <c r="B18" s="1" t="s">
        <v>12</v>
      </c>
      <c r="C18" s="198">
        <v>474.67</v>
      </c>
      <c r="D18" s="6">
        <v>625.88</v>
      </c>
      <c r="E18" s="6">
        <v>730.79</v>
      </c>
      <c r="F18" s="6">
        <v>875.21</v>
      </c>
      <c r="G18" s="6">
        <v>1049.75</v>
      </c>
    </row>
    <row r="20" spans="2:18" s="4" customFormat="1" ht="15" x14ac:dyDescent="0.15">
      <c r="B20" s="12" t="s">
        <v>13</v>
      </c>
      <c r="C20" s="11">
        <f>SUM(C17:C18)</f>
        <v>1357.39</v>
      </c>
      <c r="D20" s="11">
        <f>SUM(D17:D18)</f>
        <v>1721.33</v>
      </c>
      <c r="E20" s="11">
        <f>SUM(E17:E18)</f>
        <v>2107.54</v>
      </c>
      <c r="F20" s="11">
        <f>SUM(F17:F18)</f>
        <v>2546.12</v>
      </c>
      <c r="G20" s="11">
        <f>SUM(G17:G18)</f>
        <v>2908.7799999999997</v>
      </c>
      <c r="I20" s="2"/>
      <c r="J20" s="2"/>
      <c r="K20" s="2"/>
      <c r="L20" s="2"/>
      <c r="M20" s="2"/>
      <c r="N20" s="2"/>
      <c r="O20" s="2"/>
      <c r="P20" s="2"/>
      <c r="Q20" s="2"/>
      <c r="R20" s="2"/>
    </row>
    <row r="21" spans="2:18" x14ac:dyDescent="0.15">
      <c r="C21" s="9"/>
    </row>
    <row r="22" spans="2:18" s="4" customFormat="1" ht="15" x14ac:dyDescent="0.15">
      <c r="B22" s="7" t="s">
        <v>14</v>
      </c>
      <c r="C22" s="8">
        <f>C14-C20</f>
        <v>364.4699999999998</v>
      </c>
      <c r="D22" s="8">
        <f>D14-D20</f>
        <v>462.51000000000022</v>
      </c>
      <c r="E22" s="8">
        <f>E14-E20</f>
        <v>455.84999999999991</v>
      </c>
      <c r="F22" s="8">
        <f>F14-F20</f>
        <v>508.67000000000007</v>
      </c>
      <c r="G22" s="155">
        <f>G14-G20</f>
        <v>546.45000000000027</v>
      </c>
    </row>
    <row r="23" spans="2:18" x14ac:dyDescent="0.15">
      <c r="C23" s="9"/>
    </row>
    <row r="24" spans="2:18" ht="16" x14ac:dyDescent="0.2">
      <c r="B24" s="1" t="s">
        <v>11</v>
      </c>
      <c r="C24" s="6">
        <v>44.95</v>
      </c>
      <c r="D24" s="6">
        <v>42.87</v>
      </c>
      <c r="E24" s="6">
        <v>67.37</v>
      </c>
      <c r="F24" s="6">
        <v>89.91</v>
      </c>
      <c r="G24" s="6">
        <v>75.12</v>
      </c>
      <c r="I24" s="224"/>
      <c r="J24"/>
      <c r="K24" s="224"/>
      <c r="L24" s="224"/>
      <c r="M24" s="224"/>
      <c r="N24" s="228"/>
      <c r="O24" s="228"/>
      <c r="P24" s="228"/>
      <c r="Q24" s="228"/>
      <c r="R24" s="228"/>
    </row>
    <row r="25" spans="2:18" ht="15" x14ac:dyDescent="0.2">
      <c r="C25" s="9"/>
      <c r="I25"/>
      <c r="J25" s="225"/>
      <c r="K25" s="225"/>
      <c r="L25" s="225"/>
      <c r="M25" s="225"/>
      <c r="N25" s="223"/>
      <c r="O25" s="223"/>
      <c r="P25" s="223"/>
      <c r="Q25" s="223"/>
      <c r="R25" s="223"/>
    </row>
    <row r="26" spans="2:18" s="4" customFormat="1" ht="16" x14ac:dyDescent="0.2">
      <c r="B26" s="7" t="s">
        <v>15</v>
      </c>
      <c r="C26" s="8">
        <f>C22-C24</f>
        <v>319.51999999999981</v>
      </c>
      <c r="D26" s="8">
        <f>D22-D24</f>
        <v>419.64000000000021</v>
      </c>
      <c r="E26" s="8">
        <f t="shared" ref="E26:G26" si="1">E22-E24</f>
        <v>388.4799999999999</v>
      </c>
      <c r="F26" s="8">
        <f t="shared" si="1"/>
        <v>418.7600000000001</v>
      </c>
      <c r="G26" s="155">
        <f t="shared" si="1"/>
        <v>471.33000000000027</v>
      </c>
      <c r="I26" s="363"/>
      <c r="J26" s="364"/>
      <c r="K26" s="364"/>
      <c r="L26" s="364"/>
      <c r="M26" s="364"/>
      <c r="N26" s="223"/>
      <c r="O26" s="223"/>
      <c r="P26" s="223"/>
      <c r="Q26" s="223"/>
      <c r="R26" s="223"/>
    </row>
    <row r="27" spans="2:18" s="4" customFormat="1" ht="15" x14ac:dyDescent="0.2">
      <c r="B27" s="7"/>
      <c r="C27" s="8"/>
      <c r="D27" s="8"/>
      <c r="E27" s="8"/>
      <c r="F27" s="8"/>
      <c r="G27" s="8"/>
      <c r="I27" s="224"/>
      <c r="J27"/>
      <c r="K27" s="224"/>
      <c r="L27" s="224"/>
      <c r="M27" s="224"/>
      <c r="N27" s="227"/>
      <c r="O27" s="227"/>
      <c r="P27" s="227"/>
      <c r="Q27" s="227"/>
      <c r="R27" s="227"/>
    </row>
    <row r="28" spans="2:18" ht="16" x14ac:dyDescent="0.2">
      <c r="B28" s="1" t="s">
        <v>6</v>
      </c>
      <c r="C28" s="6">
        <v>27.91</v>
      </c>
      <c r="D28" s="6">
        <v>36.08</v>
      </c>
      <c r="E28" s="6">
        <v>38.29</v>
      </c>
      <c r="F28" s="6">
        <v>16.010000000000002</v>
      </c>
      <c r="G28" s="6">
        <v>22.28</v>
      </c>
      <c r="I28" s="224"/>
      <c r="J28"/>
      <c r="K28" s="224"/>
      <c r="L28" s="224"/>
      <c r="M28" s="224"/>
      <c r="N28" s="229"/>
      <c r="O28" s="229"/>
      <c r="P28" s="229"/>
      <c r="Q28" s="229"/>
      <c r="R28" s="229"/>
    </row>
    <row r="29" spans="2:18" ht="15" x14ac:dyDescent="0.2">
      <c r="C29" s="9"/>
      <c r="I29"/>
      <c r="J29" s="225"/>
      <c r="K29" s="225"/>
      <c r="L29" s="225"/>
      <c r="M29" s="225"/>
      <c r="N29" s="223"/>
      <c r="O29" s="223"/>
      <c r="P29" s="223"/>
      <c r="Q29" s="223"/>
      <c r="R29" s="223"/>
    </row>
    <row r="30" spans="2:18" ht="16" x14ac:dyDescent="0.2">
      <c r="B30" s="1" t="s">
        <v>10</v>
      </c>
      <c r="C30" s="6">
        <v>8.1</v>
      </c>
      <c r="D30" s="6">
        <v>7.68</v>
      </c>
      <c r="E30" s="6">
        <v>24.72</v>
      </c>
      <c r="F30" s="6">
        <v>44.47</v>
      </c>
      <c r="G30" s="6">
        <v>42.06</v>
      </c>
      <c r="I30"/>
      <c r="J30" s="225"/>
      <c r="K30" s="225"/>
      <c r="L30" s="225"/>
      <c r="M30" s="225"/>
      <c r="N30" s="223"/>
      <c r="O30" s="223"/>
      <c r="P30" s="223"/>
      <c r="Q30" s="223"/>
      <c r="R30" s="223"/>
    </row>
    <row r="31" spans="2:18" ht="15" x14ac:dyDescent="0.2">
      <c r="C31" s="6"/>
      <c r="D31" s="6"/>
      <c r="E31" s="6"/>
      <c r="F31" s="6"/>
      <c r="G31" s="6"/>
      <c r="I31"/>
      <c r="J31" s="225"/>
      <c r="K31" s="225"/>
      <c r="L31" s="225"/>
      <c r="M31" s="225"/>
      <c r="N31" s="223"/>
      <c r="O31" s="223"/>
      <c r="P31" s="223"/>
      <c r="Q31" s="223"/>
      <c r="R31" s="223"/>
    </row>
    <row r="32" spans="2:18" s="152" customFormat="1" ht="15" x14ac:dyDescent="0.2">
      <c r="B32" s="151" t="s">
        <v>309</v>
      </c>
      <c r="C32" s="153">
        <f>C26+C28-C30</f>
        <v>339.32999999999981</v>
      </c>
      <c r="D32" s="153">
        <f>D26+D28-D30</f>
        <v>448.04000000000019</v>
      </c>
      <c r="E32" s="153">
        <f t="shared" ref="E32:G32" si="2">E26+E28-E30</f>
        <v>402.04999999999995</v>
      </c>
      <c r="F32" s="153">
        <f t="shared" si="2"/>
        <v>390.30000000000007</v>
      </c>
      <c r="G32" s="156">
        <f t="shared" si="2"/>
        <v>451.55000000000024</v>
      </c>
      <c r="I32"/>
      <c r="J32" s="225"/>
      <c r="K32" s="225"/>
      <c r="L32" s="225"/>
      <c r="M32" s="225"/>
      <c r="N32" s="223"/>
      <c r="O32" s="223"/>
      <c r="P32" s="223"/>
      <c r="Q32" s="223"/>
      <c r="R32" s="223"/>
    </row>
    <row r="33" spans="2:18" ht="15" x14ac:dyDescent="0.2">
      <c r="C33" s="6"/>
      <c r="D33" s="6"/>
      <c r="E33" s="6"/>
      <c r="F33" s="6"/>
      <c r="G33" s="6"/>
      <c r="I33"/>
      <c r="J33" s="225"/>
      <c r="K33" s="357"/>
      <c r="L33" s="357"/>
      <c r="M33" s="357"/>
      <c r="N33" s="358"/>
      <c r="O33" s="358"/>
      <c r="P33" s="223"/>
      <c r="Q33" s="223"/>
      <c r="R33" s="223"/>
    </row>
    <row r="34" spans="2:18" ht="16" x14ac:dyDescent="0.2">
      <c r="B34" s="1" t="s">
        <v>195</v>
      </c>
      <c r="C34" s="20">
        <v>0</v>
      </c>
      <c r="D34" s="20">
        <v>0</v>
      </c>
      <c r="E34" s="20">
        <v>25.32</v>
      </c>
      <c r="F34" s="20">
        <v>-4.1100000000000003</v>
      </c>
      <c r="G34" s="20">
        <v>7.61</v>
      </c>
      <c r="I34" s="224"/>
      <c r="J34"/>
      <c r="K34" s="355"/>
      <c r="L34" s="355"/>
      <c r="M34" s="355"/>
      <c r="N34" s="356"/>
      <c r="O34" s="356"/>
      <c r="P34" s="227"/>
      <c r="Q34" s="227"/>
      <c r="R34" s="227"/>
    </row>
    <row r="35" spans="2:18" ht="15" x14ac:dyDescent="0.2">
      <c r="C35" s="9"/>
      <c r="E35" s="20"/>
      <c r="F35" s="20"/>
      <c r="I35"/>
      <c r="J35" s="225"/>
      <c r="K35" s="359"/>
      <c r="L35" s="359"/>
      <c r="M35" s="359"/>
      <c r="N35" s="360"/>
      <c r="O35" s="360"/>
      <c r="P35" s="230"/>
      <c r="Q35" s="230"/>
      <c r="R35" s="230"/>
    </row>
    <row r="36" spans="2:18" s="4" customFormat="1" ht="16" x14ac:dyDescent="0.2">
      <c r="B36" s="7" t="s">
        <v>16</v>
      </c>
      <c r="C36" s="8">
        <f>C32+C34</f>
        <v>339.32999999999981</v>
      </c>
      <c r="D36" s="8">
        <f t="shared" ref="D36:G36" si="3">D32+D34</f>
        <v>448.04000000000019</v>
      </c>
      <c r="E36" s="8">
        <f t="shared" si="3"/>
        <v>427.36999999999995</v>
      </c>
      <c r="F36" s="8">
        <f t="shared" si="3"/>
        <v>386.19000000000005</v>
      </c>
      <c r="G36" s="8">
        <f t="shared" si="3"/>
        <v>459.16000000000025</v>
      </c>
      <c r="I36" s="363"/>
      <c r="J36" s="364"/>
      <c r="K36" s="365"/>
      <c r="L36" s="365"/>
      <c r="M36" s="365"/>
      <c r="N36" s="226"/>
      <c r="O36" s="226"/>
      <c r="P36" s="226"/>
      <c r="Q36" s="226"/>
      <c r="R36" s="226"/>
    </row>
    <row r="37" spans="2:18" ht="15" x14ac:dyDescent="0.2">
      <c r="C37" s="9"/>
      <c r="I37"/>
      <c r="J37" s="225"/>
      <c r="K37" s="224"/>
      <c r="L37" s="224"/>
      <c r="M37" s="224"/>
      <c r="N37" s="223"/>
      <c r="O37" s="223"/>
      <c r="P37" s="223"/>
      <c r="Q37" s="223"/>
      <c r="R37" s="223"/>
    </row>
    <row r="38" spans="2:18" ht="16" x14ac:dyDescent="0.2">
      <c r="B38" s="1" t="s">
        <v>17</v>
      </c>
      <c r="C38" s="20">
        <v>87.58</v>
      </c>
      <c r="D38" s="20">
        <v>114.62</v>
      </c>
      <c r="E38" s="6">
        <v>117.1</v>
      </c>
      <c r="F38" s="6">
        <v>75.22</v>
      </c>
      <c r="G38" s="20">
        <v>83.23</v>
      </c>
      <c r="I38" s="224"/>
      <c r="J38"/>
      <c r="K38" s="224"/>
      <c r="L38" s="224"/>
      <c r="M38" s="224"/>
      <c r="N38" s="227"/>
      <c r="O38" s="227"/>
      <c r="P38" s="227"/>
      <c r="Q38" s="227"/>
      <c r="R38" s="227"/>
    </row>
    <row r="39" spans="2:18" ht="15" x14ac:dyDescent="0.2">
      <c r="C39" s="9"/>
      <c r="I39"/>
      <c r="J39" s="224"/>
      <c r="K39" s="224"/>
      <c r="L39" s="224"/>
      <c r="M39" s="224"/>
      <c r="N39" s="229"/>
      <c r="O39" s="229"/>
      <c r="P39" s="229"/>
      <c r="Q39" s="229"/>
      <c r="R39" s="229"/>
    </row>
    <row r="40" spans="2:18" s="4" customFormat="1" ht="16" x14ac:dyDescent="0.2">
      <c r="B40" s="12" t="s">
        <v>18</v>
      </c>
      <c r="C40" s="11">
        <f>C36-C38</f>
        <v>251.74999999999983</v>
      </c>
      <c r="D40" s="11">
        <f>D36-D38</f>
        <v>333.42000000000019</v>
      </c>
      <c r="E40" s="11">
        <f t="shared" ref="E40:G40" si="4">E36-E38</f>
        <v>310.27</v>
      </c>
      <c r="F40" s="11">
        <f t="shared" si="4"/>
        <v>310.97000000000003</v>
      </c>
      <c r="G40" s="157">
        <f t="shared" si="4"/>
        <v>375.93000000000023</v>
      </c>
      <c r="I40"/>
      <c r="J40" s="225"/>
      <c r="K40" s="225"/>
      <c r="L40" s="225"/>
      <c r="M40" s="225"/>
      <c r="N40" s="223"/>
      <c r="O40" s="223"/>
      <c r="P40" s="223"/>
      <c r="Q40" s="223"/>
      <c r="R40" s="223"/>
    </row>
    <row r="41" spans="2:18" ht="15" x14ac:dyDescent="0.2">
      <c r="D41" s="6"/>
      <c r="E41" s="6"/>
      <c r="F41" s="6"/>
      <c r="G41" s="6"/>
      <c r="I41"/>
      <c r="J41" s="225"/>
      <c r="K41" s="225"/>
      <c r="L41" s="225"/>
      <c r="M41" s="225"/>
      <c r="N41" s="223"/>
      <c r="O41" s="223"/>
      <c r="P41" s="223"/>
      <c r="Q41" s="223"/>
      <c r="R41" s="223"/>
    </row>
    <row r="42" spans="2:18" ht="15" x14ac:dyDescent="0.2">
      <c r="I42" s="224"/>
      <c r="J42"/>
      <c r="K42" s="224"/>
      <c r="L42" s="224"/>
      <c r="M42" s="224"/>
      <c r="N42" s="227"/>
      <c r="O42" s="227"/>
      <c r="P42" s="227"/>
      <c r="Q42" s="227"/>
      <c r="R42" s="227"/>
    </row>
    <row r="43" spans="2:18" ht="16" x14ac:dyDescent="0.2">
      <c r="B43" s="193" t="s">
        <v>134</v>
      </c>
      <c r="C43" s="193"/>
      <c r="D43" s="8"/>
      <c r="E43" s="8"/>
      <c r="F43" s="8"/>
      <c r="G43" s="8"/>
      <c r="I43" s="224"/>
      <c r="J43"/>
      <c r="K43" s="224"/>
      <c r="L43" s="224"/>
      <c r="M43" s="224"/>
      <c r="N43" s="227"/>
      <c r="O43" s="227"/>
      <c r="P43" s="227"/>
      <c r="Q43" s="227"/>
      <c r="R43" s="227"/>
    </row>
    <row r="44" spans="2:18" ht="15" x14ac:dyDescent="0.15">
      <c r="B44" s="191" t="s">
        <v>235</v>
      </c>
      <c r="C44" s="192"/>
      <c r="D44" s="192">
        <f>D11/C11-1</f>
        <v>0.26679335413797323</v>
      </c>
      <c r="E44" s="192">
        <f>E11/D11-1</f>
        <v>0.17356160487370742</v>
      </c>
      <c r="F44" s="192">
        <f>F11/E11-1</f>
        <v>0.19194746305996402</v>
      </c>
      <c r="G44" s="192">
        <f>G11/F11-1</f>
        <v>0.1307145387047266</v>
      </c>
    </row>
    <row r="45" spans="2:18" ht="15" x14ac:dyDescent="0.15">
      <c r="B45" s="191" t="s">
        <v>236</v>
      </c>
      <c r="C45" s="192">
        <f>C22/C14</f>
        <v>0.21167226139175069</v>
      </c>
      <c r="D45" s="192">
        <f>D22/D14</f>
        <v>0.21178749358927401</v>
      </c>
      <c r="E45" s="192">
        <f>E22/E14</f>
        <v>0.17783091921244912</v>
      </c>
      <c r="F45" s="192">
        <f>F22/F14</f>
        <v>0.16651553789294848</v>
      </c>
      <c r="G45" s="192">
        <f>G22/G14</f>
        <v>0.15815155575750392</v>
      </c>
    </row>
    <row r="46" spans="2:18" ht="15" x14ac:dyDescent="0.15">
      <c r="B46" s="191" t="s">
        <v>237</v>
      </c>
      <c r="C46" s="192">
        <f>C26/C11</f>
        <v>0.18568431574237104</v>
      </c>
      <c r="D46" s="192">
        <f>D26/D11</f>
        <v>0.19250777572871661</v>
      </c>
      <c r="E46" s="192">
        <f>E26/E11</f>
        <v>0.15185677429442573</v>
      </c>
      <c r="F46" s="192">
        <f>F26/F11</f>
        <v>0.13733258123335657</v>
      </c>
      <c r="G46" s="192">
        <f>G26/G11</f>
        <v>0.13670377223869001</v>
      </c>
    </row>
    <row r="47" spans="2:18" ht="15" x14ac:dyDescent="0.15">
      <c r="B47" s="191" t="s">
        <v>238</v>
      </c>
      <c r="C47" s="192">
        <f>C40/C11</f>
        <v>0.1463007839513705</v>
      </c>
      <c r="D47" s="192">
        <f>D40/D11</f>
        <v>0.15295477691227885</v>
      </c>
      <c r="E47" s="192">
        <f>E40/E11</f>
        <v>0.12128449691189118</v>
      </c>
      <c r="F47" s="192">
        <f>F40/F11</f>
        <v>0.10198278915401872</v>
      </c>
      <c r="G47" s="192">
        <f>G40/G11</f>
        <v>0.10903411430991183</v>
      </c>
      <c r="I47" s="152"/>
      <c r="J47" s="152"/>
      <c r="K47" s="152"/>
      <c r="L47" s="152"/>
      <c r="M47" s="152"/>
      <c r="N47" s="152"/>
      <c r="O47" s="152"/>
      <c r="P47" s="152"/>
      <c r="Q47" s="152"/>
      <c r="R47" s="152"/>
    </row>
    <row r="48" spans="2:18" ht="15" x14ac:dyDescent="0.15">
      <c r="B48" s="191" t="s">
        <v>239</v>
      </c>
      <c r="C48" s="192"/>
      <c r="D48" s="192">
        <f>D40/AVERAGE('BS Input'!D40:E40)</f>
        <v>0.13939196307630569</v>
      </c>
      <c r="E48" s="192">
        <f>E40/AVERAGE('BS Input'!E40:F40)</f>
        <v>0.11023845857308578</v>
      </c>
      <c r="F48" s="192">
        <f>F40/AVERAGE('BS Input'!F40:G40)</f>
        <v>9.1112989541505096E-2</v>
      </c>
      <c r="G48" s="192">
        <f>G40/AVERAGE('BS Input'!G40:H40)</f>
        <v>9.9623559528873085E-2</v>
      </c>
    </row>
    <row r="49" spans="2:18" ht="15" x14ac:dyDescent="0.15">
      <c r="B49" s="191" t="s">
        <v>169</v>
      </c>
      <c r="C49" s="105">
        <f>C11/'BS Input'!D40</f>
        <v>0.74954590003266908</v>
      </c>
      <c r="D49" s="105">
        <f>D11/'BS Input'!E40</f>
        <v>0.87608965625339108</v>
      </c>
      <c r="E49" s="105">
        <f>E11/'BS Input'!F40</f>
        <v>0.81447992613582099</v>
      </c>
      <c r="F49" s="105">
        <f>F11/'BS Input'!G40</f>
        <v>0.82744435067419597</v>
      </c>
      <c r="G49" s="105">
        <f>G11/'BS Input'!H40</f>
        <v>0.89278278972935465</v>
      </c>
    </row>
    <row r="50" spans="2:18" ht="15" x14ac:dyDescent="0.15">
      <c r="B50" s="191" t="s">
        <v>240</v>
      </c>
      <c r="C50" s="105">
        <f>'BS Input'!D40/'BS Input'!D49</f>
        <v>2.2062427323486169</v>
      </c>
      <c r="D50" s="105">
        <f>'BS Input'!E40/'BS Input'!E49</f>
        <v>2.0366456576901042</v>
      </c>
      <c r="E50" s="105">
        <f>'BS Input'!F40/'BS Input'!F49</f>
        <v>1.7700097491701932</v>
      </c>
      <c r="F50" s="105">
        <f>'BS Input'!G40/'BS Input'!G49</f>
        <v>1.7654078499192782</v>
      </c>
      <c r="G50" s="105">
        <f>'BS Input'!H40/'BS Input'!H49</f>
        <v>1.5683780468984789</v>
      </c>
    </row>
    <row r="51" spans="2:18" ht="15" x14ac:dyDescent="0.15">
      <c r="B51" s="191" t="s">
        <v>173</v>
      </c>
      <c r="C51" s="192"/>
      <c r="D51" s="192">
        <f>D40/AVERAGE('BS Input'!D49:E49)</f>
        <v>0.29476587675211202</v>
      </c>
      <c r="E51" s="192">
        <f>E40/AVERAGE('BS Input'!E49:F49)</f>
        <v>0.2071083135027251</v>
      </c>
      <c r="F51" s="192">
        <f>F40/AVERAGE('BS Input'!F49:G49)</f>
        <v>0.16104424742097195</v>
      </c>
      <c r="G51" s="192">
        <f>G40/AVERAGE('BS Input'!G49:H49)</f>
        <v>0.16525303588109247</v>
      </c>
    </row>
    <row r="53" spans="2:18" x14ac:dyDescent="0.15">
      <c r="I53" s="4"/>
      <c r="J53" s="4"/>
      <c r="K53" s="4"/>
      <c r="L53" s="4"/>
      <c r="M53" s="4"/>
      <c r="N53" s="4"/>
      <c r="O53" s="4"/>
      <c r="P53" s="4"/>
      <c r="Q53" s="4"/>
      <c r="R53" s="4"/>
    </row>
    <row r="55" spans="2:18" x14ac:dyDescent="0.15">
      <c r="D55" s="366"/>
      <c r="E55" s="366"/>
      <c r="F55" s="366"/>
      <c r="G55" s="366"/>
    </row>
    <row r="56" spans="2:18" ht="16" x14ac:dyDescent="0.15">
      <c r="C56" s="406"/>
      <c r="D56" s="407"/>
      <c r="E56" s="407"/>
      <c r="F56" s="407"/>
      <c r="G56" s="407"/>
      <c r="H56" s="409"/>
    </row>
    <row r="57" spans="2:18" ht="16" x14ac:dyDescent="0.15">
      <c r="C57" s="408"/>
      <c r="D57" s="410"/>
      <c r="E57" s="410"/>
      <c r="F57" s="410"/>
      <c r="G57" s="410"/>
      <c r="H57" s="410"/>
      <c r="I57" s="4"/>
      <c r="J57" s="4"/>
      <c r="K57" s="4"/>
      <c r="L57" s="4"/>
      <c r="M57" s="4"/>
      <c r="N57" s="4"/>
      <c r="O57" s="4"/>
      <c r="P57" s="4"/>
      <c r="Q57" s="4"/>
      <c r="R57" s="4"/>
    </row>
    <row r="58" spans="2:18" ht="16" x14ac:dyDescent="0.15">
      <c r="C58" s="408"/>
      <c r="D58" s="411"/>
      <c r="E58" s="411"/>
      <c r="F58" s="412"/>
      <c r="G58" s="412"/>
      <c r="H58" s="412"/>
      <c r="L58" s="367"/>
    </row>
    <row r="59" spans="2:18" x14ac:dyDescent="0.15">
      <c r="D59" s="366"/>
      <c r="E59" s="366"/>
      <c r="F59" s="366"/>
      <c r="G59" s="366"/>
    </row>
    <row r="60" spans="2:18" x14ac:dyDescent="0.15">
      <c r="D60" s="366"/>
      <c r="E60" s="366"/>
      <c r="F60" s="366"/>
      <c r="G60" s="366"/>
    </row>
    <row r="61" spans="2:18" x14ac:dyDescent="0.15">
      <c r="D61" s="366"/>
      <c r="E61" s="366"/>
      <c r="F61" s="366"/>
      <c r="G61" s="366"/>
    </row>
    <row r="62" spans="2:18" x14ac:dyDescent="0.15">
      <c r="D62" s="366"/>
      <c r="E62" s="366"/>
      <c r="F62" s="366"/>
      <c r="G62" s="366"/>
      <c r="H62" s="67"/>
    </row>
    <row r="63" spans="2:18" x14ac:dyDescent="0.15">
      <c r="D63" s="366"/>
      <c r="E63" s="366"/>
      <c r="F63" s="366"/>
      <c r="G63" s="366"/>
      <c r="H63" s="366"/>
      <c r="I63" s="366"/>
      <c r="J63" s="41"/>
    </row>
    <row r="64" spans="2:18" x14ac:dyDescent="0.15">
      <c r="D64" s="366"/>
      <c r="E64" s="366"/>
      <c r="F64" s="366"/>
      <c r="G64" s="366"/>
    </row>
    <row r="65" spans="4:10" x14ac:dyDescent="0.15">
      <c r="D65" s="366"/>
      <c r="E65" s="366"/>
      <c r="F65" s="366"/>
      <c r="G65" s="366"/>
    </row>
    <row r="66" spans="4:10" x14ac:dyDescent="0.15">
      <c r="D66" s="366"/>
      <c r="E66" s="366"/>
      <c r="F66" s="366"/>
      <c r="G66" s="366"/>
    </row>
    <row r="67" spans="4:10" x14ac:dyDescent="0.15">
      <c r="D67" s="366"/>
      <c r="E67" s="366"/>
      <c r="F67" s="366"/>
      <c r="G67" s="366"/>
    </row>
    <row r="68" spans="4:10" x14ac:dyDescent="0.15">
      <c r="D68" s="366"/>
      <c r="E68" s="366"/>
      <c r="F68" s="366"/>
      <c r="G68" s="366"/>
      <c r="H68" s="366"/>
      <c r="I68" s="366"/>
      <c r="J68" s="41"/>
    </row>
    <row r="69" spans="4:10" x14ac:dyDescent="0.15">
      <c r="D69" s="366"/>
      <c r="E69" s="366"/>
      <c r="F69" s="366"/>
      <c r="G69" s="366"/>
    </row>
    <row r="70" spans="4:10" x14ac:dyDescent="0.15">
      <c r="D70" s="366"/>
      <c r="E70" s="366"/>
      <c r="F70" s="366"/>
      <c r="G70" s="366"/>
    </row>
  </sheetData>
  <mergeCells count="3">
    <mergeCell ref="B8:B9"/>
    <mergeCell ref="F6:G6"/>
    <mergeCell ref="B7:G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CC"/>
  </sheetPr>
  <dimension ref="B6:S104"/>
  <sheetViews>
    <sheetView showGridLines="0" zoomScale="125" zoomScaleNormal="100" workbookViewId="0">
      <selection activeCell="K78" sqref="K78"/>
    </sheetView>
  </sheetViews>
  <sheetFormatPr baseColWidth="10" defaultColWidth="8.83203125" defaultRowHeight="14" x14ac:dyDescent="0.15"/>
  <cols>
    <col min="1" max="2" width="3.83203125" style="2" customWidth="1"/>
    <col min="3" max="3" width="33.5" style="2" bestFit="1" customWidth="1"/>
    <col min="4" max="7" width="13.1640625" style="2" bestFit="1" customWidth="1"/>
    <col min="8" max="8" width="13.5" style="2" customWidth="1"/>
    <col min="9" max="9" width="9.1640625" style="2" bestFit="1" customWidth="1"/>
    <col min="10" max="10" width="9.83203125" style="2" bestFit="1" customWidth="1"/>
    <col min="11" max="11" width="8.83203125" style="2" bestFit="1" customWidth="1"/>
    <col min="12" max="14" width="9.83203125" style="2" bestFit="1" customWidth="1"/>
    <col min="15" max="16384" width="8.83203125" style="2"/>
  </cols>
  <sheetData>
    <row r="6" spans="2:19" ht="14.5" customHeight="1" x14ac:dyDescent="0.15">
      <c r="C6" s="3"/>
      <c r="D6" s="3"/>
      <c r="G6" s="507" t="s">
        <v>64</v>
      </c>
      <c r="H6" s="507"/>
    </row>
    <row r="7" spans="2:19" ht="14.5" customHeight="1" x14ac:dyDescent="0.15">
      <c r="B7" s="510" t="s">
        <v>150</v>
      </c>
      <c r="C7" s="511"/>
      <c r="D7" s="511"/>
      <c r="E7" s="511"/>
      <c r="F7" s="511"/>
      <c r="G7" s="511"/>
      <c r="H7" s="511"/>
    </row>
    <row r="8" spans="2:19" x14ac:dyDescent="0.15">
      <c r="B8" s="501" t="s">
        <v>0</v>
      </c>
      <c r="C8" s="501"/>
      <c r="D8" s="195">
        <v>2021</v>
      </c>
      <c r="E8" s="195">
        <v>2022</v>
      </c>
      <c r="F8" s="195">
        <v>2023</v>
      </c>
      <c r="G8" s="195">
        <v>2024</v>
      </c>
      <c r="H8" s="195">
        <v>2025</v>
      </c>
    </row>
    <row r="9" spans="2:19" x14ac:dyDescent="0.15">
      <c r="B9" s="502"/>
      <c r="C9" s="502"/>
      <c r="D9" s="13" t="s">
        <v>1</v>
      </c>
      <c r="E9" s="13" t="s">
        <v>1</v>
      </c>
      <c r="F9" s="13" t="s">
        <v>1</v>
      </c>
      <c r="G9" s="13" t="s">
        <v>1</v>
      </c>
      <c r="H9" s="13" t="s">
        <v>1</v>
      </c>
    </row>
    <row r="10" spans="2:19" s="4" customFormat="1" x14ac:dyDescent="0.15">
      <c r="B10" s="508" t="s">
        <v>19</v>
      </c>
      <c r="C10" s="508"/>
      <c r="D10" s="107"/>
    </row>
    <row r="11" spans="2:19" ht="16" x14ac:dyDescent="0.2">
      <c r="J11" s="303"/>
    </row>
    <row r="12" spans="2:19" s="4" customFormat="1" ht="16" x14ac:dyDescent="0.2">
      <c r="B12" s="4" t="s">
        <v>20</v>
      </c>
      <c r="J12" s="305"/>
      <c r="K12" s="231"/>
      <c r="L12" s="232"/>
      <c r="M12" s="232"/>
      <c r="N12" s="231"/>
      <c r="O12" s="233"/>
      <c r="P12" s="233"/>
      <c r="Q12" s="233"/>
      <c r="R12" s="233"/>
      <c r="S12" s="233"/>
    </row>
    <row r="13" spans="2:19" ht="16" x14ac:dyDescent="0.2">
      <c r="C13" s="2" t="s">
        <v>21</v>
      </c>
      <c r="D13" s="6">
        <v>47.62</v>
      </c>
      <c r="E13" s="6">
        <v>56.47</v>
      </c>
      <c r="F13" s="6">
        <v>59.32</v>
      </c>
      <c r="G13" s="6">
        <v>59.24</v>
      </c>
      <c r="H13" s="6">
        <v>57.68</v>
      </c>
      <c r="I13" s="304"/>
      <c r="J13" s="304"/>
      <c r="K13" s="224"/>
      <c r="L13" s="234"/>
      <c r="M13" s="234"/>
      <c r="N13" s="232"/>
      <c r="O13"/>
      <c r="P13"/>
      <c r="Q13"/>
      <c r="R13"/>
      <c r="S13"/>
    </row>
    <row r="14" spans="2:19" ht="16" x14ac:dyDescent="0.2">
      <c r="C14" s="2" t="s">
        <v>212</v>
      </c>
      <c r="D14" s="6">
        <v>11.43</v>
      </c>
      <c r="E14" s="6">
        <v>11.37</v>
      </c>
      <c r="F14" s="6">
        <v>29.58</v>
      </c>
      <c r="G14" s="6">
        <v>28.9</v>
      </c>
      <c r="H14" s="6">
        <v>24.55</v>
      </c>
      <c r="I14" s="304"/>
      <c r="J14" s="304"/>
      <c r="K14" s="225"/>
      <c r="L14" s="234"/>
      <c r="M14" s="234"/>
      <c r="N14" s="234"/>
      <c r="O14" s="223"/>
      <c r="P14" s="223"/>
      <c r="Q14" s="223"/>
      <c r="R14" s="223"/>
      <c r="S14" s="223"/>
    </row>
    <row r="15" spans="2:19" ht="16" x14ac:dyDescent="0.2">
      <c r="C15" s="2" t="s">
        <v>22</v>
      </c>
      <c r="D15" s="6">
        <v>1.54</v>
      </c>
      <c r="E15" s="6">
        <v>4.3499999999999996</v>
      </c>
      <c r="F15" s="6">
        <v>6.66</v>
      </c>
      <c r="G15" s="6">
        <v>0.94</v>
      </c>
      <c r="H15" s="6">
        <v>1.81</v>
      </c>
      <c r="I15" s="304"/>
      <c r="J15" s="304"/>
      <c r="K15" s="225"/>
      <c r="L15" s="234"/>
      <c r="M15" s="234"/>
      <c r="N15" s="234"/>
      <c r="O15" s="223"/>
      <c r="P15" s="223"/>
      <c r="Q15" s="223"/>
      <c r="R15" s="223"/>
      <c r="S15" s="223"/>
    </row>
    <row r="16" spans="2:19" ht="16" x14ac:dyDescent="0.2">
      <c r="C16" s="2" t="s">
        <v>327</v>
      </c>
      <c r="D16" s="6">
        <v>0</v>
      </c>
      <c r="E16" s="6">
        <v>0</v>
      </c>
      <c r="F16" s="6">
        <v>0</v>
      </c>
      <c r="G16" s="6">
        <v>0</v>
      </c>
      <c r="H16" s="6">
        <v>0.17</v>
      </c>
      <c r="I16" s="304"/>
      <c r="J16" s="304"/>
      <c r="K16" s="225"/>
      <c r="L16" s="234"/>
      <c r="M16" s="234"/>
      <c r="N16" s="234"/>
      <c r="O16" s="223"/>
      <c r="P16" s="223"/>
      <c r="Q16" s="223"/>
      <c r="R16" s="223"/>
      <c r="S16" s="223"/>
    </row>
    <row r="17" spans="2:19" ht="16" x14ac:dyDescent="0.2">
      <c r="C17" s="2" t="s">
        <v>296</v>
      </c>
      <c r="D17" s="6">
        <v>4.5</v>
      </c>
      <c r="E17" s="6">
        <v>4.1399999999999997</v>
      </c>
      <c r="F17" s="6">
        <v>0</v>
      </c>
      <c r="G17" s="6">
        <v>0</v>
      </c>
      <c r="H17" s="6">
        <v>0</v>
      </c>
      <c r="I17" s="304"/>
      <c r="J17" s="304"/>
      <c r="K17" s="225"/>
      <c r="L17" s="234"/>
      <c r="M17" s="234"/>
      <c r="N17" s="234"/>
      <c r="O17" s="223"/>
      <c r="P17" s="223"/>
      <c r="Q17" s="223"/>
      <c r="R17" s="223"/>
      <c r="S17" s="223"/>
    </row>
    <row r="18" spans="2:19" ht="16" x14ac:dyDescent="0.2">
      <c r="C18" s="2" t="s">
        <v>247</v>
      </c>
      <c r="D18" s="6">
        <v>660.12</v>
      </c>
      <c r="E18" s="6">
        <v>698.01</v>
      </c>
      <c r="F18" s="6">
        <v>1497.58</v>
      </c>
      <c r="G18" s="6">
        <v>1707.24</v>
      </c>
      <c r="H18" s="6">
        <v>1625.06</v>
      </c>
      <c r="I18" s="304"/>
      <c r="J18" s="304"/>
      <c r="K18" s="225"/>
      <c r="L18" s="234"/>
      <c r="M18" s="234"/>
      <c r="N18" s="234"/>
      <c r="O18" s="223"/>
      <c r="P18" s="223"/>
      <c r="Q18" s="223"/>
      <c r="R18" s="223"/>
      <c r="S18" s="223"/>
    </row>
    <row r="19" spans="2:19" ht="16" x14ac:dyDescent="0.2">
      <c r="C19" s="2" t="s">
        <v>196</v>
      </c>
      <c r="D19" s="6">
        <v>83.13</v>
      </c>
      <c r="E19" s="6">
        <v>71.040000000000006</v>
      </c>
      <c r="F19" s="6">
        <v>153.77000000000001</v>
      </c>
      <c r="G19" s="6">
        <v>154.55000000000001</v>
      </c>
      <c r="H19" s="6">
        <v>110.62</v>
      </c>
      <c r="I19" s="304"/>
      <c r="J19" s="304"/>
      <c r="K19" s="225"/>
      <c r="L19" s="234"/>
      <c r="M19" s="234"/>
      <c r="N19" s="234"/>
      <c r="O19" s="223"/>
      <c r="P19" s="223"/>
      <c r="Q19" s="223"/>
      <c r="R19" s="223"/>
      <c r="S19" s="223"/>
    </row>
    <row r="20" spans="2:19" ht="16" x14ac:dyDescent="0.2">
      <c r="C20" s="158" t="s">
        <v>197</v>
      </c>
      <c r="D20" s="6"/>
      <c r="E20" s="6"/>
      <c r="F20" s="6"/>
      <c r="G20" s="6"/>
      <c r="H20" s="6"/>
      <c r="I20" s="304"/>
      <c r="J20" s="304"/>
      <c r="K20" s="225"/>
      <c r="L20" s="234"/>
      <c r="M20" s="234"/>
      <c r="N20" s="234"/>
      <c r="O20" s="223"/>
      <c r="P20" s="223"/>
      <c r="Q20" s="223"/>
      <c r="R20" s="223"/>
      <c r="S20" s="223"/>
    </row>
    <row r="21" spans="2:19" ht="16" x14ac:dyDescent="0.2">
      <c r="C21" s="159" t="s">
        <v>307</v>
      </c>
      <c r="D21" s="6">
        <v>41.19</v>
      </c>
      <c r="E21" s="6">
        <v>10.77</v>
      </c>
      <c r="F21" s="6">
        <v>12.94</v>
      </c>
      <c r="G21" s="6">
        <v>17.079999999999998</v>
      </c>
      <c r="H21" s="6">
        <v>17.37</v>
      </c>
      <c r="I21" s="304"/>
      <c r="J21" s="304"/>
      <c r="K21" s="225"/>
      <c r="L21" s="235"/>
      <c r="M21" s="235"/>
      <c r="N21" s="234"/>
      <c r="O21" s="223"/>
      <c r="P21" s="223"/>
      <c r="Q21" s="223"/>
      <c r="R21" s="223"/>
      <c r="S21" s="223"/>
    </row>
    <row r="22" spans="2:19" ht="16" x14ac:dyDescent="0.2">
      <c r="C22" s="159" t="s">
        <v>200</v>
      </c>
      <c r="D22" s="6">
        <v>26.34</v>
      </c>
      <c r="E22" s="6">
        <v>41.56</v>
      </c>
      <c r="F22" s="6">
        <v>31.3</v>
      </c>
      <c r="G22" s="6">
        <v>35.64</v>
      </c>
      <c r="H22" s="6">
        <v>20.52</v>
      </c>
      <c r="I22" s="304"/>
      <c r="J22" s="304"/>
      <c r="K22"/>
      <c r="L22" s="235"/>
      <c r="M22" s="235"/>
      <c r="N22" s="234"/>
      <c r="O22" s="223"/>
      <c r="P22" s="223"/>
      <c r="Q22" s="223"/>
      <c r="R22" s="223"/>
      <c r="S22" s="223"/>
    </row>
    <row r="23" spans="2:19" ht="16" x14ac:dyDescent="0.2">
      <c r="C23" s="159" t="s">
        <v>249</v>
      </c>
      <c r="D23" s="6">
        <v>53.2</v>
      </c>
      <c r="E23" s="6">
        <v>70.5</v>
      </c>
      <c r="F23" s="6">
        <v>104.85</v>
      </c>
      <c r="G23" s="6">
        <v>107.6</v>
      </c>
      <c r="H23" s="6">
        <v>154.63</v>
      </c>
      <c r="I23" s="304"/>
      <c r="J23" s="304"/>
      <c r="K23" s="236"/>
      <c r="L23" s="234"/>
      <c r="M23" s="234"/>
      <c r="N23" s="235"/>
      <c r="O23" s="223"/>
      <c r="P23" s="223"/>
      <c r="Q23" s="223"/>
      <c r="R23" s="223"/>
      <c r="S23" s="223"/>
    </row>
    <row r="24" spans="2:19" ht="16" x14ac:dyDescent="0.2">
      <c r="C24" s="2" t="s">
        <v>297</v>
      </c>
      <c r="D24" s="6">
        <v>0</v>
      </c>
      <c r="E24" s="6">
        <v>3.22</v>
      </c>
      <c r="F24" s="6">
        <v>3.23</v>
      </c>
      <c r="G24" s="6">
        <v>29</v>
      </c>
      <c r="H24" s="6">
        <v>22.07</v>
      </c>
      <c r="I24" s="304"/>
      <c r="J24" s="304"/>
      <c r="K24" s="236"/>
      <c r="L24" s="234"/>
      <c r="M24" s="234"/>
      <c r="N24" s="234"/>
      <c r="O24" s="223"/>
      <c r="P24" s="223"/>
      <c r="Q24" s="223"/>
      <c r="R24" s="223"/>
      <c r="S24" s="223"/>
    </row>
    <row r="25" spans="2:19" ht="16" x14ac:dyDescent="0.2">
      <c r="C25" s="2" t="s">
        <v>23</v>
      </c>
      <c r="D25" s="6">
        <v>1.31</v>
      </c>
      <c r="E25" s="6">
        <v>1.53</v>
      </c>
      <c r="F25" s="6">
        <v>1.47</v>
      </c>
      <c r="G25" s="6">
        <v>1.5</v>
      </c>
      <c r="H25" s="6">
        <v>1.55</v>
      </c>
      <c r="I25" s="304"/>
      <c r="J25" s="304"/>
      <c r="K25" s="236"/>
      <c r="L25" s="234"/>
      <c r="M25" s="234"/>
      <c r="N25" s="234"/>
      <c r="O25" s="223"/>
      <c r="P25" s="223"/>
      <c r="Q25" s="223"/>
      <c r="R25" s="223"/>
      <c r="S25" s="223"/>
    </row>
    <row r="26" spans="2:19" ht="16" x14ac:dyDescent="0.2">
      <c r="D26" s="6"/>
      <c r="E26" s="6"/>
      <c r="F26" s="6"/>
      <c r="G26" s="6"/>
      <c r="H26" s="6"/>
      <c r="I26" s="4"/>
      <c r="J26" s="305"/>
      <c r="K26" s="236"/>
      <c r="L26" s="234"/>
      <c r="M26" s="234"/>
      <c r="N26" s="234"/>
      <c r="O26" s="223"/>
      <c r="P26" s="223"/>
      <c r="Q26" s="223"/>
      <c r="R26" s="223"/>
      <c r="S26" s="223"/>
    </row>
    <row r="27" spans="2:19" s="4" customFormat="1" ht="16" x14ac:dyDescent="0.2">
      <c r="B27" s="4" t="s">
        <v>198</v>
      </c>
      <c r="D27" s="160">
        <f>SUM(D13:D19,D21:D25)</f>
        <v>930.38</v>
      </c>
      <c r="E27" s="160">
        <f>SUM(E13:E19,E21:E25)</f>
        <v>972.96</v>
      </c>
      <c r="F27" s="160">
        <f>SUM(F13:F19,F21:F25)</f>
        <v>1900.6999999999998</v>
      </c>
      <c r="G27" s="160">
        <f>SUM(G13:G19,G21:G25)</f>
        <v>2141.69</v>
      </c>
      <c r="H27" s="160">
        <f>SUM(H13:H19,H21:H25)</f>
        <v>2036.0299999999997</v>
      </c>
      <c r="I27" s="2"/>
      <c r="J27" s="305"/>
      <c r="K27" s="225"/>
      <c r="L27" s="234"/>
      <c r="M27" s="234"/>
      <c r="N27" s="234"/>
      <c r="O27" s="223"/>
      <c r="P27" s="223"/>
      <c r="Q27" s="223"/>
      <c r="R27" s="223"/>
      <c r="S27" s="223"/>
    </row>
    <row r="28" spans="2:19" ht="16" x14ac:dyDescent="0.2">
      <c r="E28" s="9"/>
      <c r="F28" s="9"/>
      <c r="G28" s="9"/>
      <c r="H28" s="9"/>
      <c r="I28" s="4"/>
      <c r="J28" s="304"/>
      <c r="K28" s="225"/>
      <c r="L28" s="234"/>
      <c r="M28" s="234"/>
      <c r="N28" s="234"/>
      <c r="O28" s="223"/>
      <c r="P28" s="223"/>
      <c r="Q28" s="223"/>
      <c r="R28" s="223"/>
      <c r="S28" s="223"/>
    </row>
    <row r="29" spans="2:19" s="4" customFormat="1" ht="16" x14ac:dyDescent="0.2">
      <c r="B29" s="4" t="s">
        <v>25</v>
      </c>
      <c r="E29" s="8"/>
      <c r="F29" s="8"/>
      <c r="G29" s="8"/>
      <c r="H29" s="8"/>
      <c r="I29" s="2"/>
      <c r="J29" s="304"/>
      <c r="K29" s="361"/>
      <c r="L29" s="361"/>
      <c r="M29" s="234"/>
      <c r="N29" s="234"/>
      <c r="O29" s="223"/>
      <c r="P29" s="223"/>
      <c r="Q29" s="223"/>
      <c r="R29" s="223"/>
      <c r="S29" s="223"/>
    </row>
    <row r="30" spans="2:19" ht="16" x14ac:dyDescent="0.2">
      <c r="C30" s="158" t="s">
        <v>197</v>
      </c>
      <c r="D30" s="6"/>
      <c r="E30" s="6"/>
      <c r="F30" s="6"/>
      <c r="G30" s="6"/>
      <c r="H30" s="6"/>
      <c r="I30" s="304"/>
      <c r="J30" s="304"/>
      <c r="K30" s="362"/>
      <c r="L30" s="234"/>
      <c r="M30" s="234"/>
      <c r="N30" s="234"/>
      <c r="O30" s="223"/>
      <c r="P30" s="223"/>
      <c r="Q30" s="223"/>
      <c r="R30" s="223"/>
      <c r="S30" s="223"/>
    </row>
    <row r="31" spans="2:19" ht="16" x14ac:dyDescent="0.2">
      <c r="C31" s="2" t="s">
        <v>257</v>
      </c>
      <c r="D31" s="6">
        <v>192.91</v>
      </c>
      <c r="E31" s="6">
        <v>54.83</v>
      </c>
      <c r="F31" s="6">
        <v>55.77</v>
      </c>
      <c r="G31" s="6">
        <v>76.73</v>
      </c>
      <c r="H31" s="6">
        <v>160.66</v>
      </c>
      <c r="I31" s="304"/>
      <c r="J31" s="304"/>
      <c r="K31"/>
      <c r="L31" s="234"/>
      <c r="M31" s="234"/>
      <c r="N31" s="234"/>
      <c r="O31" s="223"/>
      <c r="P31" s="223"/>
      <c r="Q31" s="223"/>
      <c r="R31" s="223"/>
      <c r="S31" s="223"/>
    </row>
    <row r="32" spans="2:19" ht="16" x14ac:dyDescent="0.2">
      <c r="C32" s="2" t="s">
        <v>384</v>
      </c>
      <c r="D32" s="6">
        <v>374.88</v>
      </c>
      <c r="E32" s="6">
        <v>435.57</v>
      </c>
      <c r="F32" s="6">
        <v>506.63</v>
      </c>
      <c r="G32" s="6">
        <v>561.30999999999995</v>
      </c>
      <c r="H32" s="6">
        <v>737.61</v>
      </c>
      <c r="I32" s="304"/>
      <c r="J32" s="304"/>
      <c r="K32" s="225"/>
      <c r="L32" s="232"/>
      <c r="M32" s="232"/>
      <c r="N32" s="232"/>
      <c r="O32" s="223"/>
      <c r="P32" s="223"/>
      <c r="Q32" s="223"/>
      <c r="R32" s="223"/>
      <c r="S32" s="223"/>
    </row>
    <row r="33" spans="2:19" ht="16" x14ac:dyDescent="0.2">
      <c r="C33" s="2" t="s">
        <v>201</v>
      </c>
      <c r="D33" s="6">
        <v>608.12</v>
      </c>
      <c r="E33" s="6">
        <v>727.06000000000006</v>
      </c>
      <c r="F33" s="6">
        <v>208.48</v>
      </c>
      <c r="G33" s="6">
        <v>382.61</v>
      </c>
      <c r="H33" s="6">
        <v>461.46999999999997</v>
      </c>
      <c r="I33" s="403"/>
      <c r="J33" s="403"/>
      <c r="K33" s="404"/>
      <c r="L33" s="403"/>
      <c r="M33" s="403"/>
      <c r="N33" s="403"/>
      <c r="O33" s="237"/>
      <c r="P33" s="237"/>
      <c r="Q33" s="237"/>
      <c r="R33" s="237"/>
      <c r="S33" s="237"/>
    </row>
    <row r="34" spans="2:19" ht="16" x14ac:dyDescent="0.2">
      <c r="C34" s="2" t="s">
        <v>202</v>
      </c>
      <c r="D34" s="6">
        <v>9.14</v>
      </c>
      <c r="E34" s="6">
        <v>13.81</v>
      </c>
      <c r="F34" s="6">
        <v>12.04</v>
      </c>
      <c r="G34" s="6">
        <v>19.48</v>
      </c>
      <c r="H34" s="6">
        <v>15.94</v>
      </c>
      <c r="I34" s="304"/>
      <c r="J34" s="305"/>
      <c r="K34" s="305"/>
      <c r="L34" s="305"/>
      <c r="M34" s="305"/>
      <c r="N34" s="305"/>
      <c r="O34" s="223"/>
      <c r="P34" s="223"/>
      <c r="Q34" s="223"/>
      <c r="R34" s="223"/>
      <c r="S34" s="223"/>
    </row>
    <row r="35" spans="2:19" ht="16" x14ac:dyDescent="0.2">
      <c r="C35" s="2" t="s">
        <v>298</v>
      </c>
      <c r="D35" s="6">
        <v>0</v>
      </c>
      <c r="E35" s="6">
        <v>0</v>
      </c>
      <c r="F35" s="6">
        <v>350.8</v>
      </c>
      <c r="G35" s="6">
        <v>352.84</v>
      </c>
      <c r="H35" s="6">
        <v>231.45</v>
      </c>
      <c r="I35" s="304"/>
      <c r="J35" s="305"/>
      <c r="K35" s="238"/>
      <c r="L35" s="235"/>
      <c r="M35" s="235"/>
      <c r="N35" s="235"/>
      <c r="O35" s="223"/>
      <c r="P35" s="223"/>
      <c r="Q35" s="223"/>
      <c r="R35" s="223"/>
      <c r="S35" s="223"/>
    </row>
    <row r="36" spans="2:19" ht="16" x14ac:dyDescent="0.2">
      <c r="C36" s="2" t="s">
        <v>26</v>
      </c>
      <c r="D36" s="6">
        <v>180.32</v>
      </c>
      <c r="E36" s="6">
        <v>283.94</v>
      </c>
      <c r="F36" s="6">
        <v>106.48</v>
      </c>
      <c r="G36" s="6">
        <v>150.47</v>
      </c>
      <c r="H36" s="6">
        <v>218.72</v>
      </c>
      <c r="I36" s="402"/>
      <c r="J36" s="303"/>
      <c r="K36" s="238"/>
      <c r="L36" s="234"/>
      <c r="M36" s="234"/>
      <c r="N36" s="234"/>
      <c r="O36" s="223"/>
      <c r="P36" s="223"/>
      <c r="Q36" s="223"/>
      <c r="R36" s="223"/>
      <c r="S36" s="223"/>
    </row>
    <row r="37" spans="2:19" ht="16" x14ac:dyDescent="0.2">
      <c r="D37" s="6"/>
      <c r="E37" s="6"/>
      <c r="F37" s="6"/>
      <c r="G37" s="6"/>
      <c r="H37" s="6"/>
      <c r="I37" s="402"/>
      <c r="J37" s="305"/>
      <c r="K37" s="238"/>
      <c r="L37" s="234"/>
      <c r="M37" s="234"/>
      <c r="N37" s="234"/>
      <c r="O37" s="223"/>
      <c r="P37" s="223"/>
      <c r="Q37" s="223"/>
      <c r="R37" s="223"/>
      <c r="S37" s="223"/>
    </row>
    <row r="38" spans="2:19" s="4" customFormat="1" ht="16" x14ac:dyDescent="0.2">
      <c r="B38" s="4" t="s">
        <v>191</v>
      </c>
      <c r="D38" s="160">
        <f>SUM(D31:D36)</f>
        <v>1365.37</v>
      </c>
      <c r="E38" s="160">
        <f>SUM(E31:E36)</f>
        <v>1515.21</v>
      </c>
      <c r="F38" s="160">
        <f>SUM(F31:F36)</f>
        <v>1240.2</v>
      </c>
      <c r="G38" s="160">
        <f>SUM(G31:G36)</f>
        <v>1543.4399999999998</v>
      </c>
      <c r="H38" s="160">
        <f>SUM(H31:H36)</f>
        <v>1825.8500000000001</v>
      </c>
      <c r="I38" s="2"/>
      <c r="J38" s="304"/>
      <c r="K38" s="304"/>
      <c r="L38" s="234"/>
      <c r="M38" s="234"/>
      <c r="N38" s="234"/>
      <c r="O38" s="223"/>
      <c r="P38" s="223"/>
      <c r="Q38" s="223"/>
      <c r="R38" s="223"/>
      <c r="S38" s="223"/>
    </row>
    <row r="39" spans="2:19" ht="16" x14ac:dyDescent="0.2">
      <c r="D39" s="9"/>
      <c r="E39" s="9"/>
      <c r="F39" s="9"/>
      <c r="G39" s="9"/>
      <c r="H39" s="9"/>
      <c r="I39" s="402"/>
      <c r="J39" s="304"/>
      <c r="K39" s="225"/>
      <c r="L39" s="234"/>
      <c r="M39" s="234"/>
      <c r="N39" s="234"/>
      <c r="O39" s="223"/>
      <c r="P39" s="223"/>
      <c r="Q39" s="223"/>
      <c r="R39" s="223"/>
      <c r="S39" s="223"/>
    </row>
    <row r="40" spans="2:19" s="4" customFormat="1" ht="16" x14ac:dyDescent="0.2">
      <c r="B40" s="509" t="s">
        <v>36</v>
      </c>
      <c r="C40" s="509"/>
      <c r="D40" s="11">
        <f>D27+D38</f>
        <v>2295.75</v>
      </c>
      <c r="E40" s="11">
        <f>E27+E38</f>
        <v>2488.17</v>
      </c>
      <c r="F40" s="11">
        <f>F27+F38</f>
        <v>3140.8999999999996</v>
      </c>
      <c r="G40" s="11">
        <f>G27+G38</f>
        <v>3685.13</v>
      </c>
      <c r="H40" s="11">
        <f>H27+H38</f>
        <v>3861.88</v>
      </c>
      <c r="I40" s="402"/>
      <c r="J40" s="305"/>
      <c r="K40" s="225"/>
      <c r="L40" s="234"/>
      <c r="M40" s="234"/>
      <c r="N40" s="234"/>
      <c r="O40" s="223"/>
      <c r="P40" s="223"/>
      <c r="Q40" s="223"/>
      <c r="R40" s="223"/>
      <c r="S40" s="223"/>
    </row>
    <row r="41" spans="2:19" ht="16" x14ac:dyDescent="0.2">
      <c r="E41" s="9"/>
      <c r="F41" s="9"/>
      <c r="G41" s="9"/>
      <c r="H41" s="9"/>
      <c r="I41" s="402"/>
      <c r="J41" s="304"/>
      <c r="K41"/>
      <c r="L41" s="234"/>
      <c r="M41" s="234"/>
      <c r="N41" s="234"/>
      <c r="O41" s="239"/>
      <c r="P41" s="239"/>
      <c r="Q41" s="239"/>
      <c r="R41" s="239"/>
      <c r="S41" s="239"/>
    </row>
    <row r="42" spans="2:19" ht="16" x14ac:dyDescent="0.2">
      <c r="B42" s="508" t="s">
        <v>27</v>
      </c>
      <c r="C42" s="508"/>
      <c r="D42" s="107"/>
      <c r="E42" s="9"/>
      <c r="F42" s="9"/>
      <c r="G42" s="9"/>
      <c r="H42" s="9"/>
      <c r="I42" s="93"/>
      <c r="J42" s="305"/>
      <c r="K42"/>
      <c r="L42" s="234"/>
      <c r="M42" s="234"/>
      <c r="N42" s="234"/>
      <c r="O42" s="239"/>
      <c r="P42" s="239"/>
      <c r="Q42" s="239"/>
      <c r="R42" s="239"/>
      <c r="S42" s="239"/>
    </row>
    <row r="43" spans="2:19" ht="16" x14ac:dyDescent="0.2">
      <c r="B43" s="10"/>
      <c r="C43" s="10"/>
      <c r="D43" s="10"/>
      <c r="E43" s="9"/>
      <c r="F43" s="9"/>
      <c r="G43" s="9"/>
      <c r="H43" s="9"/>
      <c r="J43" s="305"/>
      <c r="K43"/>
      <c r="L43" s="234"/>
      <c r="M43" s="234"/>
      <c r="N43" s="234"/>
      <c r="O43" s="223"/>
      <c r="P43" s="223"/>
      <c r="Q43" s="223"/>
      <c r="R43" s="223"/>
      <c r="S43" s="223"/>
    </row>
    <row r="44" spans="2:19" ht="16" x14ac:dyDescent="0.2">
      <c r="B44" s="4" t="s">
        <v>28</v>
      </c>
      <c r="E44" s="9"/>
      <c r="F44" s="9"/>
      <c r="G44" s="9"/>
      <c r="H44" s="9"/>
      <c r="J44" s="305"/>
      <c r="K44"/>
      <c r="L44" s="234"/>
      <c r="M44" s="234"/>
      <c r="N44" s="234"/>
      <c r="O44" s="227"/>
      <c r="P44" s="227"/>
      <c r="Q44" s="227"/>
      <c r="R44" s="227"/>
      <c r="S44" s="227"/>
    </row>
    <row r="45" spans="2:19" ht="16" x14ac:dyDescent="0.2">
      <c r="C45" s="2" t="s">
        <v>29</v>
      </c>
      <c r="D45" s="6">
        <v>12.62</v>
      </c>
      <c r="E45" s="6">
        <v>15.01</v>
      </c>
      <c r="F45" s="6">
        <v>15.26</v>
      </c>
      <c r="G45" s="6">
        <v>15.42</v>
      </c>
      <c r="H45" s="6">
        <v>15.47</v>
      </c>
      <c r="J45" s="304"/>
      <c r="K45" s="225"/>
      <c r="L45" s="232"/>
      <c r="M45" s="232"/>
      <c r="N45" s="232"/>
      <c r="O45" s="226"/>
      <c r="P45" s="226"/>
      <c r="Q45" s="226"/>
      <c r="R45" s="226"/>
      <c r="S45" s="226"/>
    </row>
    <row r="46" spans="2:19" ht="16" x14ac:dyDescent="0.2">
      <c r="C46" s="2" t="s">
        <v>30</v>
      </c>
      <c r="D46" s="6">
        <v>845.92</v>
      </c>
      <c r="E46" s="6">
        <v>1056.3499999999999</v>
      </c>
      <c r="F46" s="6">
        <v>1668.15</v>
      </c>
      <c r="G46" s="6">
        <v>2071.9899999999998</v>
      </c>
      <c r="H46" s="6">
        <v>2446.87</v>
      </c>
      <c r="J46" s="304"/>
      <c r="K46" s="225"/>
      <c r="L46" s="232"/>
      <c r="M46" s="232"/>
      <c r="N46" s="232"/>
      <c r="O46" s="226"/>
      <c r="P46" s="226"/>
      <c r="Q46" s="226"/>
      <c r="R46" s="226"/>
      <c r="S46" s="226"/>
    </row>
    <row r="47" spans="2:19" ht="16" x14ac:dyDescent="0.2">
      <c r="C47" s="2" t="s">
        <v>308</v>
      </c>
      <c r="D47" s="6">
        <v>182.03</v>
      </c>
      <c r="E47" s="6">
        <v>150.34</v>
      </c>
      <c r="F47" s="6">
        <v>91.1</v>
      </c>
      <c r="G47" s="6">
        <v>0</v>
      </c>
      <c r="H47" s="6">
        <v>0</v>
      </c>
      <c r="J47" s="304"/>
      <c r="K47" s="225"/>
      <c r="L47" s="232"/>
      <c r="M47" s="232"/>
      <c r="N47" s="232"/>
      <c r="O47" s="226"/>
      <c r="P47" s="226"/>
      <c r="Q47" s="226"/>
      <c r="R47" s="226"/>
      <c r="S47" s="226"/>
    </row>
    <row r="48" spans="2:19" ht="16" x14ac:dyDescent="0.2">
      <c r="E48" s="6"/>
      <c r="F48" s="6"/>
      <c r="G48" s="6"/>
      <c r="H48" s="6"/>
      <c r="I48" s="4"/>
      <c r="J48" s="304"/>
      <c r="K48"/>
      <c r="L48" s="234"/>
      <c r="M48" s="234"/>
      <c r="N48" s="234"/>
      <c r="O48" s="239"/>
      <c r="P48" s="239"/>
      <c r="Q48" s="239"/>
      <c r="R48" s="239"/>
      <c r="S48" s="239"/>
    </row>
    <row r="49" spans="2:19" s="4" customFormat="1" ht="16" x14ac:dyDescent="0.2">
      <c r="B49" s="4" t="s">
        <v>199</v>
      </c>
      <c r="D49" s="160">
        <f>SUM(D45:D47)</f>
        <v>1040.57</v>
      </c>
      <c r="E49" s="160">
        <f t="shared" ref="E49:H49" si="0">SUM(E45:E47)</f>
        <v>1221.6999999999998</v>
      </c>
      <c r="F49" s="160">
        <f t="shared" si="0"/>
        <v>1774.51</v>
      </c>
      <c r="G49" s="160">
        <f t="shared" si="0"/>
        <v>2087.41</v>
      </c>
      <c r="H49" s="160">
        <f t="shared" si="0"/>
        <v>2462.3399999999997</v>
      </c>
      <c r="I49" s="2"/>
      <c r="J49" s="304"/>
      <c r="K49"/>
      <c r="L49" s="234"/>
      <c r="M49" s="234"/>
      <c r="N49" s="234"/>
      <c r="O49" s="237"/>
      <c r="P49" s="237"/>
      <c r="Q49" s="237"/>
      <c r="R49" s="237"/>
      <c r="S49" s="237"/>
    </row>
    <row r="50" spans="2:19" ht="16" x14ac:dyDescent="0.2">
      <c r="E50" s="9"/>
      <c r="F50" s="9"/>
      <c r="G50" s="9"/>
      <c r="H50" s="9"/>
      <c r="I50" s="4"/>
      <c r="J50" s="304"/>
      <c r="K50"/>
      <c r="L50" s="234"/>
      <c r="M50" s="234"/>
      <c r="N50" s="234"/>
      <c r="O50"/>
      <c r="P50"/>
      <c r="Q50"/>
      <c r="R50"/>
      <c r="S50"/>
    </row>
    <row r="51" spans="2:19" s="4" customFormat="1" ht="16" x14ac:dyDescent="0.2">
      <c r="B51" s="4" t="s">
        <v>31</v>
      </c>
      <c r="E51" s="8"/>
      <c r="F51" s="8"/>
      <c r="G51" s="8"/>
      <c r="H51" s="8"/>
      <c r="J51" s="304"/>
      <c r="K51" s="238"/>
      <c r="L51" s="232"/>
      <c r="M51" s="232"/>
      <c r="N51" s="232"/>
      <c r="O51" s="223"/>
      <c r="P51" s="223"/>
      <c r="Q51" s="223"/>
      <c r="R51" s="223"/>
      <c r="S51" s="223"/>
    </row>
    <row r="52" spans="2:19" s="4" customFormat="1" ht="16" x14ac:dyDescent="0.2">
      <c r="C52" s="158" t="s">
        <v>203</v>
      </c>
      <c r="D52" s="158"/>
      <c r="E52" s="8"/>
      <c r="F52" s="8"/>
      <c r="G52" s="8"/>
      <c r="H52" s="8"/>
      <c r="I52" s="304"/>
      <c r="J52" s="305"/>
      <c r="K52" s="238"/>
      <c r="L52" s="235"/>
      <c r="M52" s="235"/>
      <c r="N52" s="235"/>
      <c r="O52" s="223"/>
      <c r="P52" s="223"/>
      <c r="Q52" s="223"/>
      <c r="R52" s="223"/>
      <c r="S52" s="223"/>
    </row>
    <row r="53" spans="2:19" ht="16" x14ac:dyDescent="0.2">
      <c r="C53" s="2" t="s">
        <v>204</v>
      </c>
      <c r="D53" s="6">
        <v>190.24</v>
      </c>
      <c r="E53" s="6">
        <v>120.8</v>
      </c>
      <c r="F53" s="6">
        <v>269.04000000000002</v>
      </c>
      <c r="G53" s="6">
        <v>313.3</v>
      </c>
      <c r="H53" s="6">
        <v>379.23</v>
      </c>
      <c r="I53" s="304"/>
      <c r="J53" s="305"/>
      <c r="K53" s="238"/>
      <c r="L53" s="232"/>
      <c r="M53" s="232"/>
      <c r="N53" s="232"/>
      <c r="O53" s="223"/>
      <c r="P53" s="223"/>
      <c r="Q53" s="223"/>
      <c r="R53" s="223"/>
      <c r="S53" s="223"/>
    </row>
    <row r="54" spans="2:19" ht="16" x14ac:dyDescent="0.2">
      <c r="C54" s="2" t="s">
        <v>205</v>
      </c>
      <c r="D54" s="6">
        <v>6.86</v>
      </c>
      <c r="E54" s="6">
        <v>8.0399999999999991</v>
      </c>
      <c r="F54" s="6">
        <v>22.49</v>
      </c>
      <c r="G54" s="6">
        <v>21.55</v>
      </c>
      <c r="H54" s="6">
        <v>16.39</v>
      </c>
      <c r="I54" s="304"/>
      <c r="J54" s="304"/>
      <c r="K54"/>
      <c r="L54" s="235"/>
      <c r="M54" s="235"/>
      <c r="N54" s="235"/>
      <c r="O54" s="223"/>
      <c r="P54" s="223"/>
      <c r="Q54" s="223"/>
      <c r="R54" s="223"/>
      <c r="S54" s="223"/>
    </row>
    <row r="55" spans="2:19" ht="16" x14ac:dyDescent="0.2">
      <c r="C55" s="2" t="s">
        <v>206</v>
      </c>
      <c r="D55" s="6">
        <v>284.32</v>
      </c>
      <c r="E55" s="6">
        <v>237.17</v>
      </c>
      <c r="F55" s="6">
        <v>276.17</v>
      </c>
      <c r="G55" s="6">
        <v>98.81</v>
      </c>
      <c r="H55" s="6">
        <v>0.32</v>
      </c>
      <c r="I55" s="304"/>
      <c r="J55" s="304"/>
      <c r="K55"/>
      <c r="L55" s="234"/>
      <c r="M55" s="234"/>
      <c r="N55" s="234"/>
      <c r="O55" s="223"/>
      <c r="P55" s="223"/>
      <c r="Q55" s="223"/>
      <c r="R55" s="223"/>
      <c r="S55" s="223"/>
    </row>
    <row r="56" spans="2:19" ht="16" x14ac:dyDescent="0.2">
      <c r="C56" s="2" t="s">
        <v>33</v>
      </c>
      <c r="D56" s="6">
        <v>23.67</v>
      </c>
      <c r="E56" s="6">
        <v>27.2</v>
      </c>
      <c r="F56" s="6">
        <v>33.57</v>
      </c>
      <c r="G56" s="6">
        <v>40.08</v>
      </c>
      <c r="H56" s="6">
        <v>51.76</v>
      </c>
      <c r="I56" s="304"/>
      <c r="J56" s="304"/>
      <c r="K56"/>
      <c r="L56" s="234"/>
      <c r="M56" s="234"/>
      <c r="N56" s="234"/>
      <c r="O56" s="223"/>
      <c r="P56" s="223"/>
      <c r="Q56" s="223"/>
      <c r="R56" s="223"/>
      <c r="S56" s="223"/>
    </row>
    <row r="57" spans="2:19" ht="16" x14ac:dyDescent="0.2">
      <c r="C57" s="2" t="s">
        <v>248</v>
      </c>
      <c r="D57" s="6">
        <v>18.309999999999999</v>
      </c>
      <c r="E57" s="6">
        <v>21.24</v>
      </c>
      <c r="F57" s="6">
        <v>29.61</v>
      </c>
      <c r="G57" s="6">
        <v>33.54</v>
      </c>
      <c r="H57" s="6">
        <v>13.39</v>
      </c>
      <c r="I57" s="304"/>
      <c r="J57" s="304"/>
      <c r="K57"/>
      <c r="L57" s="234"/>
      <c r="M57" s="234"/>
      <c r="N57" s="234"/>
      <c r="O57" s="239"/>
      <c r="P57" s="239"/>
      <c r="Q57" s="239"/>
      <c r="R57" s="239"/>
      <c r="S57" s="239"/>
    </row>
    <row r="58" spans="2:19" ht="16" x14ac:dyDescent="0.2">
      <c r="E58" s="6"/>
      <c r="F58" s="6"/>
      <c r="G58" s="6"/>
      <c r="H58" s="6"/>
      <c r="I58" s="4"/>
      <c r="J58" s="304"/>
      <c r="K58"/>
      <c r="L58" s="234"/>
      <c r="M58" s="234"/>
      <c r="N58" s="234"/>
      <c r="O58" s="223"/>
      <c r="P58" s="223"/>
      <c r="Q58" s="223"/>
      <c r="R58" s="223"/>
      <c r="S58" s="223"/>
    </row>
    <row r="59" spans="2:19" s="4" customFormat="1" ht="16" x14ac:dyDescent="0.2">
      <c r="B59" s="4" t="s">
        <v>381</v>
      </c>
      <c r="D59" s="160">
        <f>SUM(D53:D57)</f>
        <v>523.4</v>
      </c>
      <c r="E59" s="160">
        <f>SUM(E53:E57)</f>
        <v>414.45</v>
      </c>
      <c r="F59" s="160">
        <f>SUM(F53:F57)</f>
        <v>630.88000000000011</v>
      </c>
      <c r="G59" s="160">
        <f>SUM(G53:G57)</f>
        <v>507.28000000000003</v>
      </c>
      <c r="H59" s="160">
        <f>SUM(H53:H57)</f>
        <v>461.09</v>
      </c>
      <c r="I59" s="2"/>
      <c r="J59" s="304"/>
      <c r="K59" s="225"/>
      <c r="L59" s="234"/>
      <c r="M59" s="234"/>
      <c r="N59" s="234"/>
      <c r="O59" s="223"/>
      <c r="P59" s="223"/>
      <c r="Q59" s="223"/>
      <c r="R59" s="223"/>
      <c r="S59" s="223"/>
    </row>
    <row r="60" spans="2:19" ht="16" x14ac:dyDescent="0.2">
      <c r="E60" s="9"/>
      <c r="F60" s="9"/>
      <c r="G60" s="9"/>
      <c r="H60" s="9"/>
      <c r="I60" s="4"/>
      <c r="J60" s="304"/>
      <c r="K60" s="225"/>
      <c r="L60" s="232"/>
      <c r="M60" s="232"/>
      <c r="N60" s="232"/>
      <c r="O60" s="223"/>
      <c r="P60" s="223"/>
      <c r="Q60" s="223"/>
      <c r="R60" s="223"/>
      <c r="S60" s="223"/>
    </row>
    <row r="61" spans="2:19" s="4" customFormat="1" ht="16" x14ac:dyDescent="0.2">
      <c r="B61" s="4" t="s">
        <v>382</v>
      </c>
      <c r="E61" s="8"/>
      <c r="F61" s="8"/>
      <c r="G61" s="8"/>
      <c r="H61" s="8"/>
      <c r="J61" s="304"/>
      <c r="K61" s="225"/>
      <c r="L61" s="232"/>
      <c r="M61" s="232"/>
      <c r="N61" s="232"/>
      <c r="O61" s="223"/>
      <c r="P61" s="223"/>
      <c r="Q61" s="223"/>
      <c r="R61" s="223"/>
      <c r="S61" s="223"/>
    </row>
    <row r="62" spans="2:19" s="4" customFormat="1" ht="16" x14ac:dyDescent="0.2">
      <c r="C62" s="158" t="s">
        <v>203</v>
      </c>
      <c r="D62" s="158"/>
      <c r="E62" s="8"/>
      <c r="F62" s="8"/>
      <c r="G62" s="8"/>
      <c r="H62" s="8"/>
      <c r="I62" s="2"/>
      <c r="J62" s="304"/>
      <c r="K62"/>
      <c r="L62" s="235"/>
      <c r="M62" s="235"/>
      <c r="N62" s="235"/>
      <c r="O62" s="223"/>
      <c r="P62" s="223"/>
      <c r="Q62" s="223"/>
      <c r="R62" s="223"/>
      <c r="S62" s="223"/>
    </row>
    <row r="63" spans="2:19" ht="16" x14ac:dyDescent="0.2">
      <c r="C63" s="2" t="s">
        <v>204</v>
      </c>
      <c r="D63" s="6">
        <v>69.98</v>
      </c>
      <c r="E63" s="6">
        <v>69.459999999999994</v>
      </c>
      <c r="F63" s="6">
        <v>102.63</v>
      </c>
      <c r="G63" s="6">
        <v>173.25</v>
      </c>
      <c r="H63" s="6">
        <v>175.94</v>
      </c>
      <c r="I63" s="304"/>
      <c r="J63" s="304"/>
      <c r="K63"/>
      <c r="L63" s="234"/>
      <c r="M63" s="234"/>
      <c r="N63" s="234"/>
      <c r="O63" s="223"/>
      <c r="P63" s="223"/>
      <c r="Q63" s="223"/>
      <c r="R63" s="223"/>
      <c r="S63" s="223"/>
    </row>
    <row r="64" spans="2:19" ht="16" x14ac:dyDescent="0.2">
      <c r="C64" s="2" t="s">
        <v>210</v>
      </c>
      <c r="D64" s="6">
        <v>5.97</v>
      </c>
      <c r="E64" s="6">
        <v>4.53</v>
      </c>
      <c r="F64" s="6">
        <v>10.07</v>
      </c>
      <c r="G64" s="6">
        <v>10.86</v>
      </c>
      <c r="H64" s="6">
        <v>11.57</v>
      </c>
      <c r="I64" s="304"/>
      <c r="J64" s="305"/>
      <c r="K64"/>
      <c r="L64" s="234"/>
      <c r="M64" s="234"/>
      <c r="N64" s="234"/>
      <c r="O64" s="223"/>
      <c r="P64" s="223"/>
      <c r="Q64" s="223"/>
      <c r="R64" s="223"/>
      <c r="S64" s="223"/>
    </row>
    <row r="65" spans="2:19" ht="16" x14ac:dyDescent="0.2">
      <c r="C65" s="2" t="s">
        <v>207</v>
      </c>
      <c r="D65" s="6">
        <v>30.69</v>
      </c>
      <c r="E65" s="6">
        <v>33.270000000000003</v>
      </c>
      <c r="F65" s="6">
        <v>182.94</v>
      </c>
      <c r="G65" s="6">
        <v>220.41</v>
      </c>
      <c r="H65" s="6">
        <v>255.99</v>
      </c>
      <c r="I65" s="304"/>
      <c r="J65" s="305"/>
      <c r="K65"/>
      <c r="L65" s="234"/>
      <c r="M65" s="234"/>
      <c r="N65" s="234"/>
      <c r="O65" s="223"/>
      <c r="P65" s="223"/>
      <c r="Q65" s="223"/>
      <c r="R65" s="223"/>
      <c r="S65" s="223"/>
    </row>
    <row r="66" spans="2:19" ht="16" x14ac:dyDescent="0.2">
      <c r="C66" s="2" t="s">
        <v>209</v>
      </c>
      <c r="D66" s="6">
        <v>426.94</v>
      </c>
      <c r="E66" s="6">
        <v>518.71</v>
      </c>
      <c r="F66" s="6">
        <v>203.21</v>
      </c>
      <c r="G66" s="6">
        <v>458.96</v>
      </c>
      <c r="H66" s="6">
        <v>180.5</v>
      </c>
      <c r="I66" s="304"/>
      <c r="J66" s="305"/>
      <c r="K66"/>
      <c r="L66" s="234"/>
      <c r="M66" s="234"/>
      <c r="N66" s="234"/>
      <c r="O66" s="239"/>
      <c r="P66" s="239"/>
      <c r="Q66" s="239"/>
      <c r="R66" s="239"/>
      <c r="S66" s="239"/>
    </row>
    <row r="67" spans="2:19" ht="16" x14ac:dyDescent="0.2">
      <c r="C67" s="2" t="s">
        <v>299</v>
      </c>
      <c r="D67" s="6">
        <v>0</v>
      </c>
      <c r="E67" s="6">
        <v>0</v>
      </c>
      <c r="F67" s="6">
        <v>59.27</v>
      </c>
      <c r="G67" s="6">
        <v>73.489999999999995</v>
      </c>
      <c r="H67" s="6">
        <v>109.18</v>
      </c>
      <c r="I67" s="304"/>
      <c r="J67" s="224"/>
      <c r="K67"/>
      <c r="L67" s="234"/>
      <c r="M67" s="234"/>
      <c r="N67" s="234"/>
      <c r="O67" s="239"/>
      <c r="P67" s="239"/>
      <c r="Q67" s="239"/>
      <c r="R67" s="239"/>
      <c r="S67" s="239"/>
    </row>
    <row r="68" spans="2:19" ht="16" x14ac:dyDescent="0.2">
      <c r="C68" s="2" t="s">
        <v>300</v>
      </c>
      <c r="D68" s="6">
        <v>132.19</v>
      </c>
      <c r="E68" s="6">
        <v>136</v>
      </c>
      <c r="F68" s="6">
        <v>82.23</v>
      </c>
      <c r="G68" s="6">
        <v>91.43</v>
      </c>
      <c r="H68" s="6">
        <v>125.4</v>
      </c>
      <c r="I68" s="304"/>
      <c r="J68" s="224"/>
      <c r="K68"/>
      <c r="L68" s="234"/>
      <c r="M68" s="234"/>
      <c r="N68" s="234"/>
      <c r="O68" s="239"/>
      <c r="P68" s="239"/>
      <c r="Q68" s="239"/>
      <c r="R68" s="239"/>
      <c r="S68" s="239"/>
    </row>
    <row r="69" spans="2:19" ht="16" x14ac:dyDescent="0.2">
      <c r="C69" s="2" t="s">
        <v>33</v>
      </c>
      <c r="D69" s="6">
        <v>23.23</v>
      </c>
      <c r="E69" s="6">
        <v>27.8</v>
      </c>
      <c r="F69" s="6">
        <v>33.24</v>
      </c>
      <c r="G69" s="6">
        <v>32.19</v>
      </c>
      <c r="H69" s="6">
        <v>39.5</v>
      </c>
      <c r="I69" s="304"/>
      <c r="J69" s="224"/>
      <c r="K69"/>
      <c r="L69" s="234"/>
      <c r="M69" s="234"/>
      <c r="N69" s="234"/>
      <c r="O69" s="239"/>
      <c r="P69" s="239"/>
      <c r="Q69" s="239"/>
      <c r="R69" s="239"/>
      <c r="S69" s="239"/>
    </row>
    <row r="70" spans="2:19" ht="16" x14ac:dyDescent="0.2">
      <c r="C70" s="2" t="s">
        <v>383</v>
      </c>
      <c r="D70" s="6">
        <v>42.78</v>
      </c>
      <c r="E70" s="6">
        <v>62.25</v>
      </c>
      <c r="F70" s="6">
        <v>61.92</v>
      </c>
      <c r="G70" s="6">
        <v>29.85</v>
      </c>
      <c r="H70" s="6">
        <v>40.369999999999997</v>
      </c>
      <c r="I70" s="304"/>
    </row>
    <row r="71" spans="2:19" ht="16" x14ac:dyDescent="0.2">
      <c r="E71" s="6"/>
      <c r="F71" s="6"/>
      <c r="G71" s="6"/>
      <c r="H71" s="6"/>
      <c r="I71" s="304"/>
    </row>
    <row r="72" spans="2:19" s="4" customFormat="1" ht="16" x14ac:dyDescent="0.2">
      <c r="B72" s="4" t="s">
        <v>208</v>
      </c>
      <c r="D72" s="160">
        <f>SUM(D63:D71)</f>
        <v>731.78</v>
      </c>
      <c r="E72" s="160">
        <f>SUM(E63:E71)</f>
        <v>852.02</v>
      </c>
      <c r="F72" s="160">
        <f t="shared" ref="F72:H72" si="1">SUM(F63:F71)</f>
        <v>735.51</v>
      </c>
      <c r="G72" s="160">
        <f t="shared" si="1"/>
        <v>1090.44</v>
      </c>
      <c r="H72" s="160">
        <f t="shared" si="1"/>
        <v>938.45</v>
      </c>
      <c r="I72" s="304"/>
    </row>
    <row r="73" spans="2:19" ht="16" x14ac:dyDescent="0.2">
      <c r="D73" s="9"/>
      <c r="E73" s="9"/>
      <c r="F73" s="9"/>
      <c r="G73" s="9"/>
      <c r="H73" s="9"/>
      <c r="I73" s="304"/>
    </row>
    <row r="74" spans="2:19" s="4" customFormat="1" ht="16" x14ac:dyDescent="0.2">
      <c r="B74" s="509" t="s">
        <v>36</v>
      </c>
      <c r="C74" s="509"/>
      <c r="D74" s="11">
        <f>D72+D59+D49</f>
        <v>2295.75</v>
      </c>
      <c r="E74" s="11">
        <f>E72+E59+E49</f>
        <v>2488.17</v>
      </c>
      <c r="F74" s="11">
        <f>F72+F59+F49</f>
        <v>3140.9</v>
      </c>
      <c r="G74" s="11">
        <f>G72+G59+G49</f>
        <v>3685.13</v>
      </c>
      <c r="H74" s="11">
        <f>H72+H59+H49</f>
        <v>3861.8799999999997</v>
      </c>
      <c r="I74" s="304"/>
    </row>
    <row r="75" spans="2:19" x14ac:dyDescent="0.15">
      <c r="D75" s="41">
        <f>D74-D40</f>
        <v>0</v>
      </c>
      <c r="E75" s="41">
        <f>E74-E40</f>
        <v>0</v>
      </c>
      <c r="F75" s="41">
        <f>F74-F40</f>
        <v>0</v>
      </c>
      <c r="G75" s="41">
        <f>G74-G40</f>
        <v>0</v>
      </c>
      <c r="H75" s="41">
        <f>H74-H40</f>
        <v>0</v>
      </c>
    </row>
    <row r="77" spans="2:19" x14ac:dyDescent="0.15">
      <c r="C77" s="66" t="s">
        <v>134</v>
      </c>
      <c r="D77" s="66"/>
      <c r="E77" s="66"/>
      <c r="F77" s="66"/>
      <c r="G77" s="66"/>
      <c r="H77" s="66"/>
    </row>
    <row r="78" spans="2:19" x14ac:dyDescent="0.15">
      <c r="C78" s="39" t="s">
        <v>135</v>
      </c>
      <c r="D78" s="39"/>
      <c r="E78" s="30"/>
      <c r="F78" s="30"/>
      <c r="G78" s="30"/>
      <c r="H78" s="30"/>
    </row>
    <row r="79" spans="2:19" x14ac:dyDescent="0.15">
      <c r="C79" s="30" t="s">
        <v>136</v>
      </c>
      <c r="D79" s="105">
        <f>D38/D72</f>
        <v>1.8658203285140342</v>
      </c>
      <c r="E79" s="105">
        <f>E38/E72</f>
        <v>1.7783737470951386</v>
      </c>
      <c r="F79" s="105">
        <f>F38/F72</f>
        <v>1.6861769384508709</v>
      </c>
      <c r="G79" s="105">
        <f>G38/G72</f>
        <v>1.4154286343127542</v>
      </c>
      <c r="H79" s="105">
        <f>H38/H72</f>
        <v>1.945601790185945</v>
      </c>
    </row>
    <row r="80" spans="2:19" x14ac:dyDescent="0.15">
      <c r="C80" s="30" t="s">
        <v>137</v>
      </c>
      <c r="D80" s="105">
        <f>(D32+D33)/D72</f>
        <v>1.3432998988767115</v>
      </c>
      <c r="E80" s="105">
        <f t="shared" ref="E80:H80" si="2">(E32+E33)/E72</f>
        <v>1.3645571700194832</v>
      </c>
      <c r="F80" s="105">
        <f t="shared" si="2"/>
        <v>0.97226414324754251</v>
      </c>
      <c r="G80" s="105">
        <f t="shared" si="2"/>
        <v>0.86563222185539779</v>
      </c>
      <c r="H80" s="105">
        <f t="shared" si="2"/>
        <v>1.2777239064414725</v>
      </c>
    </row>
    <row r="81" spans="3:9" x14ac:dyDescent="0.15">
      <c r="C81" s="30" t="s">
        <v>258</v>
      </c>
      <c r="D81" s="105">
        <f>(D33)/D72</f>
        <v>0.8310147858646042</v>
      </c>
      <c r="E81" s="105">
        <f t="shared" ref="E81:H81" si="3">(E33)/E72</f>
        <v>0.85333677613201575</v>
      </c>
      <c r="F81" s="105">
        <f t="shared" si="3"/>
        <v>0.28344957920354585</v>
      </c>
      <c r="G81" s="105">
        <f t="shared" si="3"/>
        <v>0.35087671031877038</v>
      </c>
      <c r="H81" s="105">
        <f t="shared" si="3"/>
        <v>0.4917363738078746</v>
      </c>
    </row>
    <row r="82" spans="3:9" x14ac:dyDescent="0.15">
      <c r="C82" s="39" t="s">
        <v>138</v>
      </c>
      <c r="D82" s="30"/>
      <c r="E82" s="30"/>
      <c r="F82" s="30"/>
      <c r="G82" s="30"/>
      <c r="H82" s="30"/>
    </row>
    <row r="83" spans="3:9" x14ac:dyDescent="0.15">
      <c r="C83" s="30" t="s">
        <v>139</v>
      </c>
      <c r="D83" s="105">
        <f>(D53+D63)/D74</f>
        <v>0.1133485788957857</v>
      </c>
      <c r="E83" s="105">
        <f>(E53+E63)/E74</f>
        <v>7.6465836337549276E-2</v>
      </c>
      <c r="F83" s="105">
        <f>(F53+F63)/F74</f>
        <v>0.11833232512973989</v>
      </c>
      <c r="G83" s="105">
        <f>(G53+G63)/G74</f>
        <v>0.13203062035803351</v>
      </c>
      <c r="H83" s="105">
        <f>(H53+H63)/H74</f>
        <v>0.14375640879571611</v>
      </c>
    </row>
    <row r="84" spans="3:9" x14ac:dyDescent="0.15">
      <c r="C84" s="30" t="s">
        <v>140</v>
      </c>
      <c r="D84" s="105">
        <f>(D53+D63)/D49</f>
        <v>0.25007447841087099</v>
      </c>
      <c r="E84" s="105">
        <f>(E53+E63)/E49</f>
        <v>0.15573381353851193</v>
      </c>
      <c r="F84" s="105">
        <f>(F53+F63)/F49</f>
        <v>0.20944936912161669</v>
      </c>
      <c r="G84" s="105">
        <f>(G53+G63)/G49</f>
        <v>0.23308789360978441</v>
      </c>
      <c r="H84" s="105">
        <f>(H53+H63)/H49</f>
        <v>0.22546439565616452</v>
      </c>
    </row>
    <row r="85" spans="3:9" x14ac:dyDescent="0.15">
      <c r="C85" s="30" t="s">
        <v>141</v>
      </c>
      <c r="D85" s="105">
        <f>'P&amp;L Input'!C26/'P&amp;L Input'!C30</f>
        <v>39.446913580246893</v>
      </c>
      <c r="E85" s="105">
        <f>'P&amp;L Input'!D26/'P&amp;L Input'!D30</f>
        <v>54.640625000000028</v>
      </c>
      <c r="F85" s="105">
        <f>'P&amp;L Input'!E26/'P&amp;L Input'!E30</f>
        <v>15.715210355987052</v>
      </c>
      <c r="G85" s="105">
        <f>'P&amp;L Input'!F26/'P&amp;L Input'!F30</f>
        <v>9.4166854058916147</v>
      </c>
      <c r="H85" s="105">
        <f>'P&amp;L Input'!G26/'P&amp;L Input'!G30</f>
        <v>11.206134094151219</v>
      </c>
    </row>
    <row r="86" spans="3:9" x14ac:dyDescent="0.15">
      <c r="C86" s="30" t="s">
        <v>142</v>
      </c>
      <c r="D86" s="32">
        <f>'P&amp;L Input'!C22/('P&amp;L Input'!C30+'BS Input'!D53+D63)</f>
        <v>1.3583407871198563</v>
      </c>
      <c r="E86" s="32">
        <f>'P&amp;L Input'!D22/('P&amp;L Input'!D30+'BS Input'!E53+E63)</f>
        <v>2.3366171567141572</v>
      </c>
      <c r="F86" s="32">
        <f>'P&amp;L Input'!E22/('P&amp;L Input'!E30+'BS Input'!F53+F63)</f>
        <v>1.1500037841519712</v>
      </c>
      <c r="G86" s="32">
        <f>'P&amp;L Input'!F22/('P&amp;L Input'!F30+'BS Input'!G53+G63)</f>
        <v>0.95791118978569567</v>
      </c>
      <c r="H86" s="32">
        <f>'P&amp;L Input'!G22/('P&amp;L Input'!G30+'BS Input'!H53+H63)</f>
        <v>0.91497413056946275</v>
      </c>
    </row>
    <row r="90" spans="3:9" ht="16" x14ac:dyDescent="0.15">
      <c r="C90" s="417"/>
      <c r="D90" s="418"/>
      <c r="E90" s="418"/>
      <c r="F90" s="418"/>
      <c r="G90" s="418"/>
      <c r="H90" s="418"/>
      <c r="I90" s="418"/>
    </row>
    <row r="91" spans="3:9" ht="15" x14ac:dyDescent="0.15">
      <c r="C91" s="419"/>
      <c r="D91" s="413"/>
      <c r="E91" s="413"/>
      <c r="F91" s="413"/>
      <c r="G91" s="413"/>
      <c r="H91" s="413"/>
      <c r="I91" s="413"/>
    </row>
    <row r="92" spans="3:9" ht="15" x14ac:dyDescent="0.15">
      <c r="C92" s="419"/>
      <c r="D92" s="413"/>
      <c r="E92" s="413"/>
      <c r="F92" s="413"/>
      <c r="G92" s="413"/>
      <c r="H92" s="413"/>
      <c r="I92" s="413"/>
    </row>
    <row r="93" spans="3:9" ht="15" x14ac:dyDescent="0.15">
      <c r="C93" s="420"/>
      <c r="D93" s="414"/>
      <c r="E93" s="414"/>
      <c r="F93" s="414"/>
      <c r="G93" s="414"/>
      <c r="H93" s="414"/>
      <c r="I93" s="414"/>
    </row>
    <row r="94" spans="3:9" ht="15" x14ac:dyDescent="0.15">
      <c r="C94" s="421"/>
      <c r="D94" s="415"/>
      <c r="E94" s="415"/>
      <c r="F94" s="415"/>
      <c r="G94" s="415"/>
      <c r="H94" s="415"/>
      <c r="I94" s="415"/>
    </row>
    <row r="95" spans="3:9" ht="15" x14ac:dyDescent="0.15">
      <c r="C95" s="419"/>
      <c r="D95" s="413"/>
      <c r="E95" s="413"/>
      <c r="F95" s="413"/>
      <c r="G95" s="413"/>
      <c r="H95" s="413"/>
      <c r="I95" s="413"/>
    </row>
    <row r="96" spans="3:9" ht="15" x14ac:dyDescent="0.15">
      <c r="C96" s="419"/>
      <c r="D96" s="422"/>
      <c r="E96" s="422"/>
      <c r="F96" s="422"/>
      <c r="G96" s="422"/>
      <c r="H96" s="422"/>
      <c r="I96" s="413"/>
    </row>
    <row r="97" spans="3:14" ht="15" x14ac:dyDescent="0.15">
      <c r="C97" s="420"/>
      <c r="D97" s="423"/>
      <c r="E97" s="423"/>
      <c r="F97" s="423"/>
      <c r="G97" s="423"/>
      <c r="H97" s="423"/>
      <c r="I97" s="416"/>
    </row>
    <row r="98" spans="3:14" x14ac:dyDescent="0.15">
      <c r="C98" s="417"/>
      <c r="D98" s="417"/>
      <c r="E98" s="417"/>
      <c r="F98" s="417"/>
      <c r="G98" s="417"/>
      <c r="H98" s="417"/>
      <c r="I98" s="417"/>
    </row>
    <row r="99" spans="3:14" ht="15" x14ac:dyDescent="0.15">
      <c r="C99" s="420"/>
      <c r="D99" s="414"/>
      <c r="E99" s="414"/>
      <c r="F99" s="414"/>
      <c r="G99" s="414"/>
      <c r="H99" s="414"/>
      <c r="I99" s="414"/>
      <c r="K99" s="405"/>
      <c r="L99" s="88"/>
      <c r="M99" s="88"/>
    </row>
    <row r="100" spans="3:14" x14ac:dyDescent="0.15">
      <c r="J100" s="367"/>
      <c r="L100" s="405"/>
      <c r="M100" s="88"/>
      <c r="N100" s="88"/>
    </row>
    <row r="101" spans="3:14" x14ac:dyDescent="0.15">
      <c r="L101" s="405"/>
      <c r="M101" s="88"/>
      <c r="N101" s="88"/>
    </row>
    <row r="102" spans="3:14" x14ac:dyDescent="0.15">
      <c r="E102" s="88"/>
      <c r="F102" s="88"/>
      <c r="G102" s="88"/>
      <c r="H102" s="88"/>
      <c r="I102" s="88"/>
      <c r="J102" s="88"/>
      <c r="K102" s="38"/>
      <c r="L102" s="92"/>
      <c r="M102" s="88"/>
      <c r="N102" s="88"/>
    </row>
    <row r="103" spans="3:14" x14ac:dyDescent="0.15">
      <c r="L103" s="405"/>
      <c r="M103" s="88"/>
      <c r="N103" s="88"/>
    </row>
    <row r="104" spans="3:14" x14ac:dyDescent="0.15">
      <c r="K104" s="38"/>
      <c r="L104" s="405"/>
      <c r="M104" s="88"/>
      <c r="N104" s="88"/>
    </row>
  </sheetData>
  <mergeCells count="7">
    <mergeCell ref="G6:H6"/>
    <mergeCell ref="B8:C9"/>
    <mergeCell ref="B10:C10"/>
    <mergeCell ref="B40:C40"/>
    <mergeCell ref="B74:C74"/>
    <mergeCell ref="B42:C42"/>
    <mergeCell ref="B7:H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9A68-3731-2B40-8A0F-50B1485A7ACE}">
  <sheetPr codeName="Sheet4">
    <tabColor rgb="FFFFFFCC"/>
  </sheetPr>
  <dimension ref="B6:S100"/>
  <sheetViews>
    <sheetView showGridLines="0" zoomScale="114" zoomScaleNormal="100" workbookViewId="0">
      <selection activeCell="C75" sqref="C75"/>
    </sheetView>
  </sheetViews>
  <sheetFormatPr baseColWidth="10" defaultColWidth="8.83203125" defaultRowHeight="14" x14ac:dyDescent="0.15"/>
  <cols>
    <col min="1" max="2" width="3.83203125" style="2" customWidth="1"/>
    <col min="3" max="3" width="46.83203125" style="2" bestFit="1" customWidth="1"/>
    <col min="4" max="7" width="13.1640625" style="2" bestFit="1" customWidth="1"/>
    <col min="8" max="8" width="13.5" style="2" customWidth="1"/>
    <col min="9" max="9" width="9.1640625" style="2" bestFit="1" customWidth="1"/>
    <col min="10" max="10" width="9.83203125" style="2" bestFit="1" customWidth="1"/>
    <col min="11" max="11" width="8.83203125" style="2" bestFit="1" customWidth="1"/>
    <col min="12" max="14" width="9.83203125" style="2" bestFit="1" customWidth="1"/>
    <col min="15" max="16384" width="8.83203125" style="2"/>
  </cols>
  <sheetData>
    <row r="6" spans="2:19" ht="14.5" customHeight="1" x14ac:dyDescent="0.15">
      <c r="C6" s="3"/>
      <c r="D6" s="3"/>
      <c r="G6" s="507" t="s">
        <v>64</v>
      </c>
      <c r="H6" s="507"/>
    </row>
    <row r="7" spans="2:19" ht="14.5" customHeight="1" x14ac:dyDescent="0.15">
      <c r="B7" s="510" t="s">
        <v>404</v>
      </c>
      <c r="C7" s="511"/>
      <c r="D7" s="511"/>
      <c r="E7" s="511"/>
      <c r="F7" s="511"/>
      <c r="G7" s="511"/>
      <c r="H7" s="511"/>
    </row>
    <row r="8" spans="2:19" x14ac:dyDescent="0.15">
      <c r="B8" s="501" t="s">
        <v>0</v>
      </c>
      <c r="C8" s="501"/>
      <c r="D8" s="195">
        <v>2021</v>
      </c>
      <c r="E8" s="195">
        <v>2022</v>
      </c>
      <c r="F8" s="195">
        <v>2023</v>
      </c>
      <c r="G8" s="195">
        <v>2024</v>
      </c>
      <c r="H8" s="195">
        <v>2025</v>
      </c>
    </row>
    <row r="9" spans="2:19" x14ac:dyDescent="0.15">
      <c r="B9" s="502"/>
      <c r="C9" s="502"/>
      <c r="D9" s="13" t="s">
        <v>1</v>
      </c>
      <c r="E9" s="13" t="s">
        <v>1</v>
      </c>
      <c r="F9" s="13" t="s">
        <v>1</v>
      </c>
      <c r="G9" s="13" t="s">
        <v>1</v>
      </c>
      <c r="H9" s="13" t="s">
        <v>1</v>
      </c>
    </row>
    <row r="10" spans="2:19" s="4" customFormat="1" x14ac:dyDescent="0.15">
      <c r="B10" s="508"/>
      <c r="C10" s="508"/>
      <c r="D10" s="107"/>
    </row>
    <row r="11" spans="2:19" s="4" customFormat="1" ht="16" x14ac:dyDescent="0.2">
      <c r="B11" s="4" t="s">
        <v>397</v>
      </c>
      <c r="E11" s="258"/>
      <c r="F11" s="258"/>
      <c r="J11" s="304"/>
      <c r="K11" s="231"/>
      <c r="L11" s="232"/>
      <c r="M11" s="232"/>
      <c r="N11" s="231"/>
      <c r="O11" s="233"/>
      <c r="P11" s="233"/>
      <c r="Q11" s="233"/>
      <c r="R11" s="233"/>
      <c r="S11" s="233"/>
    </row>
    <row r="12" spans="2:19" ht="16" x14ac:dyDescent="0.2">
      <c r="C12" s="4" t="s">
        <v>402</v>
      </c>
      <c r="D12" s="441">
        <v>339.33</v>
      </c>
      <c r="E12" s="441">
        <v>448.03999999999996</v>
      </c>
      <c r="F12" s="441">
        <v>427.37</v>
      </c>
      <c r="G12" s="6">
        <v>386.19</v>
      </c>
      <c r="H12" s="6">
        <v>459.16</v>
      </c>
      <c r="I12" s="304"/>
      <c r="J12" s="304"/>
      <c r="K12" s="224"/>
      <c r="L12" s="234"/>
      <c r="M12" s="234"/>
      <c r="N12" s="232"/>
      <c r="O12"/>
      <c r="P12"/>
      <c r="Q12"/>
      <c r="R12"/>
      <c r="S12"/>
    </row>
    <row r="13" spans="2:19" ht="16" x14ac:dyDescent="0.2">
      <c r="C13" s="5" t="s">
        <v>422</v>
      </c>
      <c r="D13" s="6"/>
      <c r="E13" s="6"/>
      <c r="F13" s="6"/>
      <c r="G13" s="6"/>
      <c r="H13" s="6"/>
      <c r="I13" s="304"/>
      <c r="J13" s="304"/>
      <c r="K13" s="225"/>
      <c r="L13" s="234"/>
      <c r="M13" s="234"/>
      <c r="N13" s="234"/>
      <c r="O13" s="223"/>
      <c r="P13" s="223"/>
      <c r="Q13" s="223"/>
      <c r="R13" s="223"/>
      <c r="S13" s="223"/>
    </row>
    <row r="14" spans="2:19" ht="16" x14ac:dyDescent="0.2">
      <c r="C14" s="2" t="s">
        <v>405</v>
      </c>
      <c r="D14" s="6">
        <v>-4.2799999999999994</v>
      </c>
      <c r="E14" s="6">
        <v>-2.92</v>
      </c>
      <c r="F14" s="6">
        <v>-1.49</v>
      </c>
      <c r="G14" s="6">
        <v>-2.48</v>
      </c>
      <c r="H14" s="6">
        <v>-6.8</v>
      </c>
      <c r="I14" s="304"/>
      <c r="J14" s="304"/>
      <c r="K14" s="225"/>
      <c r="L14" s="234"/>
      <c r="M14" s="234"/>
      <c r="N14" s="234"/>
      <c r="O14" s="223"/>
      <c r="P14" s="223"/>
      <c r="Q14" s="223"/>
      <c r="R14" s="223"/>
      <c r="S14" s="223"/>
    </row>
    <row r="15" spans="2:19" ht="16" x14ac:dyDescent="0.2">
      <c r="C15" s="2" t="s">
        <v>406</v>
      </c>
      <c r="D15" s="6">
        <v>8.36</v>
      </c>
      <c r="E15" s="6">
        <v>3.9299999999999997</v>
      </c>
      <c r="F15" s="6">
        <v>5.59</v>
      </c>
      <c r="G15" s="6">
        <v>8.9499999999999993</v>
      </c>
      <c r="H15" s="6">
        <v>8.77</v>
      </c>
      <c r="I15" s="304"/>
      <c r="J15" s="304"/>
      <c r="K15" s="225"/>
      <c r="L15" s="234"/>
      <c r="M15" s="234"/>
      <c r="N15" s="234"/>
      <c r="O15" s="223"/>
      <c r="P15" s="223"/>
      <c r="Q15" s="223"/>
      <c r="R15" s="223"/>
      <c r="S15" s="223"/>
    </row>
    <row r="16" spans="2:19" ht="16" x14ac:dyDescent="0.2">
      <c r="C16" s="2" t="s">
        <v>407</v>
      </c>
      <c r="D16" s="441">
        <v>8.1</v>
      </c>
      <c r="E16" s="441">
        <v>7.68</v>
      </c>
      <c r="F16" s="441">
        <v>24.72</v>
      </c>
      <c r="G16" s="441">
        <v>44.47</v>
      </c>
      <c r="H16" s="441">
        <v>42.06</v>
      </c>
      <c r="I16" s="304"/>
      <c r="J16" s="304"/>
      <c r="K16" s="225"/>
      <c r="L16" s="234"/>
      <c r="M16" s="234"/>
      <c r="N16" s="234"/>
      <c r="O16" s="223"/>
      <c r="P16" s="223"/>
      <c r="Q16" s="223"/>
      <c r="R16" s="223"/>
      <c r="S16" s="223"/>
    </row>
    <row r="17" spans="2:19" ht="16" x14ac:dyDescent="0.2">
      <c r="C17" s="2" t="s">
        <v>408</v>
      </c>
      <c r="D17" s="441">
        <v>44.95</v>
      </c>
      <c r="E17" s="441">
        <v>42.87</v>
      </c>
      <c r="F17" s="441">
        <v>67.37</v>
      </c>
      <c r="G17" s="441">
        <v>89.91</v>
      </c>
      <c r="H17" s="441">
        <v>75.12</v>
      </c>
      <c r="I17" s="304"/>
      <c r="J17" s="304"/>
      <c r="K17" s="225"/>
      <c r="L17" s="234"/>
      <c r="M17" s="234"/>
      <c r="N17" s="234"/>
      <c r="O17" s="223"/>
      <c r="P17" s="223"/>
      <c r="Q17" s="223"/>
      <c r="R17" s="223"/>
      <c r="S17" s="223"/>
    </row>
    <row r="18" spans="2:19" ht="16" x14ac:dyDescent="0.2">
      <c r="C18" s="2" t="s">
        <v>409</v>
      </c>
      <c r="D18" s="441">
        <v>0</v>
      </c>
      <c r="E18" s="441">
        <v>-2.06</v>
      </c>
      <c r="F18" s="441">
        <v>-8.16</v>
      </c>
      <c r="G18" s="441">
        <v>-2.31</v>
      </c>
      <c r="H18" s="441">
        <v>2.85</v>
      </c>
      <c r="I18" s="304"/>
      <c r="J18" s="304"/>
      <c r="K18" s="225"/>
      <c r="L18" s="234"/>
      <c r="M18" s="234"/>
      <c r="N18" s="234"/>
      <c r="O18" s="223"/>
      <c r="P18" s="223"/>
      <c r="Q18" s="223"/>
      <c r="R18" s="223"/>
      <c r="S18" s="223"/>
    </row>
    <row r="19" spans="2:19" ht="16" x14ac:dyDescent="0.2">
      <c r="C19" s="159" t="s">
        <v>413</v>
      </c>
      <c r="D19" s="441">
        <v>0</v>
      </c>
      <c r="E19" s="441">
        <v>0</v>
      </c>
      <c r="F19" s="441">
        <v>-25.32</v>
      </c>
      <c r="G19" s="441">
        <v>4.1100000000000003</v>
      </c>
      <c r="H19" s="441">
        <v>-7.6099999999999994</v>
      </c>
      <c r="I19" s="304"/>
      <c r="J19" s="304"/>
      <c r="K19" s="225"/>
      <c r="L19" s="235"/>
      <c r="M19" s="235"/>
      <c r="N19" s="234"/>
      <c r="O19" s="223"/>
      <c r="P19" s="223"/>
      <c r="Q19" s="223"/>
      <c r="R19" s="223"/>
      <c r="S19" s="223"/>
    </row>
    <row r="20" spans="2:19" ht="16" x14ac:dyDescent="0.2">
      <c r="C20" s="159" t="s">
        <v>410</v>
      </c>
      <c r="D20" s="6">
        <v>7</v>
      </c>
      <c r="E20" s="6">
        <v>0</v>
      </c>
      <c r="F20" s="6">
        <v>0</v>
      </c>
      <c r="G20" s="6">
        <v>0</v>
      </c>
      <c r="H20" s="6">
        <v>0</v>
      </c>
      <c r="I20" s="304"/>
      <c r="J20" s="304"/>
      <c r="K20"/>
      <c r="L20" s="235"/>
      <c r="M20" s="235"/>
      <c r="N20" s="234"/>
      <c r="O20" s="223"/>
      <c r="P20" s="223"/>
      <c r="Q20" s="223"/>
      <c r="R20" s="223"/>
      <c r="S20" s="223"/>
    </row>
    <row r="21" spans="2:19" ht="16" x14ac:dyDescent="0.2">
      <c r="C21" s="159" t="s">
        <v>414</v>
      </c>
      <c r="D21" s="6">
        <v>-3.44</v>
      </c>
      <c r="E21" s="6">
        <v>11.440000000000001</v>
      </c>
      <c r="F21" s="6">
        <v>25.48</v>
      </c>
      <c r="G21" s="6">
        <v>29.49</v>
      </c>
      <c r="H21" s="6">
        <v>20.59</v>
      </c>
      <c r="I21" s="304"/>
      <c r="J21" s="304"/>
      <c r="K21" s="236"/>
      <c r="L21" s="234"/>
      <c r="M21" s="234"/>
      <c r="N21" s="235"/>
      <c r="O21" s="223"/>
      <c r="P21" s="223"/>
      <c r="Q21" s="223"/>
      <c r="R21" s="223"/>
      <c r="S21" s="223"/>
    </row>
    <row r="22" spans="2:19" ht="16" x14ac:dyDescent="0.2">
      <c r="C22" s="2" t="s">
        <v>411</v>
      </c>
      <c r="D22" s="6">
        <v>-0.18</v>
      </c>
      <c r="E22" s="6">
        <v>0.02</v>
      </c>
      <c r="F22" s="6">
        <v>-0.37</v>
      </c>
      <c r="G22" s="6">
        <v>-0.43</v>
      </c>
      <c r="H22" s="6">
        <v>-0.25</v>
      </c>
      <c r="I22" s="304"/>
      <c r="J22" s="304"/>
      <c r="K22" s="236"/>
      <c r="L22" s="234"/>
      <c r="M22" s="234"/>
      <c r="N22" s="234"/>
      <c r="O22" s="223"/>
      <c r="P22" s="223"/>
      <c r="Q22" s="223"/>
      <c r="R22" s="223"/>
      <c r="S22" s="223"/>
    </row>
    <row r="23" spans="2:19" ht="16" x14ac:dyDescent="0.2">
      <c r="C23" s="2" t="s">
        <v>416</v>
      </c>
      <c r="D23" s="6">
        <v>-7.5</v>
      </c>
      <c r="E23" s="6">
        <v>-16.96</v>
      </c>
      <c r="F23" s="6">
        <v>-4.7700000000000005</v>
      </c>
      <c r="G23" s="6">
        <v>-3.88</v>
      </c>
      <c r="H23" s="6">
        <v>-7.7700000000000005</v>
      </c>
      <c r="I23" s="304"/>
      <c r="J23" s="304"/>
      <c r="K23" s="236"/>
      <c r="L23" s="234"/>
      <c r="M23" s="234"/>
      <c r="N23" s="234"/>
      <c r="O23" s="223"/>
      <c r="P23" s="223"/>
      <c r="Q23" s="223"/>
      <c r="R23" s="223"/>
      <c r="S23" s="223"/>
    </row>
    <row r="24" spans="2:19" ht="16" x14ac:dyDescent="0.2">
      <c r="C24" s="2" t="s">
        <v>415</v>
      </c>
      <c r="D24" s="6">
        <v>0</v>
      </c>
      <c r="E24" s="6">
        <v>0</v>
      </c>
      <c r="F24" s="6">
        <v>0</v>
      </c>
      <c r="G24" s="6">
        <v>-4.93</v>
      </c>
      <c r="H24" s="6">
        <v>-1.9300000000000002</v>
      </c>
      <c r="I24" s="304"/>
      <c r="J24" s="304"/>
      <c r="K24" s="236"/>
      <c r="L24" s="234"/>
      <c r="M24" s="234"/>
      <c r="N24" s="234"/>
      <c r="O24" s="223"/>
      <c r="P24" s="223"/>
      <c r="Q24" s="223"/>
      <c r="R24" s="223"/>
      <c r="S24" s="223"/>
    </row>
    <row r="25" spans="2:19" ht="16" x14ac:dyDescent="0.2">
      <c r="C25" s="2" t="s">
        <v>412</v>
      </c>
      <c r="D25" s="6">
        <v>-4.7</v>
      </c>
      <c r="E25" s="6">
        <v>-2.87</v>
      </c>
      <c r="F25" s="6">
        <v>-4.38</v>
      </c>
      <c r="G25" s="6">
        <v>-3.4</v>
      </c>
      <c r="H25" s="6">
        <v>-3.62</v>
      </c>
      <c r="I25" s="304"/>
      <c r="J25" s="304"/>
      <c r="K25" s="236"/>
      <c r="L25" s="234"/>
      <c r="M25" s="234"/>
      <c r="N25" s="234"/>
      <c r="O25" s="223"/>
      <c r="P25" s="223"/>
      <c r="Q25" s="223"/>
      <c r="R25" s="223"/>
      <c r="S25" s="223"/>
    </row>
    <row r="26" spans="2:19" ht="16" x14ac:dyDescent="0.2">
      <c r="D26" s="6"/>
      <c r="E26" s="6"/>
      <c r="F26" s="6"/>
      <c r="G26" s="6"/>
      <c r="H26" s="6"/>
      <c r="I26" s="4"/>
      <c r="J26" s="305"/>
      <c r="K26" s="236"/>
      <c r="L26" s="234"/>
      <c r="M26" s="234"/>
      <c r="N26" s="234"/>
      <c r="O26" s="223"/>
      <c r="P26" s="223"/>
      <c r="Q26" s="223"/>
      <c r="R26" s="223"/>
      <c r="S26" s="223"/>
    </row>
    <row r="27" spans="2:19" s="4" customFormat="1" ht="16" x14ac:dyDescent="0.2">
      <c r="B27" s="4" t="s">
        <v>403</v>
      </c>
      <c r="D27" s="160">
        <f>SUM(D12:D25)</f>
        <v>387.64000000000004</v>
      </c>
      <c r="E27" s="160">
        <f>SUM(E12:E25)</f>
        <v>489.16999999999996</v>
      </c>
      <c r="F27" s="160">
        <f>SUM(F12:F25)</f>
        <v>506.03999999999996</v>
      </c>
      <c r="G27" s="160">
        <f>SUM(G12:G25)</f>
        <v>545.69000000000017</v>
      </c>
      <c r="H27" s="160">
        <f>SUM(H12:H25)</f>
        <v>580.57000000000005</v>
      </c>
      <c r="I27" s="2"/>
      <c r="J27" s="305"/>
      <c r="K27" s="225"/>
      <c r="L27" s="234"/>
      <c r="M27" s="234"/>
      <c r="N27" s="234"/>
      <c r="O27" s="223"/>
      <c r="P27" s="223"/>
      <c r="Q27" s="223"/>
      <c r="R27" s="223"/>
      <c r="S27" s="223"/>
    </row>
    <row r="28" spans="2:19" ht="16" x14ac:dyDescent="0.2">
      <c r="E28" s="9"/>
      <c r="F28" s="9"/>
      <c r="G28" s="9"/>
      <c r="H28" s="9"/>
      <c r="I28" s="4"/>
      <c r="J28" s="304"/>
      <c r="K28" s="225"/>
      <c r="L28" s="234"/>
      <c r="M28" s="234"/>
      <c r="N28" s="234"/>
      <c r="O28" s="223"/>
      <c r="P28" s="223"/>
      <c r="Q28" s="223"/>
      <c r="R28" s="223"/>
      <c r="S28" s="223"/>
    </row>
    <row r="29" spans="2:19" s="4" customFormat="1" ht="16" x14ac:dyDescent="0.2">
      <c r="B29" s="4" t="s">
        <v>417</v>
      </c>
      <c r="E29" s="8"/>
      <c r="F29" s="8"/>
      <c r="G29" s="8"/>
      <c r="H29" s="8"/>
      <c r="I29" s="2"/>
      <c r="J29" s="304"/>
      <c r="K29" s="361"/>
      <c r="L29" s="361"/>
      <c r="M29" s="234"/>
      <c r="N29" s="234"/>
      <c r="O29" s="223"/>
      <c r="P29" s="223"/>
      <c r="Q29" s="223"/>
      <c r="R29" s="223"/>
      <c r="S29" s="223"/>
    </row>
    <row r="30" spans="2:19" ht="16" x14ac:dyDescent="0.2">
      <c r="C30" s="2" t="s">
        <v>418</v>
      </c>
      <c r="D30" s="6">
        <v>-44.85</v>
      </c>
      <c r="E30" s="6">
        <v>-136.35999999999999</v>
      </c>
      <c r="F30" s="6">
        <v>-138.31</v>
      </c>
      <c r="G30" s="6">
        <v>-8.35</v>
      </c>
      <c r="H30" s="6">
        <v>-12.370000000000001</v>
      </c>
      <c r="I30" s="304"/>
      <c r="J30" s="442"/>
      <c r="K30" s="362"/>
      <c r="L30" s="437"/>
      <c r="M30" s="234"/>
      <c r="N30" s="234"/>
      <c r="O30" s="223"/>
      <c r="P30" s="223"/>
      <c r="Q30" s="223"/>
      <c r="R30" s="223"/>
      <c r="S30" s="223"/>
    </row>
    <row r="31" spans="2:19" ht="16" x14ac:dyDescent="0.2">
      <c r="C31" s="2" t="s">
        <v>419</v>
      </c>
      <c r="D31" s="6">
        <v>-15.49</v>
      </c>
      <c r="E31" s="6">
        <v>-36.69</v>
      </c>
      <c r="F31" s="6">
        <v>-8.6999999999999993</v>
      </c>
      <c r="G31" s="6">
        <v>-39.03</v>
      </c>
      <c r="H31" s="6">
        <v>-59.21</v>
      </c>
      <c r="I31" s="304"/>
      <c r="J31" s="304"/>
      <c r="K31"/>
      <c r="L31" s="438"/>
      <c r="M31" s="234"/>
      <c r="N31" s="234"/>
      <c r="O31" s="223"/>
      <c r="P31" s="223"/>
      <c r="Q31" s="223"/>
      <c r="R31" s="223"/>
      <c r="S31" s="223"/>
    </row>
    <row r="32" spans="2:19" ht="16" x14ac:dyDescent="0.2">
      <c r="C32" s="2" t="s">
        <v>420</v>
      </c>
      <c r="D32" s="6">
        <v>7.7799999999999994</v>
      </c>
      <c r="E32" s="6">
        <v>66.41</v>
      </c>
      <c r="F32" s="6">
        <v>-115.28</v>
      </c>
      <c r="G32" s="6">
        <v>29</v>
      </c>
      <c r="H32" s="6">
        <v>8.1999999999999993</v>
      </c>
      <c r="I32" s="304"/>
      <c r="J32" s="304"/>
      <c r="K32" s="225"/>
      <c r="L32" s="438"/>
      <c r="M32" s="232"/>
      <c r="N32" s="232"/>
      <c r="O32" s="223"/>
      <c r="P32" s="223"/>
      <c r="Q32" s="223"/>
      <c r="R32" s="223"/>
      <c r="S32" s="223"/>
    </row>
    <row r="33" spans="2:19" ht="16" x14ac:dyDescent="0.2">
      <c r="D33" s="440"/>
      <c r="E33" s="440"/>
      <c r="F33" s="440"/>
      <c r="G33" s="440"/>
      <c r="H33" s="440"/>
      <c r="I33" s="304"/>
      <c r="J33" s="304"/>
      <c r="K33" s="225"/>
      <c r="L33" s="438"/>
      <c r="M33" s="232"/>
      <c r="N33" s="232"/>
      <c r="O33" s="223"/>
      <c r="P33" s="223"/>
      <c r="Q33" s="223"/>
      <c r="R33" s="223"/>
      <c r="S33" s="223"/>
    </row>
    <row r="34" spans="2:19" ht="16" x14ac:dyDescent="0.2">
      <c r="B34" s="4" t="s">
        <v>400</v>
      </c>
      <c r="D34" s="8">
        <f t="shared" ref="D34:H34" si="0">SUM(D27,D30:D32)</f>
        <v>335.08</v>
      </c>
      <c r="E34" s="8">
        <f t="shared" si="0"/>
        <v>382.53</v>
      </c>
      <c r="F34" s="8">
        <f t="shared" si="0"/>
        <v>243.74999999999997</v>
      </c>
      <c r="G34" s="8">
        <f t="shared" si="0"/>
        <v>527.31000000000017</v>
      </c>
      <c r="H34" s="8">
        <f t="shared" si="0"/>
        <v>517.19000000000005</v>
      </c>
      <c r="I34" s="403"/>
      <c r="J34" s="403"/>
      <c r="K34" s="404"/>
      <c r="L34" s="438"/>
      <c r="M34" s="403"/>
      <c r="N34" s="403"/>
      <c r="O34" s="237"/>
      <c r="P34" s="237"/>
      <c r="Q34" s="237"/>
      <c r="R34" s="237"/>
      <c r="S34" s="237"/>
    </row>
    <row r="35" spans="2:19" ht="16" x14ac:dyDescent="0.2">
      <c r="C35" s="2" t="s">
        <v>421</v>
      </c>
      <c r="D35" s="6">
        <v>-47.94</v>
      </c>
      <c r="E35" s="6">
        <v>-109.04</v>
      </c>
      <c r="F35" s="6">
        <v>-136.07999999999998</v>
      </c>
      <c r="G35" s="6">
        <v>-106.94000000000001</v>
      </c>
      <c r="H35" s="6">
        <v>-122.05</v>
      </c>
      <c r="I35" s="304"/>
      <c r="J35" s="305"/>
      <c r="K35" s="305"/>
      <c r="L35" s="438"/>
      <c r="M35" s="305"/>
      <c r="N35" s="305"/>
      <c r="O35" s="223"/>
      <c r="P35" s="223"/>
      <c r="Q35" s="223"/>
      <c r="R35" s="223"/>
      <c r="S35" s="223"/>
    </row>
    <row r="36" spans="2:19" ht="16" x14ac:dyDescent="0.2">
      <c r="D36" s="6"/>
      <c r="E36" s="6"/>
      <c r="F36" s="6"/>
      <c r="G36" s="6"/>
      <c r="H36" s="6"/>
      <c r="I36" s="402"/>
      <c r="J36" s="305"/>
      <c r="K36" s="238"/>
      <c r="L36" s="438"/>
      <c r="M36" s="234"/>
      <c r="N36" s="234"/>
      <c r="O36" s="223"/>
      <c r="P36" s="223"/>
      <c r="Q36" s="223"/>
      <c r="R36" s="223"/>
      <c r="S36" s="223"/>
    </row>
    <row r="37" spans="2:19" s="4" customFormat="1" ht="16" x14ac:dyDescent="0.2">
      <c r="B37" s="509" t="s">
        <v>401</v>
      </c>
      <c r="C37" s="509"/>
      <c r="D37" s="11">
        <f t="shared" ref="D37:H37" si="1">D34+D35</f>
        <v>287.14</v>
      </c>
      <c r="E37" s="11">
        <f t="shared" si="1"/>
        <v>273.48999999999995</v>
      </c>
      <c r="F37" s="11">
        <f t="shared" si="1"/>
        <v>107.66999999999999</v>
      </c>
      <c r="G37" s="11">
        <f t="shared" si="1"/>
        <v>420.37000000000018</v>
      </c>
      <c r="H37" s="11">
        <f t="shared" si="1"/>
        <v>395.14000000000004</v>
      </c>
      <c r="I37" s="402"/>
      <c r="J37" s="305"/>
      <c r="K37" s="225"/>
      <c r="L37" s="234"/>
      <c r="M37" s="234"/>
      <c r="N37" s="234"/>
      <c r="O37" s="223"/>
      <c r="P37" s="223"/>
      <c r="Q37" s="223"/>
      <c r="R37" s="223"/>
      <c r="S37" s="223"/>
    </row>
    <row r="38" spans="2:19" ht="16" x14ac:dyDescent="0.2">
      <c r="E38" s="9"/>
      <c r="F38" s="9"/>
      <c r="G38" s="9"/>
      <c r="H38" s="9"/>
      <c r="I38" s="402"/>
      <c r="J38" s="304"/>
      <c r="K38"/>
      <c r="L38" s="234"/>
      <c r="M38" s="234"/>
      <c r="N38" s="234"/>
      <c r="O38" s="239"/>
      <c r="P38" s="239"/>
      <c r="Q38" s="239"/>
      <c r="R38" s="239"/>
      <c r="S38" s="239"/>
    </row>
    <row r="39" spans="2:19" ht="16" x14ac:dyDescent="0.2">
      <c r="B39" s="4" t="s">
        <v>398</v>
      </c>
      <c r="C39" s="4"/>
      <c r="D39" s="107"/>
      <c r="E39" s="9"/>
      <c r="F39" s="9"/>
      <c r="G39" s="9"/>
      <c r="H39" s="9"/>
      <c r="I39" s="93"/>
      <c r="J39" s="305"/>
      <c r="K39"/>
      <c r="L39" s="234"/>
      <c r="M39" s="234"/>
      <c r="N39" s="234"/>
      <c r="O39" s="239"/>
      <c r="P39" s="239"/>
      <c r="Q39" s="239"/>
      <c r="R39" s="239"/>
      <c r="S39" s="239"/>
    </row>
    <row r="40" spans="2:19" ht="16" x14ac:dyDescent="0.2">
      <c r="B40" s="4"/>
      <c r="C40" s="2" t="s">
        <v>423</v>
      </c>
      <c r="D40" s="6">
        <v>0.18</v>
      </c>
      <c r="E40" s="6">
        <v>0.19</v>
      </c>
      <c r="F40" s="6">
        <v>49.39</v>
      </c>
      <c r="G40" s="6">
        <v>1.9600000000000002</v>
      </c>
      <c r="H40" s="6">
        <v>1.3</v>
      </c>
      <c r="I40" s="93"/>
      <c r="J40" s="305"/>
      <c r="K40"/>
      <c r="L40" s="234"/>
      <c r="M40" s="234"/>
      <c r="N40" s="234"/>
      <c r="O40" s="239"/>
      <c r="P40" s="239"/>
      <c r="Q40" s="239"/>
      <c r="R40" s="239"/>
      <c r="S40" s="239"/>
    </row>
    <row r="41" spans="2:19" ht="16" x14ac:dyDescent="0.2">
      <c r="B41" s="4"/>
      <c r="C41" s="2" t="s">
        <v>424</v>
      </c>
      <c r="D41" s="6">
        <v>-11.75</v>
      </c>
      <c r="E41" s="6">
        <v>-36.85</v>
      </c>
      <c r="F41" s="6">
        <v>-31.5</v>
      </c>
      <c r="G41" s="6">
        <v>-31.45</v>
      </c>
      <c r="H41" s="6">
        <v>-20.130000000000003</v>
      </c>
      <c r="I41" s="93"/>
      <c r="J41" s="305"/>
      <c r="K41"/>
      <c r="L41" s="234"/>
      <c r="M41" s="234"/>
      <c r="N41" s="234"/>
      <c r="O41" s="239"/>
      <c r="P41" s="239"/>
      <c r="Q41" s="239"/>
      <c r="R41" s="239"/>
      <c r="S41" s="239"/>
    </row>
    <row r="42" spans="2:19" ht="16" x14ac:dyDescent="0.2">
      <c r="B42" s="4"/>
      <c r="C42" s="2" t="s">
        <v>425</v>
      </c>
      <c r="D42" s="6">
        <v>2.58</v>
      </c>
      <c r="E42" s="6">
        <v>3.53</v>
      </c>
      <c r="F42" s="6">
        <v>3.94</v>
      </c>
      <c r="G42" s="6">
        <v>0.61</v>
      </c>
      <c r="H42" s="6">
        <v>6.8</v>
      </c>
      <c r="I42" s="93"/>
      <c r="J42" s="305"/>
      <c r="K42"/>
      <c r="L42" s="234"/>
      <c r="M42" s="234"/>
      <c r="N42" s="234"/>
      <c r="O42" s="239"/>
      <c r="P42" s="239"/>
      <c r="Q42" s="239"/>
      <c r="R42" s="239"/>
      <c r="S42" s="239"/>
    </row>
    <row r="43" spans="2:19" ht="16" x14ac:dyDescent="0.2">
      <c r="B43" s="4"/>
      <c r="C43" s="2" t="s">
        <v>412</v>
      </c>
      <c r="D43" s="6">
        <v>4.42</v>
      </c>
      <c r="E43" s="6">
        <v>4.0600000000000005</v>
      </c>
      <c r="F43" s="6">
        <v>2.77</v>
      </c>
      <c r="G43" s="6">
        <v>3.4</v>
      </c>
      <c r="H43" s="6">
        <v>3.62</v>
      </c>
      <c r="I43" s="93"/>
      <c r="J43" s="305"/>
      <c r="K43"/>
      <c r="L43" s="234"/>
      <c r="M43" s="234"/>
      <c r="N43" s="234"/>
      <c r="O43" s="239"/>
      <c r="P43" s="239"/>
      <c r="Q43" s="239"/>
      <c r="R43" s="239"/>
      <c r="S43" s="239"/>
    </row>
    <row r="44" spans="2:19" ht="16" x14ac:dyDescent="0.2">
      <c r="B44" s="4"/>
      <c r="C44" s="2" t="s">
        <v>426</v>
      </c>
      <c r="D44" s="6">
        <v>0</v>
      </c>
      <c r="E44" s="6">
        <v>0</v>
      </c>
      <c r="F44" s="6">
        <v>-12.41</v>
      </c>
      <c r="G44" s="6">
        <v>0</v>
      </c>
      <c r="H44" s="6">
        <v>0</v>
      </c>
      <c r="I44" s="93"/>
      <c r="J44" s="305"/>
      <c r="K44"/>
      <c r="L44" s="234"/>
      <c r="M44" s="234"/>
      <c r="N44" s="234"/>
      <c r="O44" s="239"/>
      <c r="P44" s="239"/>
      <c r="Q44" s="239"/>
      <c r="R44" s="239"/>
      <c r="S44" s="239"/>
    </row>
    <row r="45" spans="2:19" ht="16" x14ac:dyDescent="0.2">
      <c r="B45" s="4"/>
      <c r="C45" s="2" t="s">
        <v>427</v>
      </c>
      <c r="D45" s="6">
        <v>0</v>
      </c>
      <c r="E45" s="6">
        <v>-165.95</v>
      </c>
      <c r="F45" s="6">
        <v>-755.17</v>
      </c>
      <c r="G45" s="6">
        <v>-194.49</v>
      </c>
      <c r="H45" s="6">
        <v>-205.46999999999997</v>
      </c>
      <c r="I45" s="93"/>
      <c r="J45" s="305"/>
      <c r="K45"/>
      <c r="L45" s="234"/>
      <c r="M45" s="234"/>
      <c r="N45" s="234"/>
      <c r="O45" s="239"/>
      <c r="P45" s="239"/>
      <c r="Q45" s="239"/>
      <c r="R45" s="239"/>
      <c r="S45" s="239"/>
    </row>
    <row r="46" spans="2:19" ht="16" x14ac:dyDescent="0.2">
      <c r="B46" s="4"/>
      <c r="C46" s="2" t="s">
        <v>434</v>
      </c>
      <c r="D46" s="6">
        <v>-229.85</v>
      </c>
      <c r="E46" s="6">
        <v>-281.36</v>
      </c>
      <c r="F46" s="6">
        <v>-246.41</v>
      </c>
      <c r="G46" s="6">
        <v>-10.5</v>
      </c>
      <c r="H46" s="6">
        <v>0</v>
      </c>
      <c r="I46" s="93"/>
      <c r="J46" s="305"/>
      <c r="K46"/>
      <c r="L46" s="234"/>
      <c r="M46" s="234"/>
      <c r="N46" s="234"/>
      <c r="O46" s="239"/>
      <c r="P46" s="239"/>
      <c r="Q46" s="239"/>
      <c r="R46" s="239"/>
      <c r="S46" s="239"/>
    </row>
    <row r="47" spans="2:19" ht="16" x14ac:dyDescent="0.2">
      <c r="B47" s="4"/>
      <c r="C47" s="2" t="s">
        <v>428</v>
      </c>
      <c r="D47" s="6">
        <v>0</v>
      </c>
      <c r="E47" s="6">
        <v>0</v>
      </c>
      <c r="F47" s="6">
        <v>-5.6800000000000006</v>
      </c>
      <c r="G47" s="6">
        <v>-8.36</v>
      </c>
      <c r="H47" s="6">
        <v>14.13</v>
      </c>
      <c r="I47" s="93"/>
      <c r="J47" s="305"/>
      <c r="K47"/>
      <c r="L47" s="234"/>
      <c r="M47" s="234"/>
      <c r="N47" s="234"/>
      <c r="O47" s="239"/>
      <c r="P47" s="239"/>
      <c r="Q47" s="239"/>
      <c r="R47" s="239"/>
      <c r="S47" s="239"/>
    </row>
    <row r="48" spans="2:19" ht="16" x14ac:dyDescent="0.2">
      <c r="B48" s="4"/>
      <c r="C48" s="2" t="s">
        <v>429</v>
      </c>
      <c r="D48" s="6">
        <v>0</v>
      </c>
      <c r="E48" s="6">
        <v>9.67</v>
      </c>
      <c r="F48" s="6">
        <v>39.519999999999996</v>
      </c>
      <c r="G48" s="6">
        <v>-0.36</v>
      </c>
      <c r="H48" s="6">
        <v>0</v>
      </c>
      <c r="I48" s="93"/>
      <c r="J48" s="305"/>
      <c r="K48"/>
      <c r="L48" s="234"/>
      <c r="M48" s="234"/>
      <c r="N48" s="234"/>
      <c r="O48" s="239"/>
      <c r="P48" s="239"/>
      <c r="Q48" s="239"/>
      <c r="R48" s="239"/>
      <c r="S48" s="239"/>
    </row>
    <row r="49" spans="2:19" ht="16" x14ac:dyDescent="0.2">
      <c r="B49" s="4"/>
      <c r="C49" s="2" t="s">
        <v>430</v>
      </c>
      <c r="D49" s="6">
        <v>237.09</v>
      </c>
      <c r="E49" s="6">
        <v>31.47</v>
      </c>
      <c r="F49" s="6">
        <v>10.48</v>
      </c>
      <c r="G49" s="6">
        <v>0</v>
      </c>
      <c r="H49" s="6">
        <v>0</v>
      </c>
      <c r="I49" s="93"/>
      <c r="J49" s="305"/>
      <c r="K49"/>
      <c r="L49" s="234"/>
      <c r="M49" s="234"/>
      <c r="N49" s="234"/>
      <c r="O49" s="239"/>
      <c r="P49" s="239"/>
      <c r="Q49" s="239"/>
      <c r="R49" s="239"/>
      <c r="S49" s="239"/>
    </row>
    <row r="50" spans="2:19" ht="16" x14ac:dyDescent="0.2">
      <c r="B50" s="4"/>
      <c r="C50" s="2" t="s">
        <v>431</v>
      </c>
      <c r="D50" s="6">
        <v>0</v>
      </c>
      <c r="E50" s="6">
        <v>0</v>
      </c>
      <c r="F50" s="6">
        <v>0</v>
      </c>
      <c r="G50" s="6">
        <v>-345.73</v>
      </c>
      <c r="H50" s="6">
        <v>-461.32</v>
      </c>
      <c r="I50" s="93"/>
      <c r="J50" s="305"/>
      <c r="K50"/>
      <c r="L50" s="234"/>
      <c r="M50" s="234"/>
      <c r="N50" s="234"/>
      <c r="O50" s="239"/>
      <c r="P50" s="239"/>
      <c r="Q50" s="239"/>
      <c r="R50" s="239"/>
      <c r="S50" s="239"/>
    </row>
    <row r="51" spans="2:19" ht="16" x14ac:dyDescent="0.2">
      <c r="B51" s="4"/>
      <c r="C51" s="2" t="s">
        <v>432</v>
      </c>
      <c r="D51" s="6">
        <v>195.35999999999999</v>
      </c>
      <c r="E51" s="6">
        <v>415.09</v>
      </c>
      <c r="F51" s="6">
        <v>207.43</v>
      </c>
      <c r="G51" s="6">
        <v>328.43</v>
      </c>
      <c r="H51" s="6">
        <v>386.96999999999997</v>
      </c>
      <c r="I51" s="93"/>
      <c r="J51" s="305"/>
      <c r="K51"/>
      <c r="L51" s="234"/>
      <c r="M51" s="234"/>
      <c r="N51" s="234"/>
      <c r="O51" s="239"/>
      <c r="P51" s="239"/>
      <c r="Q51" s="239"/>
      <c r="R51" s="239"/>
      <c r="S51" s="239"/>
    </row>
    <row r="52" spans="2:19" ht="16" x14ac:dyDescent="0.2">
      <c r="B52" s="4"/>
      <c r="C52" s="2" t="s">
        <v>433</v>
      </c>
      <c r="D52" s="6">
        <v>0</v>
      </c>
      <c r="E52" s="6">
        <v>0</v>
      </c>
      <c r="F52" s="6">
        <v>0</v>
      </c>
      <c r="G52" s="6">
        <v>0</v>
      </c>
      <c r="H52" s="6">
        <v>-1.25</v>
      </c>
      <c r="I52" s="93"/>
      <c r="J52" s="305"/>
      <c r="K52"/>
      <c r="L52" s="234"/>
      <c r="M52" s="234"/>
      <c r="N52" s="234"/>
      <c r="O52" s="239"/>
      <c r="P52" s="239"/>
      <c r="Q52" s="239"/>
      <c r="R52" s="239"/>
      <c r="S52" s="239"/>
    </row>
    <row r="53" spans="2:19" ht="16" x14ac:dyDescent="0.2">
      <c r="B53" s="10"/>
      <c r="C53" s="10"/>
      <c r="D53" s="6"/>
      <c r="E53" s="6"/>
      <c r="F53" s="6"/>
      <c r="G53" s="6"/>
      <c r="H53" s="6"/>
      <c r="J53" s="305"/>
      <c r="K53"/>
      <c r="L53" s="234"/>
      <c r="M53" s="234"/>
      <c r="N53" s="234"/>
      <c r="O53" s="223"/>
      <c r="P53" s="223"/>
      <c r="Q53" s="223"/>
      <c r="R53" s="223"/>
      <c r="S53" s="223"/>
    </row>
    <row r="54" spans="2:19" ht="16" x14ac:dyDescent="0.2">
      <c r="B54" s="509" t="s">
        <v>435</v>
      </c>
      <c r="C54" s="509"/>
      <c r="D54" s="11">
        <f t="shared" ref="D54:H54" si="2">SUM(D40:D52)</f>
        <v>198.03</v>
      </c>
      <c r="E54" s="11">
        <f t="shared" si="2"/>
        <v>-20.150000000000034</v>
      </c>
      <c r="F54" s="11">
        <f t="shared" si="2"/>
        <v>-737.63999999999987</v>
      </c>
      <c r="G54" s="11">
        <f t="shared" si="2"/>
        <v>-256.49000000000007</v>
      </c>
      <c r="H54" s="11">
        <f t="shared" si="2"/>
        <v>-275.34999999999997</v>
      </c>
      <c r="J54" s="305"/>
      <c r="K54"/>
      <c r="L54" s="234"/>
      <c r="M54" s="234"/>
      <c r="N54" s="234"/>
      <c r="O54" s="223"/>
      <c r="P54" s="223"/>
      <c r="Q54" s="223"/>
      <c r="R54" s="223"/>
      <c r="S54" s="223"/>
    </row>
    <row r="55" spans="2:19" ht="16" x14ac:dyDescent="0.2">
      <c r="B55" s="10"/>
      <c r="C55" s="10"/>
      <c r="D55" s="439"/>
      <c r="E55" s="439"/>
      <c r="F55" s="439"/>
      <c r="G55" s="439"/>
      <c r="H55" s="439"/>
      <c r="J55" s="305"/>
      <c r="K55"/>
      <c r="L55" s="234"/>
      <c r="M55" s="234"/>
      <c r="N55" s="234"/>
      <c r="O55" s="223"/>
      <c r="P55" s="223"/>
      <c r="Q55" s="223"/>
      <c r="R55" s="223"/>
      <c r="S55" s="223"/>
    </row>
    <row r="56" spans="2:19" ht="16" x14ac:dyDescent="0.2">
      <c r="B56" s="4" t="s">
        <v>399</v>
      </c>
      <c r="E56" s="9"/>
      <c r="F56" s="9"/>
      <c r="G56" s="9"/>
      <c r="H56" s="9"/>
      <c r="J56" s="305"/>
      <c r="K56"/>
      <c r="L56" s="234"/>
      <c r="M56" s="234"/>
      <c r="N56" s="234"/>
      <c r="O56" s="227"/>
      <c r="P56" s="227"/>
      <c r="Q56" s="227"/>
      <c r="R56" s="227"/>
      <c r="S56" s="227"/>
    </row>
    <row r="57" spans="2:19" ht="16" x14ac:dyDescent="0.2">
      <c r="C57" s="2" t="s">
        <v>436</v>
      </c>
      <c r="D57" s="6">
        <v>8.4499999999999993</v>
      </c>
      <c r="E57" s="6">
        <v>1.73</v>
      </c>
      <c r="F57" s="6">
        <v>2.5100000000000002</v>
      </c>
      <c r="G57" s="6">
        <v>0.37</v>
      </c>
      <c r="H57" s="6">
        <v>0.32</v>
      </c>
      <c r="J57" s="304"/>
      <c r="K57" s="225"/>
      <c r="L57" s="232"/>
      <c r="M57" s="232"/>
      <c r="N57" s="232"/>
      <c r="O57" s="226"/>
      <c r="P57" s="226"/>
      <c r="Q57" s="226"/>
      <c r="R57" s="226"/>
      <c r="S57" s="226"/>
    </row>
    <row r="58" spans="2:19" ht="16" x14ac:dyDescent="0.2">
      <c r="C58" s="2" t="s">
        <v>437</v>
      </c>
      <c r="D58" s="6">
        <v>-94.06</v>
      </c>
      <c r="E58" s="6">
        <v>1.9600000000000002</v>
      </c>
      <c r="F58" s="6">
        <v>244.98000000000002</v>
      </c>
      <c r="G58" s="6">
        <v>184.13</v>
      </c>
      <c r="H58" s="6">
        <v>443.5</v>
      </c>
      <c r="J58" s="304"/>
      <c r="K58" s="225"/>
      <c r="L58" s="232"/>
      <c r="M58" s="232"/>
      <c r="N58" s="232"/>
      <c r="O58" s="226"/>
      <c r="P58" s="226"/>
      <c r="Q58" s="226"/>
      <c r="R58" s="226"/>
      <c r="S58" s="226"/>
    </row>
    <row r="59" spans="2:19" ht="16" x14ac:dyDescent="0.2">
      <c r="C59" s="2" t="s">
        <v>438</v>
      </c>
      <c r="D59" s="6">
        <v>0</v>
      </c>
      <c r="E59" s="6">
        <v>-72.88</v>
      </c>
      <c r="F59" s="6">
        <v>-70.820000000000007</v>
      </c>
      <c r="G59" s="6">
        <v>-80.820000000000007</v>
      </c>
      <c r="H59" s="6">
        <v>-385.25</v>
      </c>
      <c r="J59" s="304"/>
      <c r="K59" s="225"/>
      <c r="L59" s="232"/>
      <c r="M59" s="232"/>
      <c r="N59" s="232"/>
      <c r="O59" s="226"/>
      <c r="P59" s="226"/>
      <c r="Q59" s="226"/>
      <c r="R59" s="226"/>
      <c r="S59" s="226"/>
    </row>
    <row r="60" spans="2:19" ht="16" x14ac:dyDescent="0.2">
      <c r="C60" s="2" t="s">
        <v>439</v>
      </c>
      <c r="D60" s="6">
        <v>-9.34</v>
      </c>
      <c r="E60" s="6">
        <v>-6.93</v>
      </c>
      <c r="F60" s="6">
        <v>-8.33</v>
      </c>
      <c r="G60" s="6">
        <v>-12.24</v>
      </c>
      <c r="H60" s="6">
        <v>-14.64</v>
      </c>
      <c r="I60" s="4"/>
      <c r="J60" s="304"/>
      <c r="K60"/>
      <c r="L60" s="234"/>
      <c r="M60" s="234"/>
      <c r="N60" s="234"/>
      <c r="O60" s="239"/>
      <c r="P60" s="239"/>
      <c r="Q60" s="239"/>
      <c r="R60" s="239"/>
      <c r="S60" s="239"/>
    </row>
    <row r="61" spans="2:19" s="4" customFormat="1" ht="16" x14ac:dyDescent="0.2">
      <c r="C61" s="2" t="s">
        <v>440</v>
      </c>
      <c r="D61" s="6">
        <v>-13.62</v>
      </c>
      <c r="E61" s="6">
        <v>-47.519999999999996</v>
      </c>
      <c r="F61" s="6">
        <v>-57.410000000000004</v>
      </c>
      <c r="G61" s="6">
        <v>-58.239999999999995</v>
      </c>
      <c r="H61" s="6">
        <v>-58.660000000000004</v>
      </c>
      <c r="I61" s="2"/>
      <c r="J61" s="304"/>
      <c r="K61"/>
      <c r="L61" s="234"/>
      <c r="M61" s="234"/>
      <c r="N61" s="234"/>
      <c r="O61" s="237"/>
      <c r="P61" s="237"/>
      <c r="Q61" s="237"/>
      <c r="R61" s="237"/>
      <c r="S61" s="237"/>
    </row>
    <row r="62" spans="2:19" ht="16" x14ac:dyDescent="0.2">
      <c r="C62" s="2" t="s">
        <v>441</v>
      </c>
      <c r="D62" s="6">
        <v>-3.46</v>
      </c>
      <c r="E62" s="6">
        <v>-0.22999999999999998</v>
      </c>
      <c r="F62" s="6">
        <v>-3.08</v>
      </c>
      <c r="G62" s="6">
        <v>-2.5499999999999998</v>
      </c>
      <c r="H62" s="6">
        <v>-4.3600000000000003</v>
      </c>
      <c r="I62" s="4"/>
      <c r="J62" s="304"/>
      <c r="K62"/>
      <c r="L62" s="234"/>
      <c r="M62" s="234"/>
      <c r="N62" s="234"/>
      <c r="O62"/>
      <c r="P62"/>
      <c r="Q62"/>
      <c r="R62"/>
      <c r="S62"/>
    </row>
    <row r="63" spans="2:19" s="4" customFormat="1" ht="16" x14ac:dyDescent="0.2">
      <c r="C63" s="2" t="s">
        <v>442</v>
      </c>
      <c r="D63" s="6">
        <v>-5.61</v>
      </c>
      <c r="E63" s="6">
        <v>-4.63</v>
      </c>
      <c r="F63" s="6">
        <v>-15.280000000000001</v>
      </c>
      <c r="G63" s="6">
        <v>-28.82</v>
      </c>
      <c r="H63" s="6">
        <v>-37.760000000000005</v>
      </c>
      <c r="J63" s="304"/>
      <c r="K63" s="238"/>
      <c r="L63" s="232"/>
      <c r="M63" s="232"/>
      <c r="N63" s="232"/>
      <c r="O63" s="223"/>
      <c r="P63" s="223"/>
      <c r="Q63" s="223"/>
      <c r="R63" s="223"/>
      <c r="S63" s="223"/>
    </row>
    <row r="64" spans="2:19" s="4" customFormat="1" ht="16" x14ac:dyDescent="0.2">
      <c r="C64" s="2"/>
      <c r="D64" s="6"/>
      <c r="E64" s="6"/>
      <c r="F64" s="6"/>
      <c r="G64" s="6"/>
      <c r="H64" s="6"/>
      <c r="J64" s="304"/>
      <c r="K64" s="238"/>
      <c r="L64" s="232"/>
      <c r="M64" s="232"/>
      <c r="N64" s="232"/>
      <c r="O64" s="223"/>
      <c r="P64" s="223"/>
      <c r="Q64" s="223"/>
      <c r="R64" s="223"/>
      <c r="S64" s="223"/>
    </row>
    <row r="65" spans="2:19" s="4" customFormat="1" ht="16" x14ac:dyDescent="0.2">
      <c r="B65" s="509" t="s">
        <v>445</v>
      </c>
      <c r="C65" s="509"/>
      <c r="D65" s="11">
        <f t="shared" ref="D65:H65" si="3">SUM(D57:D63)</f>
        <v>-117.64</v>
      </c>
      <c r="E65" s="11">
        <f t="shared" si="3"/>
        <v>-128.5</v>
      </c>
      <c r="F65" s="11">
        <f t="shared" si="3"/>
        <v>92.570000000000007</v>
      </c>
      <c r="G65" s="11">
        <f t="shared" si="3"/>
        <v>1.8300000000000018</v>
      </c>
      <c r="H65" s="11">
        <f t="shared" si="3"/>
        <v>-56.850000000000016</v>
      </c>
      <c r="J65" s="304"/>
      <c r="K65" s="238"/>
      <c r="L65" s="232"/>
      <c r="M65" s="232"/>
      <c r="N65" s="232"/>
      <c r="O65" s="223"/>
      <c r="P65" s="223"/>
      <c r="Q65" s="223"/>
      <c r="R65" s="223"/>
      <c r="S65" s="223"/>
    </row>
    <row r="66" spans="2:19" s="4" customFormat="1" ht="16" x14ac:dyDescent="0.2">
      <c r="C66" s="2" t="s">
        <v>446</v>
      </c>
      <c r="D66" s="6">
        <v>19.75</v>
      </c>
      <c r="E66" s="6">
        <v>-5.87</v>
      </c>
      <c r="F66" s="6">
        <v>-5.07</v>
      </c>
      <c r="G66" s="6">
        <v>4.9399999999999995</v>
      </c>
      <c r="H66" s="6">
        <v>16.7</v>
      </c>
      <c r="J66" s="304"/>
      <c r="K66" s="238"/>
      <c r="L66" s="232"/>
      <c r="M66" s="232"/>
      <c r="N66" s="232"/>
      <c r="O66" s="223"/>
      <c r="P66" s="223"/>
      <c r="Q66" s="223"/>
      <c r="R66" s="223"/>
      <c r="S66" s="223"/>
    </row>
    <row r="67" spans="2:19" ht="16" x14ac:dyDescent="0.2">
      <c r="D67" s="6"/>
      <c r="E67" s="6"/>
      <c r="F67" s="6"/>
      <c r="G67" s="6"/>
      <c r="H67" s="6"/>
      <c r="I67" s="304"/>
      <c r="J67" s="305"/>
      <c r="K67" s="238"/>
      <c r="L67" s="232"/>
      <c r="M67" s="232"/>
      <c r="N67" s="232"/>
      <c r="O67" s="223"/>
      <c r="P67" s="223"/>
      <c r="Q67" s="223"/>
      <c r="R67" s="223"/>
      <c r="S67" s="223"/>
    </row>
    <row r="68" spans="2:19" ht="16" x14ac:dyDescent="0.2">
      <c r="B68" s="509" t="s">
        <v>447</v>
      </c>
      <c r="C68" s="509"/>
      <c r="D68" s="11">
        <f t="shared" ref="D68:H68" si="4">SUM(D37,D54,D65,D66)</f>
        <v>387.28</v>
      </c>
      <c r="E68" s="11">
        <f t="shared" si="4"/>
        <v>118.96999999999991</v>
      </c>
      <c r="F68" s="11">
        <f t="shared" si="4"/>
        <v>-542.46999999999991</v>
      </c>
      <c r="G68" s="11">
        <f t="shared" si="4"/>
        <v>170.65000000000012</v>
      </c>
      <c r="H68" s="11">
        <f t="shared" si="4"/>
        <v>79.640000000000057</v>
      </c>
      <c r="I68" s="304"/>
      <c r="J68" s="304"/>
      <c r="K68"/>
      <c r="L68" s="235"/>
      <c r="M68" s="235"/>
      <c r="N68" s="235"/>
      <c r="O68" s="223"/>
      <c r="P68" s="223"/>
      <c r="Q68" s="223"/>
      <c r="R68" s="223"/>
      <c r="S68" s="223"/>
    </row>
    <row r="69" spans="2:19" ht="16" x14ac:dyDescent="0.2">
      <c r="C69" s="2" t="s">
        <v>443</v>
      </c>
      <c r="D69" s="6">
        <v>220.33</v>
      </c>
      <c r="E69" s="6">
        <f t="shared" ref="E69:H69" si="5">D72</f>
        <v>607.61</v>
      </c>
      <c r="F69" s="6">
        <f t="shared" si="5"/>
        <v>726.57999999999993</v>
      </c>
      <c r="G69" s="6">
        <f t="shared" si="5"/>
        <v>207.64000000000001</v>
      </c>
      <c r="H69" s="6">
        <f t="shared" si="5"/>
        <v>381.12000000000012</v>
      </c>
      <c r="I69" s="304"/>
      <c r="J69" s="304"/>
      <c r="K69"/>
      <c r="L69" s="234"/>
      <c r="M69" s="234"/>
      <c r="N69" s="234"/>
      <c r="O69" s="223"/>
      <c r="P69" s="223"/>
      <c r="Q69" s="223"/>
      <c r="R69" s="223"/>
      <c r="S69" s="223"/>
    </row>
    <row r="70" spans="2:19" ht="16" x14ac:dyDescent="0.2">
      <c r="C70" s="2" t="s">
        <v>444</v>
      </c>
      <c r="D70" s="6">
        <v>0</v>
      </c>
      <c r="E70" s="6">
        <v>0</v>
      </c>
      <c r="F70" s="6">
        <v>23.53</v>
      </c>
      <c r="G70" s="6">
        <v>2.83</v>
      </c>
      <c r="H70" s="6">
        <v>0</v>
      </c>
      <c r="I70" s="304"/>
      <c r="J70" s="304"/>
      <c r="K70"/>
      <c r="L70" s="234"/>
      <c r="M70" s="234"/>
      <c r="N70" s="234"/>
      <c r="O70" s="223"/>
      <c r="P70" s="223"/>
      <c r="Q70" s="223"/>
      <c r="R70" s="223"/>
      <c r="S70" s="223"/>
    </row>
    <row r="71" spans="2:19" ht="16" x14ac:dyDescent="0.2">
      <c r="E71" s="6"/>
      <c r="F71" s="6"/>
      <c r="G71" s="6"/>
      <c r="H71" s="6"/>
      <c r="I71" s="4"/>
      <c r="J71" s="304"/>
      <c r="K71"/>
      <c r="L71" s="234"/>
      <c r="M71" s="234"/>
      <c r="N71" s="234"/>
      <c r="O71" s="223"/>
      <c r="P71" s="223"/>
      <c r="Q71" s="223"/>
      <c r="R71" s="223"/>
      <c r="S71" s="223"/>
    </row>
    <row r="72" spans="2:19" x14ac:dyDescent="0.15">
      <c r="B72" s="509" t="s">
        <v>448</v>
      </c>
      <c r="C72" s="509"/>
      <c r="D72" s="11">
        <f t="shared" ref="D72:H72" si="6">SUM(D68:D70)</f>
        <v>607.61</v>
      </c>
      <c r="E72" s="11">
        <f t="shared" si="6"/>
        <v>726.57999999999993</v>
      </c>
      <c r="F72" s="11">
        <f t="shared" si="6"/>
        <v>207.64000000000001</v>
      </c>
      <c r="G72" s="11">
        <f t="shared" si="6"/>
        <v>381.12000000000012</v>
      </c>
      <c r="H72" s="11">
        <f t="shared" si="6"/>
        <v>460.76000000000016</v>
      </c>
    </row>
    <row r="73" spans="2:19" x14ac:dyDescent="0.15">
      <c r="B73" s="10"/>
      <c r="C73" s="10"/>
      <c r="D73" s="439"/>
      <c r="E73" s="439"/>
      <c r="F73" s="439"/>
      <c r="G73" s="439"/>
      <c r="H73" s="439"/>
    </row>
    <row r="74" spans="2:19" x14ac:dyDescent="0.15">
      <c r="B74" s="10"/>
      <c r="C74" s="10"/>
      <c r="D74" s="439"/>
      <c r="E74" s="439"/>
      <c r="F74" s="439"/>
      <c r="G74" s="439"/>
      <c r="H74" s="439"/>
    </row>
    <row r="75" spans="2:19" x14ac:dyDescent="0.15">
      <c r="C75" s="66" t="s">
        <v>134</v>
      </c>
      <c r="D75" s="66"/>
      <c r="E75" s="66"/>
      <c r="F75" s="66"/>
      <c r="G75" s="66"/>
      <c r="H75" s="66"/>
    </row>
    <row r="76" spans="2:19" x14ac:dyDescent="0.15">
      <c r="C76" s="30" t="s">
        <v>449</v>
      </c>
      <c r="D76" s="105">
        <f>D37/'BS Input'!D72</f>
        <v>0.39238568968815762</v>
      </c>
      <c r="E76" s="105">
        <f>E37/'BS Input'!E72</f>
        <v>0.3209901176028731</v>
      </c>
      <c r="F76" s="105">
        <f>F37/'BS Input'!F72</f>
        <v>0.14638822041848512</v>
      </c>
      <c r="G76" s="105">
        <f>G37/'BS Input'!G72</f>
        <v>0.38550493378819572</v>
      </c>
      <c r="H76" s="105">
        <f>H37/'BS Input'!H72</f>
        <v>0.42105599659012205</v>
      </c>
    </row>
    <row r="77" spans="2:19" x14ac:dyDescent="0.15">
      <c r="C77" s="30" t="s">
        <v>452</v>
      </c>
      <c r="D77" s="105">
        <f>D37/'P&amp;L Input'!C14</f>
        <v>0.16676152532726238</v>
      </c>
      <c r="E77" s="105">
        <f>E37/'P&amp;L Input'!D14</f>
        <v>0.12523353359220452</v>
      </c>
      <c r="F77" s="105">
        <f>F37/'P&amp;L Input'!E14</f>
        <v>4.2002972626092788E-2</v>
      </c>
      <c r="G77" s="105">
        <f>G37/'P&amp;L Input'!F14</f>
        <v>0.13761011395218661</v>
      </c>
      <c r="H77" s="105">
        <f>H37/'P&amp;L Input'!G14</f>
        <v>0.11435997024800088</v>
      </c>
    </row>
    <row r="78" spans="2:19" x14ac:dyDescent="0.15">
      <c r="C78" s="30" t="s">
        <v>451</v>
      </c>
      <c r="D78" s="105">
        <f>D37/'P&amp;L Input'!C40</f>
        <v>1.1405759682224437</v>
      </c>
      <c r="E78" s="105">
        <f>E37/'P&amp;L Input'!D40</f>
        <v>0.82025673324935455</v>
      </c>
      <c r="F78" s="105">
        <f>F37/'P&amp;L Input'!E40</f>
        <v>0.34702033712572916</v>
      </c>
      <c r="G78" s="105">
        <f>G37/'P&amp;L Input'!F40</f>
        <v>1.3518024246711906</v>
      </c>
      <c r="H78" s="105">
        <f>H37/'P&amp;L Input'!G40</f>
        <v>1.0510999388183966</v>
      </c>
    </row>
    <row r="79" spans="2:19" x14ac:dyDescent="0.15">
      <c r="C79" s="30" t="s">
        <v>455</v>
      </c>
      <c r="D79" s="105">
        <f>D37/'BS Input'!D40</f>
        <v>0.12507459435914189</v>
      </c>
      <c r="E79" s="105">
        <f>E37/'BS Input'!E40</f>
        <v>0.10991612309448306</v>
      </c>
      <c r="F79" s="105">
        <f>F37/'BS Input'!F40</f>
        <v>3.4279983444235732E-2</v>
      </c>
      <c r="G79" s="105">
        <f>G37/'BS Input'!G40</f>
        <v>0.11407195946954386</v>
      </c>
      <c r="H79" s="105">
        <f>H37/'BS Input'!H40</f>
        <v>0.10231804198991165</v>
      </c>
    </row>
    <row r="80" spans="2:19" x14ac:dyDescent="0.15">
      <c r="C80" s="30" t="s">
        <v>454</v>
      </c>
      <c r="D80" s="105">
        <f>D37/('BS Input'!D53+'BS Input'!D63)</f>
        <v>1.1034509261394203</v>
      </c>
      <c r="E80" s="105">
        <f>E37/('BS Input'!E53+'BS Input'!E63)</f>
        <v>1.4374540103016922</v>
      </c>
      <c r="F80" s="105">
        <f>F37/('BS Input'!F53+'BS Input'!F63)</f>
        <v>0.2896924691258374</v>
      </c>
      <c r="G80" s="105">
        <f>G37/('BS Input'!G53+'BS Input'!G63)</f>
        <v>0.86398109135751755</v>
      </c>
      <c r="H80" s="105">
        <f>H37/('BS Input'!H53+'BS Input'!H63)</f>
        <v>0.71174595169047317</v>
      </c>
    </row>
    <row r="81" spans="3:14" x14ac:dyDescent="0.15">
      <c r="C81" s="30" t="s">
        <v>453</v>
      </c>
      <c r="D81" s="105">
        <f>-D37/D41</f>
        <v>24.437446808510636</v>
      </c>
      <c r="E81" s="105">
        <f>-E37/E41</f>
        <v>7.4217096336499306</v>
      </c>
      <c r="F81" s="105">
        <f>-F37/F41</f>
        <v>3.4180952380952379</v>
      </c>
      <c r="G81" s="105">
        <f>-G37/G41</f>
        <v>13.366295707472183</v>
      </c>
      <c r="H81" s="105">
        <f>-H37/H41</f>
        <v>19.629408842523596</v>
      </c>
    </row>
    <row r="82" spans="3:14" x14ac:dyDescent="0.15">
      <c r="C82" s="30" t="s">
        <v>450</v>
      </c>
      <c r="D82" s="105">
        <f>D37+D41</f>
        <v>275.39</v>
      </c>
      <c r="E82" s="105">
        <f>E37+E41</f>
        <v>236.63999999999996</v>
      </c>
      <c r="F82" s="105">
        <f>F37+F41</f>
        <v>76.169999999999987</v>
      </c>
      <c r="G82" s="105">
        <f>G37+G41</f>
        <v>388.92000000000019</v>
      </c>
      <c r="H82" s="105">
        <f>H37+H41</f>
        <v>375.01000000000005</v>
      </c>
    </row>
    <row r="83" spans="3:14" x14ac:dyDescent="0.15">
      <c r="C83" s="30" t="s">
        <v>456</v>
      </c>
      <c r="D83" s="105">
        <f>D37/2.5232889</f>
        <v>113.79592721229821</v>
      </c>
      <c r="E83" s="105">
        <f>E37/3.0018021</f>
        <v>91.108604394673435</v>
      </c>
      <c r="F83" s="105">
        <f>F37/3.0524827</f>
        <v>35.272927181536517</v>
      </c>
      <c r="G83" s="105">
        <f>G37/3.0844311</f>
        <v>136.28769337723256</v>
      </c>
      <c r="H83" s="105">
        <f>H37/3.0939894</f>
        <v>127.71213760460849</v>
      </c>
    </row>
    <row r="86" spans="3:14" ht="16" x14ac:dyDescent="0.15">
      <c r="C86" s="417"/>
      <c r="D86" s="418"/>
      <c r="E86" s="418"/>
      <c r="F86" s="418"/>
      <c r="G86" s="418"/>
      <c r="H86" s="418"/>
      <c r="I86" s="418"/>
    </row>
    <row r="87" spans="3:14" ht="15" x14ac:dyDescent="0.15">
      <c r="C87" s="419"/>
      <c r="D87" s="413"/>
      <c r="E87" s="413"/>
      <c r="F87" s="413"/>
      <c r="G87" s="413"/>
      <c r="H87" s="413"/>
      <c r="I87" s="413"/>
    </row>
    <row r="88" spans="3:14" ht="15" x14ac:dyDescent="0.15">
      <c r="C88" s="419"/>
      <c r="D88" s="413"/>
      <c r="E88" s="413"/>
      <c r="F88" s="413"/>
      <c r="G88" s="413"/>
      <c r="H88" s="413"/>
      <c r="I88" s="413"/>
    </row>
    <row r="89" spans="3:14" ht="15" x14ac:dyDescent="0.15">
      <c r="C89" s="420"/>
      <c r="D89" s="414"/>
      <c r="E89" s="414"/>
      <c r="F89" s="414"/>
      <c r="G89" s="414"/>
      <c r="H89" s="414"/>
      <c r="I89" s="414"/>
    </row>
    <row r="90" spans="3:14" ht="15" x14ac:dyDescent="0.15">
      <c r="C90" s="421"/>
      <c r="D90" s="415"/>
      <c r="E90" s="415"/>
      <c r="F90" s="415"/>
      <c r="G90" s="415"/>
      <c r="H90" s="415"/>
      <c r="I90" s="415"/>
    </row>
    <row r="91" spans="3:14" ht="15" x14ac:dyDescent="0.15">
      <c r="C91" s="419"/>
      <c r="D91" s="413"/>
      <c r="E91" s="413"/>
      <c r="F91" s="413"/>
      <c r="G91" s="413"/>
      <c r="H91" s="413"/>
      <c r="I91" s="413"/>
    </row>
    <row r="92" spans="3:14" ht="15" x14ac:dyDescent="0.15">
      <c r="C92" s="419"/>
      <c r="D92" s="422"/>
      <c r="E92" s="422"/>
      <c r="F92" s="422"/>
      <c r="G92" s="422"/>
      <c r="H92" s="422"/>
      <c r="I92" s="413"/>
    </row>
    <row r="93" spans="3:14" ht="15" x14ac:dyDescent="0.15">
      <c r="C93" s="420"/>
      <c r="D93" s="423"/>
      <c r="E93" s="423"/>
      <c r="F93" s="423"/>
      <c r="G93" s="423"/>
      <c r="H93" s="423"/>
      <c r="I93" s="416"/>
    </row>
    <row r="94" spans="3:14" x14ac:dyDescent="0.15">
      <c r="C94" s="417"/>
      <c r="D94" s="417"/>
      <c r="E94" s="417"/>
      <c r="F94" s="417"/>
      <c r="G94" s="417"/>
      <c r="H94" s="417"/>
      <c r="I94" s="417"/>
    </row>
    <row r="95" spans="3:14" ht="15" x14ac:dyDescent="0.15">
      <c r="C95" s="420"/>
      <c r="D95" s="414"/>
      <c r="E95" s="414"/>
      <c r="F95" s="414"/>
      <c r="G95" s="414"/>
      <c r="H95" s="414"/>
      <c r="I95" s="414"/>
      <c r="K95" s="405"/>
      <c r="L95" s="88"/>
      <c r="M95" s="88"/>
    </row>
    <row r="96" spans="3:14" x14ac:dyDescent="0.15">
      <c r="J96" s="367"/>
      <c r="L96" s="405"/>
      <c r="M96" s="88"/>
      <c r="N96" s="88"/>
    </row>
    <row r="97" spans="5:14" x14ac:dyDescent="0.15">
      <c r="L97" s="405"/>
      <c r="M97" s="88"/>
      <c r="N97" s="88"/>
    </row>
    <row r="98" spans="5:14" x14ac:dyDescent="0.15">
      <c r="E98" s="88"/>
      <c r="F98" s="88"/>
      <c r="G98" s="88"/>
      <c r="H98" s="88"/>
      <c r="I98" s="88"/>
      <c r="J98" s="88"/>
      <c r="K98" s="38"/>
      <c r="L98" s="92"/>
      <c r="M98" s="88"/>
      <c r="N98" s="88"/>
    </row>
    <row r="99" spans="5:14" x14ac:dyDescent="0.15">
      <c r="L99" s="405"/>
      <c r="M99" s="88"/>
      <c r="N99" s="88"/>
    </row>
    <row r="100" spans="5:14" x14ac:dyDescent="0.15">
      <c r="K100" s="38"/>
      <c r="L100" s="405"/>
      <c r="M100" s="88"/>
      <c r="N100" s="88"/>
    </row>
  </sheetData>
  <mergeCells count="9">
    <mergeCell ref="B54:C54"/>
    <mergeCell ref="B65:C65"/>
    <mergeCell ref="B68:C68"/>
    <mergeCell ref="B72:C72"/>
    <mergeCell ref="G6:H6"/>
    <mergeCell ref="B7:H7"/>
    <mergeCell ref="B8:C9"/>
    <mergeCell ref="B10:C10"/>
    <mergeCell ref="B37:C37"/>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theme="9" tint="0.39997558519241921"/>
  </sheetPr>
  <dimension ref="B6:I93"/>
  <sheetViews>
    <sheetView showGridLines="0" topLeftCell="A62" zoomScale="107" workbookViewId="0">
      <selection activeCell="J20" sqref="J20"/>
    </sheetView>
  </sheetViews>
  <sheetFormatPr baseColWidth="10" defaultColWidth="22.1640625" defaultRowHeight="14" x14ac:dyDescent="0.15"/>
  <cols>
    <col min="1" max="1" width="5.83203125" style="2" customWidth="1"/>
    <col min="2" max="2" width="2.5" style="2" customWidth="1"/>
    <col min="3" max="3" width="31.5" style="2" customWidth="1"/>
    <col min="4" max="4" width="9" style="2" bestFit="1" customWidth="1"/>
    <col min="5" max="5" width="9" style="2" customWidth="1"/>
    <col min="6" max="8" width="11.33203125" style="2" bestFit="1" customWidth="1"/>
    <col min="9" max="16384" width="22.1640625" style="2"/>
  </cols>
  <sheetData>
    <row r="6" spans="2:8" x14ac:dyDescent="0.15">
      <c r="C6" s="3"/>
      <c r="D6" s="3"/>
      <c r="G6" s="503"/>
      <c r="H6" s="503"/>
    </row>
    <row r="7" spans="2:8" x14ac:dyDescent="0.15">
      <c r="B7" s="513" t="s">
        <v>151</v>
      </c>
      <c r="C7" s="514"/>
      <c r="D7" s="514"/>
      <c r="E7" s="514"/>
      <c r="F7" s="514"/>
      <c r="G7" s="514"/>
      <c r="H7" s="515"/>
    </row>
    <row r="8" spans="2:8" ht="14.5" customHeight="1" x14ac:dyDescent="0.15">
      <c r="B8" s="501" t="s">
        <v>0</v>
      </c>
      <c r="C8" s="501"/>
      <c r="D8" s="195">
        <f>'BS Input'!D8</f>
        <v>2021</v>
      </c>
      <c r="E8" s="195">
        <f>'BS Input'!E8</f>
        <v>2022</v>
      </c>
      <c r="F8" s="195">
        <f>'BS Input'!F8</f>
        <v>2023</v>
      </c>
      <c r="G8" s="195">
        <f>'BS Input'!G8</f>
        <v>2024</v>
      </c>
      <c r="H8" s="195">
        <f>'BS Input'!H8</f>
        <v>2025</v>
      </c>
    </row>
    <row r="9" spans="2:8" x14ac:dyDescent="0.15">
      <c r="B9" s="502"/>
      <c r="C9" s="502"/>
      <c r="D9" s="13" t="s">
        <v>1</v>
      </c>
      <c r="E9" s="13" t="s">
        <v>1</v>
      </c>
      <c r="F9" s="13" t="s">
        <v>1</v>
      </c>
      <c r="G9" s="13" t="s">
        <v>1</v>
      </c>
      <c r="H9" s="13" t="s">
        <v>1</v>
      </c>
    </row>
    <row r="10" spans="2:8" x14ac:dyDescent="0.15">
      <c r="C10" s="23"/>
      <c r="D10" s="23"/>
      <c r="E10" s="24"/>
      <c r="F10" s="24"/>
      <c r="G10" s="24"/>
      <c r="H10" s="24"/>
    </row>
    <row r="11" spans="2:8" ht="15" x14ac:dyDescent="0.15">
      <c r="C11" s="1" t="s">
        <v>5</v>
      </c>
      <c r="D11" s="240">
        <f>'P&amp;L Input'!C11/'P&amp;L Input'!C$14</f>
        <v>0.99936696363235111</v>
      </c>
      <c r="E11" s="240">
        <f>'P&amp;L Input'!D11/'P&amp;L Input'!D$14</f>
        <v>0.99817752216279576</v>
      </c>
      <c r="F11" s="240">
        <f>'P&amp;L Input'!E11/'P&amp;L Input'!E$14</f>
        <v>0.99797533734624855</v>
      </c>
      <c r="G11" s="240">
        <f>'P&amp;L Input'!F11/'P&amp;L Input'!F$14</f>
        <v>0.99818318116793625</v>
      </c>
      <c r="H11" s="240">
        <f>'P&amp;L Input'!G11/'P&amp;L Input'!G$14</f>
        <v>0.99785542496447421</v>
      </c>
    </row>
    <row r="12" spans="2:8" ht="15" x14ac:dyDescent="0.15">
      <c r="C12" s="1" t="s">
        <v>259</v>
      </c>
      <c r="D12" s="240">
        <f>'P&amp;L Input'!C12/'P&amp;L Input'!C$14</f>
        <v>6.3303636764893789E-4</v>
      </c>
      <c r="E12" s="240">
        <f>'P&amp;L Input'!D12/'P&amp;L Input'!D$14</f>
        <v>1.8224778372041906E-3</v>
      </c>
      <c r="F12" s="240">
        <f>'P&amp;L Input'!E12/'P&amp;L Input'!E$14</f>
        <v>2.0246626537514779E-3</v>
      </c>
      <c r="G12" s="240">
        <f>'P&amp;L Input'!F12/'P&amp;L Input'!F$14</f>
        <v>1.8168188320637426E-3</v>
      </c>
      <c r="H12" s="240">
        <f>'P&amp;L Input'!G12/'P&amp;L Input'!G$14</f>
        <v>2.144575035525855E-3</v>
      </c>
    </row>
    <row r="13" spans="2:8" x14ac:dyDescent="0.15">
      <c r="C13" s="1"/>
      <c r="D13" s="9"/>
      <c r="E13" s="9"/>
      <c r="F13" s="9"/>
      <c r="G13" s="9"/>
      <c r="H13" s="9"/>
    </row>
    <row r="14" spans="2:8" ht="14.5" customHeight="1" x14ac:dyDescent="0.15">
      <c r="B14" s="512" t="s">
        <v>8</v>
      </c>
      <c r="C14" s="512"/>
      <c r="D14" s="22">
        <f>'P&amp;L Input'!C14/'P&amp;L Input'!C$14</f>
        <v>1</v>
      </c>
      <c r="E14" s="22">
        <f>'P&amp;L Input'!D14/'P&amp;L Input'!D$14</f>
        <v>1</v>
      </c>
      <c r="F14" s="22">
        <f>'P&amp;L Input'!E14/'P&amp;L Input'!E$14</f>
        <v>1</v>
      </c>
      <c r="G14" s="22">
        <f>'P&amp;L Input'!F14/'P&amp;L Input'!F$14</f>
        <v>1</v>
      </c>
      <c r="H14" s="22">
        <f>'P&amp;L Input'!G14/'P&amp;L Input'!G$14</f>
        <v>1</v>
      </c>
    </row>
    <row r="15" spans="2:8" x14ac:dyDescent="0.15">
      <c r="C15" s="1"/>
      <c r="D15" s="9"/>
      <c r="E15" s="9"/>
      <c r="F15" s="9"/>
      <c r="G15" s="9"/>
      <c r="H15" s="9"/>
    </row>
    <row r="16" spans="2:8" ht="15" x14ac:dyDescent="0.15">
      <c r="C16" s="7" t="s">
        <v>7</v>
      </c>
      <c r="D16" s="8"/>
      <c r="E16" s="8"/>
      <c r="F16" s="8"/>
      <c r="G16" s="8"/>
      <c r="H16" s="8"/>
    </row>
    <row r="17" spans="2:8" ht="15" x14ac:dyDescent="0.15">
      <c r="C17" s="1" t="s">
        <v>9</v>
      </c>
      <c r="D17" s="240">
        <f>'P&amp;L Input'!C17/'P&amp;L Input'!C$14</f>
        <v>0.51265491967988108</v>
      </c>
      <c r="E17" s="240">
        <f>'P&amp;L Input'!D17/'P&amp;L Input'!D$14</f>
        <v>0.50161641878525898</v>
      </c>
      <c r="F17" s="240">
        <f>'P&amp;L Input'!E17/'P&amp;L Input'!E$14</f>
        <v>0.53708175501972</v>
      </c>
      <c r="G17" s="240">
        <f>'P&amp;L Input'!F17/'P&amp;L Input'!F$14</f>
        <v>0.54698031615921228</v>
      </c>
      <c r="H17" s="240">
        <f>'P&amp;L Input'!G17/'P&amp;L Input'!G$14</f>
        <v>0.53803364754299998</v>
      </c>
    </row>
    <row r="18" spans="2:8" ht="15" x14ac:dyDescent="0.15">
      <c r="C18" s="1" t="s">
        <v>12</v>
      </c>
      <c r="D18" s="240">
        <f>'P&amp;L Input'!C18/'P&amp;L Input'!C$14</f>
        <v>0.2756728189283682</v>
      </c>
      <c r="E18" s="240">
        <f>'P&amp;L Input'!D18/'P&amp;L Input'!D$14</f>
        <v>0.28659608762546707</v>
      </c>
      <c r="F18" s="240">
        <f>'P&amp;L Input'!E18/'P&amp;L Input'!E$14</f>
        <v>0.28508732576783086</v>
      </c>
      <c r="G18" s="240">
        <f>'P&amp;L Input'!F18/'P&amp;L Input'!F$14</f>
        <v>0.28650414594783929</v>
      </c>
      <c r="H18" s="240">
        <f>'P&amp;L Input'!G18/'P&amp;L Input'!G$14</f>
        <v>0.30381479669949613</v>
      </c>
    </row>
    <row r="19" spans="2:8" x14ac:dyDescent="0.15">
      <c r="C19" s="1"/>
      <c r="D19" s="9"/>
      <c r="E19" s="9"/>
      <c r="F19" s="9"/>
      <c r="G19" s="9"/>
      <c r="H19" s="9"/>
    </row>
    <row r="20" spans="2:8" ht="14.5" customHeight="1" x14ac:dyDescent="0.15">
      <c r="B20" s="512" t="s">
        <v>13</v>
      </c>
      <c r="C20" s="512"/>
      <c r="D20" s="22">
        <f>'P&amp;L Input'!C20/'P&amp;L Input'!C$14</f>
        <v>0.78832773860824934</v>
      </c>
      <c r="E20" s="22">
        <f>'P&amp;L Input'!D20/'P&amp;L Input'!D$14</f>
        <v>0.78821250641072593</v>
      </c>
      <c r="F20" s="22">
        <f>'P&amp;L Input'!E20/'P&amp;L Input'!E$14</f>
        <v>0.82216908078755091</v>
      </c>
      <c r="G20" s="22">
        <f>'P&amp;L Input'!F20/'P&amp;L Input'!F$14</f>
        <v>0.83348446210705152</v>
      </c>
      <c r="H20" s="22">
        <f>'P&amp;L Input'!G20/'P&amp;L Input'!G$14</f>
        <v>0.84184844424249605</v>
      </c>
    </row>
    <row r="21" spans="2:8" x14ac:dyDescent="0.15">
      <c r="C21" s="1"/>
      <c r="D21" s="9"/>
      <c r="E21" s="9"/>
      <c r="F21" s="9"/>
      <c r="G21" s="9"/>
      <c r="H21" s="9"/>
    </row>
    <row r="22" spans="2:8" ht="15" x14ac:dyDescent="0.15">
      <c r="C22" s="7" t="s">
        <v>14</v>
      </c>
      <c r="D22" s="240">
        <f>'P&amp;L Input'!C22/'P&amp;L Input'!C$14</f>
        <v>0.21167226139175069</v>
      </c>
      <c r="E22" s="240">
        <f>'P&amp;L Input'!D22/'P&amp;L Input'!D$14</f>
        <v>0.21178749358927401</v>
      </c>
      <c r="F22" s="240">
        <f>'P&amp;L Input'!E22/'P&amp;L Input'!E$14</f>
        <v>0.17783091921244912</v>
      </c>
      <c r="G22" s="240">
        <f>'P&amp;L Input'!F22/'P&amp;L Input'!F$14</f>
        <v>0.16651553789294848</v>
      </c>
      <c r="H22" s="240">
        <f>'P&amp;L Input'!G22/'P&amp;L Input'!G$14</f>
        <v>0.15815155575750392</v>
      </c>
    </row>
    <row r="23" spans="2:8" ht="15" x14ac:dyDescent="0.15">
      <c r="C23" s="1" t="s">
        <v>11</v>
      </c>
      <c r="D23" s="240">
        <f>'P&amp;L Input'!C24/'P&amp;L Input'!C$14</f>
        <v>2.6105490574146566E-2</v>
      </c>
      <c r="E23" s="240">
        <f>'P&amp;L Input'!D24/'P&amp;L Input'!D$14</f>
        <v>1.9630559015312476E-2</v>
      </c>
      <c r="F23" s="240">
        <f>'P&amp;L Input'!E24/'P&amp;L Input'!E$14</f>
        <v>2.6281603657656465E-2</v>
      </c>
      <c r="G23" s="240">
        <f>'P&amp;L Input'!F24/'P&amp;L Input'!F$14</f>
        <v>2.9432465079432629E-2</v>
      </c>
      <c r="H23" s="240">
        <f>'P&amp;L Input'!G24/'P&amp;L Input'!G$14</f>
        <v>2.1740955016019196E-2</v>
      </c>
    </row>
    <row r="24" spans="2:8" ht="15" x14ac:dyDescent="0.15">
      <c r="C24" s="7" t="s">
        <v>15</v>
      </c>
      <c r="D24" s="240">
        <f>'P&amp;L Input'!C26/'P&amp;L Input'!C$14</f>
        <v>0.18556677081760412</v>
      </c>
      <c r="E24" s="240">
        <f>'P&amp;L Input'!D26/'P&amp;L Input'!D$14</f>
        <v>0.19215693457396155</v>
      </c>
      <c r="F24" s="240">
        <f>'P&amp;L Input'!E26/'P&amp;L Input'!E$14</f>
        <v>0.15154931555479265</v>
      </c>
      <c r="G24" s="240">
        <f>'P&amp;L Input'!F26/'P&amp;L Input'!F$14</f>
        <v>0.13708307281351587</v>
      </c>
      <c r="H24" s="240">
        <f>'P&amp;L Input'!G26/'P&amp;L Input'!G$14</f>
        <v>0.13641060074148473</v>
      </c>
    </row>
    <row r="25" spans="2:8" ht="15" x14ac:dyDescent="0.15">
      <c r="C25" s="1" t="s">
        <v>6</v>
      </c>
      <c r="D25" s="240">
        <f>'P&amp;L Input'!C28/'P&amp;L Input'!C$14</f>
        <v>1.6209215615671426E-2</v>
      </c>
      <c r="E25" s="240">
        <f>'P&amp;L Input'!D28/'P&amp;L Input'!D$14</f>
        <v>1.6521356875961606E-2</v>
      </c>
      <c r="F25" s="240">
        <f>'P&amp;L Input'!E28/'P&amp;L Input'!E$14</f>
        <v>1.493725106207015E-2</v>
      </c>
      <c r="G25" s="240">
        <f>'P&amp;L Input'!F28/'P&amp;L Input'!F$14</f>
        <v>5.2409494597009951E-3</v>
      </c>
      <c r="H25" s="240">
        <f>'P&amp;L Input'!G28/'P&amp;L Input'!G$14</f>
        <v>6.4481959232815184E-3</v>
      </c>
    </row>
    <row r="26" spans="2:8" ht="15" x14ac:dyDescent="0.15">
      <c r="C26" s="1" t="s">
        <v>10</v>
      </c>
      <c r="D26" s="240">
        <f>'P&amp;L Input'!C30/'P&amp;L Input'!C$14</f>
        <v>4.7042152091343083E-3</v>
      </c>
      <c r="E26" s="240">
        <f>'P&amp;L Input'!D30/'P&amp;L Input'!D$14</f>
        <v>3.5167411531980362E-3</v>
      </c>
      <c r="F26" s="240">
        <f>'P&amp;L Input'!E30/'P&amp;L Input'!E$14</f>
        <v>9.6434799230706216E-3</v>
      </c>
      <c r="G26" s="240">
        <f>'P&amp;L Input'!F30/'P&amp;L Input'!F$14</f>
        <v>1.4557465488626058E-2</v>
      </c>
      <c r="H26" s="240">
        <f>'P&amp;L Input'!G30/'P&amp;L Input'!G$14</f>
        <v>1.2172851011365379E-2</v>
      </c>
    </row>
    <row r="27" spans="2:8" s="118" customFormat="1" ht="15" customHeight="1" x14ac:dyDescent="0.2">
      <c r="C27" s="162" t="str">
        <f>'P&amp;L Input'!B32</f>
        <v>Profit before exceptional items</v>
      </c>
      <c r="D27" s="306">
        <f>'P&amp;L Input'!C32/'P&amp;L Input'!C$14</f>
        <v>0.19707177122414124</v>
      </c>
      <c r="E27" s="306">
        <f>'P&amp;L Input'!D32/'P&amp;L Input'!D$14</f>
        <v>0.20516155029672511</v>
      </c>
      <c r="F27" s="306">
        <f>'P&amp;L Input'!E32/'P&amp;L Input'!E$14</f>
        <v>0.15684308669379218</v>
      </c>
      <c r="G27" s="306">
        <f>'P&amp;L Input'!F32/'P&amp;L Input'!F$14</f>
        <v>0.12776655678459078</v>
      </c>
      <c r="H27" s="306">
        <f>'P&amp;L Input'!G32/'P&amp;L Input'!G$14</f>
        <v>0.13068594565340086</v>
      </c>
    </row>
    <row r="28" spans="2:8" ht="15" x14ac:dyDescent="0.15">
      <c r="C28" s="1" t="str">
        <f>'P&amp;L Input'!B34</f>
        <v>Exceptional items</v>
      </c>
      <c r="D28" s="240">
        <f>'P&amp;L Input'!C34/'P&amp;L Input'!C$14</f>
        <v>0</v>
      </c>
      <c r="E28" s="240">
        <f>'P&amp;L Input'!D34/'P&amp;L Input'!D$11</f>
        <v>0</v>
      </c>
      <c r="F28" s="240">
        <f>'P&amp;L Input'!E34/'P&amp;L Input'!E$11</f>
        <v>9.8975842389179905E-3</v>
      </c>
      <c r="G28" s="240">
        <f>'P&amp;L Input'!F34/'P&amp;L Input'!F$11</f>
        <v>-1.3478768480014694E-3</v>
      </c>
      <c r="H28" s="240">
        <f>'P&amp;L Input'!G34/'P&amp;L Input'!G$11</f>
        <v>2.2071917907547376E-3</v>
      </c>
    </row>
    <row r="29" spans="2:8" ht="15" x14ac:dyDescent="0.15">
      <c r="C29" s="7" t="s">
        <v>16</v>
      </c>
      <c r="D29" s="240">
        <f>'P&amp;L Input'!C36/'P&amp;L Input'!C$14</f>
        <v>0.19707177122414124</v>
      </c>
      <c r="E29" s="240">
        <f>'P&amp;L Input'!D36/'P&amp;L Input'!D$11</f>
        <v>0.20553613534814169</v>
      </c>
      <c r="F29" s="240">
        <f>'P&amp;L Input'!E36/'P&amp;L Input'!E$11</f>
        <v>0.16705886951762958</v>
      </c>
      <c r="G29" s="240">
        <f>'P&amp;L Input'!F36/'P&amp;L Input'!F$11</f>
        <v>0.12665123112644464</v>
      </c>
      <c r="H29" s="240">
        <f>'P&amp;L Input'!G36/'P&amp;L Input'!G$11</f>
        <v>0.13317400560354087</v>
      </c>
    </row>
    <row r="30" spans="2:8" ht="15" x14ac:dyDescent="0.15">
      <c r="C30" s="1" t="s">
        <v>17</v>
      </c>
      <c r="D30" s="240">
        <f>'P&amp;L Input'!C38/'P&amp;L Input'!C$14</f>
        <v>5.08636009896275E-2</v>
      </c>
      <c r="E30" s="240">
        <f>'P&amp;L Input'!D38/'P&amp;L Input'!D$14</f>
        <v>5.2485530075463402E-2</v>
      </c>
      <c r="F30" s="240">
        <f>'P&amp;L Input'!E38/'P&amp;L Input'!E$14</f>
        <v>4.5681694943024667E-2</v>
      </c>
      <c r="G30" s="240">
        <f>'P&amp;L Input'!F38/'P&amp;L Input'!F$14</f>
        <v>2.4623623882492739E-2</v>
      </c>
      <c r="H30" s="240">
        <f>'P&amp;L Input'!G38/'P&amp;L Input'!G$14</f>
        <v>2.4088121485400394E-2</v>
      </c>
    </row>
    <row r="31" spans="2:8" ht="14.5" customHeight="1" x14ac:dyDescent="0.15">
      <c r="B31" s="512" t="s">
        <v>18</v>
      </c>
      <c r="C31" s="512"/>
      <c r="D31" s="22">
        <f>'P&amp;L Input'!C40/'P&amp;L Input'!C$14</f>
        <v>0.14620817023451374</v>
      </c>
      <c r="E31" s="22">
        <f>'P&amp;L Input'!D40/'P&amp;L Input'!D$14</f>
        <v>0.1526760202212617</v>
      </c>
      <c r="F31" s="22">
        <f>'P&amp;L Input'!E40/'P&amp;L Input'!E$14</f>
        <v>0.12103893672051463</v>
      </c>
      <c r="G31" s="22">
        <f>'P&amp;L Input'!F40/'P&amp;L Input'!F$14</f>
        <v>0.10179750490213731</v>
      </c>
      <c r="H31" s="22">
        <f>'P&amp;L Input'!G40/'P&amp;L Input'!G$14</f>
        <v>0.10880028247034212</v>
      </c>
    </row>
    <row r="32" spans="2:8" ht="14.5" customHeight="1" x14ac:dyDescent="0.15">
      <c r="B32" s="150"/>
      <c r="C32" s="150"/>
      <c r="D32" s="161"/>
      <c r="E32" s="161"/>
      <c r="F32" s="161"/>
      <c r="G32" s="161"/>
      <c r="H32" s="161"/>
    </row>
    <row r="33" spans="2:9" ht="14.5" customHeight="1" x14ac:dyDescent="0.15">
      <c r="B33" s="150"/>
      <c r="C33" s="150"/>
      <c r="D33" s="161"/>
      <c r="E33" s="161"/>
      <c r="F33" s="161"/>
      <c r="G33" s="161"/>
      <c r="H33" s="161"/>
    </row>
    <row r="35" spans="2:9" x14ac:dyDescent="0.15">
      <c r="B35" s="508" t="s">
        <v>19</v>
      </c>
      <c r="C35" s="508"/>
      <c r="E35" s="4"/>
      <c r="F35" s="4"/>
      <c r="G35" s="4"/>
      <c r="H35" s="4"/>
    </row>
    <row r="37" spans="2:9" x14ac:dyDescent="0.15">
      <c r="B37" s="4" t="s">
        <v>20</v>
      </c>
      <c r="C37" s="4"/>
      <c r="D37" s="4"/>
      <c r="E37" s="4"/>
      <c r="F37" s="4"/>
      <c r="G37" s="4"/>
      <c r="H37" s="4"/>
    </row>
    <row r="38" spans="2:9" x14ac:dyDescent="0.15">
      <c r="C38" s="2" t="s">
        <v>21</v>
      </c>
      <c r="D38" s="240">
        <f>'BS Input'!D13/'BS Input'!D$40</f>
        <v>2.0742676685179134E-2</v>
      </c>
      <c r="E38" s="240">
        <f>'BS Input'!E13/'BS Input'!E$40</f>
        <v>2.2695394607281656E-2</v>
      </c>
      <c r="F38" s="240">
        <f>'BS Input'!F13/'BS Input'!F$40</f>
        <v>1.8886306472667071E-2</v>
      </c>
      <c r="G38" s="240">
        <f>'BS Input'!G13/'BS Input'!G$40</f>
        <v>1.6075416606741146E-2</v>
      </c>
      <c r="H38" s="240">
        <f>'BS Input'!H13/'BS Input'!H$40</f>
        <v>1.4935730783970501E-2</v>
      </c>
    </row>
    <row r="39" spans="2:9" x14ac:dyDescent="0.15">
      <c r="C39" s="2" t="s">
        <v>212</v>
      </c>
      <c r="D39" s="240">
        <f>'BS Input'!D14/'BS Input'!D$40</f>
        <v>4.9787651094413592E-3</v>
      </c>
      <c r="E39" s="240">
        <f>'BS Input'!E14/'BS Input'!E$40</f>
        <v>4.569623458204222E-3</v>
      </c>
      <c r="F39" s="240">
        <f>'BS Input'!F14/'BS Input'!F$40</f>
        <v>9.4176828297621706E-3</v>
      </c>
      <c r="G39" s="240">
        <f>'BS Input'!G14/'BS Input'!G$40</f>
        <v>7.8423284931603485E-3</v>
      </c>
      <c r="H39" s="240">
        <f>'BS Input'!H14/'BS Input'!H$40</f>
        <v>6.3570074678653919E-3</v>
      </c>
    </row>
    <row r="40" spans="2:9" x14ac:dyDescent="0.15">
      <c r="C40" s="2" t="s">
        <v>22</v>
      </c>
      <c r="D40" s="240">
        <f>'BS Input'!D15/'BS Input'!D$40</f>
        <v>6.7080474790373514E-4</v>
      </c>
      <c r="E40" s="240">
        <f>'BS Input'!E15/'BS Input'!E$40</f>
        <v>1.7482728270174464E-3</v>
      </c>
      <c r="F40" s="240">
        <f>'BS Input'!F15/'BS Input'!F$40</f>
        <v>2.120411347066128E-3</v>
      </c>
      <c r="G40" s="240">
        <f>'BS Input'!G15/'BS Input'!G$40</f>
        <v>2.5507919666334697E-4</v>
      </c>
      <c r="H40" s="240">
        <f>'BS Input'!H15/'BS Input'!H$40</f>
        <v>4.6868364630698001E-4</v>
      </c>
    </row>
    <row r="41" spans="2:9" x14ac:dyDescent="0.15">
      <c r="C41" s="2" t="str">
        <f>'BS Input'!C16</f>
        <v>Intangible Assets Under Development</v>
      </c>
      <c r="D41" s="240">
        <f>'BS Input'!D16/'BS Input'!D$40</f>
        <v>0</v>
      </c>
      <c r="E41" s="240">
        <f>'BS Input'!E16/'BS Input'!E$40</f>
        <v>0</v>
      </c>
      <c r="F41" s="240">
        <f>'BS Input'!F16/'BS Input'!F$40</f>
        <v>0</v>
      </c>
      <c r="G41" s="240">
        <f>'BS Input'!G16/'BS Input'!G$40</f>
        <v>0</v>
      </c>
      <c r="H41" s="240">
        <f>'BS Input'!H16/'BS Input'!H$40</f>
        <v>4.4020010979108622E-5</v>
      </c>
    </row>
    <row r="42" spans="2:9" x14ac:dyDescent="0.15">
      <c r="C42" s="2" t="s">
        <v>296</v>
      </c>
      <c r="D42" s="240">
        <f>'BS Input'!D17/'BS Input'!D$40</f>
        <v>1.9601437438745506E-3</v>
      </c>
      <c r="E42" s="240">
        <f>'BS Input'!E17/'BS Input'!E$40</f>
        <v>1.6638734491614317E-3</v>
      </c>
      <c r="F42" s="240">
        <f>'BS Input'!F17/'BS Input'!F$40</f>
        <v>0</v>
      </c>
      <c r="G42" s="240">
        <f>'BS Input'!G17/'BS Input'!G$40</f>
        <v>0</v>
      </c>
      <c r="H42" s="240">
        <f>'BS Input'!H17/'BS Input'!H$40</f>
        <v>0</v>
      </c>
    </row>
    <row r="43" spans="2:9" x14ac:dyDescent="0.15">
      <c r="C43" s="2" t="s">
        <v>247</v>
      </c>
      <c r="D43" s="240">
        <f>'BS Input'!D18/'BS Input'!D$40</f>
        <v>0.28754001960143744</v>
      </c>
      <c r="E43" s="240">
        <f>'BS Input'!E18/'BS Input'!E$40</f>
        <v>0.28053147493941327</v>
      </c>
      <c r="F43" s="240">
        <f>'BS Input'!F18/'BS Input'!F$40</f>
        <v>0.47679964341430803</v>
      </c>
      <c r="G43" s="240">
        <f>'BS Input'!G18/'BS Input'!G$40</f>
        <v>0.46327809331014103</v>
      </c>
      <c r="H43" s="240">
        <f>'BS Input'!H18/'BS Input'!H$40</f>
        <v>0.42079505318653088</v>
      </c>
    </row>
    <row r="44" spans="2:9" x14ac:dyDescent="0.15">
      <c r="C44" s="2" t="s">
        <v>196</v>
      </c>
      <c r="D44" s="240">
        <f>'BS Input'!D19/'BS Input'!D$40</f>
        <v>3.6210388761842537E-2</v>
      </c>
      <c r="E44" s="240">
        <f>'BS Input'!E19/'BS Input'!E$40</f>
        <v>2.8551103823291818E-2</v>
      </c>
      <c r="F44" s="240">
        <f>'BS Input'!F19/'BS Input'!F$40</f>
        <v>4.8957305230984759E-2</v>
      </c>
      <c r="G44" s="240">
        <f>'BS Input'!G19/'BS Input'!G$40</f>
        <v>4.1938818983319449E-2</v>
      </c>
      <c r="H44" s="240">
        <f>'BS Input'!H19/'BS Input'!H$40</f>
        <v>2.8644080085347034E-2</v>
      </c>
    </row>
    <row r="45" spans="2:9" x14ac:dyDescent="0.15">
      <c r="C45" s="158" t="s">
        <v>197</v>
      </c>
      <c r="D45" s="240"/>
      <c r="E45" s="240"/>
      <c r="F45" s="240"/>
      <c r="G45" s="240"/>
      <c r="H45" s="240"/>
      <c r="I45" s="158"/>
    </row>
    <row r="46" spans="2:9" x14ac:dyDescent="0.15">
      <c r="C46" s="159" t="s">
        <v>307</v>
      </c>
      <c r="D46" s="240">
        <f>'BS Input'!D21/'BS Input'!D$40</f>
        <v>1.7941849068931721E-2</v>
      </c>
      <c r="E46" s="240">
        <f>'BS Input'!E21/'BS Input'!E$40</f>
        <v>4.3284823786156092E-3</v>
      </c>
      <c r="F46" s="240">
        <f>'BS Input'!F21/'BS Input'!F$40</f>
        <v>4.119838262918272E-3</v>
      </c>
      <c r="G46" s="240">
        <f>'BS Input'!G21/'BS Input'!G$40</f>
        <v>4.6348432755425172E-3</v>
      </c>
      <c r="H46" s="240">
        <f>'BS Input'!H21/'BS Input'!H$40</f>
        <v>4.4978093571006869E-3</v>
      </c>
      <c r="I46" s="159"/>
    </row>
    <row r="47" spans="2:9" x14ac:dyDescent="0.15">
      <c r="C47" s="159" t="s">
        <v>200</v>
      </c>
      <c r="D47" s="240">
        <f>'BS Input'!D22/'BS Input'!D$40</f>
        <v>1.1473374714145704E-2</v>
      </c>
      <c r="E47" s="240">
        <f>'BS Input'!E22/'BS Input'!E$40</f>
        <v>1.6703038779504617E-2</v>
      </c>
      <c r="F47" s="240">
        <f>'BS Input'!F22/'BS Input'!F$40</f>
        <v>9.9652965710465159E-3</v>
      </c>
      <c r="G47" s="240">
        <f>'BS Input'!G22/'BS Input'!G$40</f>
        <v>9.6713006054060507E-3</v>
      </c>
      <c r="H47" s="240">
        <f>'BS Input'!H22/'BS Input'!H$40</f>
        <v>5.3134742664194641E-3</v>
      </c>
      <c r="I47" s="159"/>
    </row>
    <row r="48" spans="2:9" x14ac:dyDescent="0.15">
      <c r="C48" s="159" t="s">
        <v>249</v>
      </c>
      <c r="D48" s="240">
        <f>'BS Input'!D23/'BS Input'!D$40</f>
        <v>2.317325492758358E-2</v>
      </c>
      <c r="E48" s="240">
        <f>'BS Input'!E23/'BS Input'!E$40</f>
        <v>2.8334076851662063E-2</v>
      </c>
      <c r="F48" s="240">
        <f>'BS Input'!F23/'BS Input'!F$40</f>
        <v>3.3382151612595119E-2</v>
      </c>
      <c r="G48" s="240">
        <f>'BS Input'!G23/'BS Input'!G$40</f>
        <v>2.9198427192527805E-2</v>
      </c>
      <c r="H48" s="240">
        <f>'BS Input'!H23/'BS Input'!H$40</f>
        <v>4.0040084104115095E-2</v>
      </c>
      <c r="I48" s="159"/>
    </row>
    <row r="49" spans="2:9" x14ac:dyDescent="0.15">
      <c r="C49" s="2" t="s">
        <v>297</v>
      </c>
      <c r="D49" s="240">
        <f>'BS Input'!D24/'BS Input'!D$40</f>
        <v>0</v>
      </c>
      <c r="E49" s="240">
        <f>'BS Input'!E24/'BS Input'!E$40</f>
        <v>1.2941237937922248E-3</v>
      </c>
      <c r="F49" s="240">
        <f>'BS Input'!F24/'BS Input'!F$40</f>
        <v>1.0283676653188578E-3</v>
      </c>
      <c r="G49" s="240">
        <f>'BS Input'!G24/'BS Input'!G$40</f>
        <v>7.8694645779117701E-3</v>
      </c>
      <c r="H49" s="240">
        <f>'BS Input'!H24/'BS Input'!H$40</f>
        <v>5.7148331900525135E-3</v>
      </c>
    </row>
    <row r="50" spans="2:9" x14ac:dyDescent="0.15">
      <c r="C50" s="2" t="s">
        <v>23</v>
      </c>
      <c r="D50" s="240">
        <f>'BS Input'!D25/'BS Input'!D$40</f>
        <v>5.7061962321681373E-4</v>
      </c>
      <c r="E50" s="240">
        <f>'BS Input'!E25/'BS Input'!E$40</f>
        <v>6.1490975295096391E-4</v>
      </c>
      <c r="F50" s="240">
        <f>'BS Input'!F25/'BS Input'!F$40</f>
        <v>4.6801872074882998E-4</v>
      </c>
      <c r="G50" s="240">
        <f>'BS Input'!G25/'BS Input'!G$40</f>
        <v>4.0704127127129841E-4</v>
      </c>
      <c r="H50" s="240">
        <f>'BS Input'!H25/'BS Input'!H$40</f>
        <v>4.0135892363304921E-4</v>
      </c>
    </row>
    <row r="51" spans="2:9" x14ac:dyDescent="0.15">
      <c r="D51" s="240"/>
      <c r="E51" s="240"/>
      <c r="F51" s="240"/>
      <c r="G51" s="240"/>
      <c r="H51" s="240"/>
    </row>
    <row r="52" spans="2:9" x14ac:dyDescent="0.15">
      <c r="B52" s="4" t="s">
        <v>25</v>
      </c>
      <c r="C52" s="4"/>
      <c r="D52" s="240"/>
      <c r="E52" s="240"/>
      <c r="F52" s="240"/>
      <c r="G52" s="240"/>
      <c r="H52" s="240"/>
    </row>
    <row r="53" spans="2:9" x14ac:dyDescent="0.15">
      <c r="C53" s="158" t="s">
        <v>197</v>
      </c>
      <c r="D53" s="240"/>
      <c r="E53" s="240"/>
      <c r="F53" s="240"/>
      <c r="G53" s="240"/>
      <c r="H53" s="240"/>
      <c r="I53" s="158"/>
    </row>
    <row r="54" spans="2:9" x14ac:dyDescent="0.15">
      <c r="C54" s="2" t="s">
        <v>257</v>
      </c>
      <c r="D54" s="240">
        <f>'BS Input'!D31/'BS Input'!D$40</f>
        <v>8.4029184362408804E-2</v>
      </c>
      <c r="E54" s="240">
        <f>'BS Input'!E31/'BS Input'!E$40</f>
        <v>2.2036275656406111E-2</v>
      </c>
      <c r="F54" s="240">
        <f>'BS Input'!F31/'BS Input'!F$40</f>
        <v>1.7756057181062757E-2</v>
      </c>
      <c r="G54" s="240">
        <f>'BS Input'!G31/'BS Input'!G$40</f>
        <v>2.0821517829764487E-2</v>
      </c>
      <c r="H54" s="240">
        <f>'BS Input'!H31/'BS Input'!H$40</f>
        <v>4.1601499787668181E-2</v>
      </c>
      <c r="I54" s="158"/>
    </row>
    <row r="55" spans="2:9" x14ac:dyDescent="0.15">
      <c r="C55" s="2" t="s">
        <v>384</v>
      </c>
      <c r="D55" s="240">
        <f>'BS Input'!D32/'BS Input'!D$40</f>
        <v>0.16329304148970925</v>
      </c>
      <c r="E55" s="240">
        <f>'BS Input'!E32/'BS Input'!E$40</f>
        <v>0.17505636672735383</v>
      </c>
      <c r="F55" s="240">
        <f>'BS Input'!F32/'BS Input'!F$40</f>
        <v>0.16130090101563249</v>
      </c>
      <c r="G55" s="240">
        <f>'BS Input'!G32/'BS Input'!G$40</f>
        <v>0.15231755731819499</v>
      </c>
      <c r="H55" s="240">
        <f>'BS Input'!H32/'BS Input'!H$40</f>
        <v>0.19099764881353123</v>
      </c>
    </row>
    <row r="56" spans="2:9" x14ac:dyDescent="0.15">
      <c r="C56" s="2" t="s">
        <v>201</v>
      </c>
      <c r="D56" s="240">
        <f>'BS Input'!D33/'BS Input'!D$40</f>
        <v>0.26488946967222043</v>
      </c>
      <c r="E56" s="240">
        <f>'BS Input'!E33/'BS Input'!E$40</f>
        <v>0.29220672220949534</v>
      </c>
      <c r="F56" s="240">
        <f>'BS Input'!F33/'BS Input'!F$40</f>
        <v>6.6375879524976922E-2</v>
      </c>
      <c r="G56" s="240">
        <f>'BS Input'!G33/'BS Input'!G$40</f>
        <v>0.10382537386740766</v>
      </c>
      <c r="H56" s="240">
        <f>'BS Input'!H33/'BS Input'!H$40</f>
        <v>0.11949361450899561</v>
      </c>
    </row>
    <row r="57" spans="2:9" x14ac:dyDescent="0.15">
      <c r="C57" s="2" t="s">
        <v>202</v>
      </c>
      <c r="D57" s="240">
        <f>'BS Input'!D34/'BS Input'!D$40</f>
        <v>3.9812697375585324E-3</v>
      </c>
      <c r="E57" s="240">
        <f>'BS Input'!E34/'BS Input'!E$40</f>
        <v>5.5502638485312502E-3</v>
      </c>
      <c r="F57" s="240">
        <f>'BS Input'!F34/'BS Input'!F$40</f>
        <v>3.833296188990417E-3</v>
      </c>
      <c r="G57" s="240">
        <f>'BS Input'!G34/'BS Input'!G$40</f>
        <v>5.2861093095765959E-3</v>
      </c>
      <c r="H57" s="240">
        <f>'BS Input'!H34/'BS Input'!H$40</f>
        <v>4.1275233823940671E-3</v>
      </c>
    </row>
    <row r="58" spans="2:9" x14ac:dyDescent="0.15">
      <c r="C58" s="2" t="s">
        <v>298</v>
      </c>
      <c r="D58" s="240">
        <f>'BS Input'!D35/'BS Input'!D$40</f>
        <v>0</v>
      </c>
      <c r="E58" s="240">
        <f>'BS Input'!E35/'BS Input'!E$40</f>
        <v>0</v>
      </c>
      <c r="F58" s="240">
        <f>'BS Input'!F35/'BS Input'!F$40</f>
        <v>0.11168773281543508</v>
      </c>
      <c r="G58" s="240">
        <f>'BS Input'!G35/'BS Input'!G$40</f>
        <v>9.5746961436909944E-2</v>
      </c>
      <c r="H58" s="240">
        <f>'BS Input'!H35/'BS Input'!H$40</f>
        <v>5.9931950241851113E-2</v>
      </c>
    </row>
    <row r="59" spans="2:9" x14ac:dyDescent="0.15">
      <c r="C59" s="2" t="s">
        <v>26</v>
      </c>
      <c r="D59" s="240">
        <f>'BS Input'!D36/'BS Input'!D$40</f>
        <v>7.854513775454644E-2</v>
      </c>
      <c r="E59" s="240">
        <f>'BS Input'!E36/'BS Input'!E$40</f>
        <v>0.11411599689731811</v>
      </c>
      <c r="F59" s="240">
        <f>'BS Input'!F36/'BS Input'!F$40</f>
        <v>3.3901111146486682E-2</v>
      </c>
      <c r="G59" s="240">
        <f>'BS Input'!G36/'BS Input'!G$40</f>
        <v>4.0831666725461513E-2</v>
      </c>
      <c r="H59" s="240">
        <f>'BS Input'!H36/'BS Input'!H$40</f>
        <v>5.663562824323904E-2</v>
      </c>
    </row>
    <row r="60" spans="2:9" x14ac:dyDescent="0.15">
      <c r="D60" s="21"/>
      <c r="E60" s="21"/>
      <c r="F60" s="21"/>
      <c r="G60" s="21"/>
      <c r="H60" s="21"/>
    </row>
    <row r="61" spans="2:9" x14ac:dyDescent="0.15">
      <c r="B61" s="509" t="s">
        <v>36</v>
      </c>
      <c r="C61" s="509"/>
      <c r="D61" s="22">
        <f>'BS Input'!D40/'BS Input'!D$40</f>
        <v>1</v>
      </c>
      <c r="E61" s="22">
        <f>'BS Input'!E40/'BS Input'!E$40</f>
        <v>1</v>
      </c>
      <c r="F61" s="22">
        <f>'BS Input'!F40/'BS Input'!F$40</f>
        <v>1</v>
      </c>
      <c r="G61" s="22">
        <f>'BS Input'!G40/'BS Input'!G$40</f>
        <v>1</v>
      </c>
      <c r="H61" s="22">
        <f>'BS Input'!H40/'BS Input'!H$40</f>
        <v>1</v>
      </c>
    </row>
    <row r="62" spans="2:9" x14ac:dyDescent="0.15">
      <c r="D62" s="9"/>
      <c r="E62" s="9"/>
      <c r="F62" s="9"/>
      <c r="G62" s="9"/>
      <c r="H62" s="9"/>
    </row>
    <row r="63" spans="2:9" x14ac:dyDescent="0.15">
      <c r="B63" s="508" t="s">
        <v>27</v>
      </c>
      <c r="C63" s="508"/>
      <c r="D63" s="9"/>
      <c r="E63" s="9"/>
      <c r="F63" s="9"/>
      <c r="G63" s="9"/>
      <c r="H63" s="9"/>
    </row>
    <row r="64" spans="2:9" x14ac:dyDescent="0.15">
      <c r="B64" s="10"/>
      <c r="C64" s="10"/>
      <c r="D64" s="9"/>
      <c r="E64" s="9"/>
      <c r="F64" s="9"/>
      <c r="G64" s="9"/>
      <c r="H64" s="9"/>
    </row>
    <row r="65" spans="2:9" x14ac:dyDescent="0.15">
      <c r="B65" s="4" t="s">
        <v>28</v>
      </c>
      <c r="D65" s="9"/>
      <c r="E65" s="9"/>
      <c r="F65" s="9"/>
      <c r="G65" s="9"/>
      <c r="H65" s="9"/>
    </row>
    <row r="66" spans="2:9" x14ac:dyDescent="0.15">
      <c r="C66" s="2" t="s">
        <v>29</v>
      </c>
      <c r="D66" s="240">
        <f>'BS Input'!D45/'BS Input'!D$74</f>
        <v>5.4971142328215173E-3</v>
      </c>
      <c r="E66" s="240">
        <f>'BS Input'!E45/'BS Input'!E$74</f>
        <v>6.032546007708476E-3</v>
      </c>
      <c r="F66" s="240">
        <f>'BS Input'!F45/'BS Input'!F$74</f>
        <v>4.858480053487854E-3</v>
      </c>
      <c r="G66" s="240">
        <f>'BS Input'!G45/'BS Input'!G$74</f>
        <v>4.1843842686689475E-3</v>
      </c>
      <c r="H66" s="240">
        <f>'BS Input'!H45/'BS Input'!H$74</f>
        <v>4.0058209990988854E-3</v>
      </c>
    </row>
    <row r="67" spans="2:9" x14ac:dyDescent="0.15">
      <c r="C67" s="2" t="s">
        <v>30</v>
      </c>
      <c r="D67" s="240">
        <f>'BS Input'!D46/'BS Input'!D$74</f>
        <v>0.3684721768485244</v>
      </c>
      <c r="E67" s="240">
        <f>'BS Input'!E46/'BS Input'!E$74</f>
        <v>0.42454896570571943</v>
      </c>
      <c r="F67" s="240">
        <f>'BS Input'!F46/'BS Input'!F$74</f>
        <v>0.53110573402527939</v>
      </c>
      <c r="G67" s="240">
        <f>'BS Input'!G46/'BS Input'!G$74</f>
        <v>0.56225696244094503</v>
      </c>
      <c r="H67" s="240">
        <f>'BS Input'!H46/'BS Input'!H$74</f>
        <v>0.63359555449677363</v>
      </c>
    </row>
    <row r="68" spans="2:9" x14ac:dyDescent="0.15">
      <c r="C68" s="2" t="s">
        <v>308</v>
      </c>
      <c r="D68" s="240">
        <f>'BS Input'!D47/'BS Input'!D$74</f>
        <v>7.9289992377218774E-2</v>
      </c>
      <c r="E68" s="240">
        <f>'BS Input'!E47/'BS Input'!E$74</f>
        <v>6.0421916508920211E-2</v>
      </c>
      <c r="F68" s="240">
        <f>'BS Input'!F47/'BS Input'!F$74</f>
        <v>2.9004425483141773E-2</v>
      </c>
      <c r="G68" s="240">
        <f>'BS Input'!G47/'BS Input'!G$74</f>
        <v>0</v>
      </c>
      <c r="H68" s="240">
        <f>'BS Input'!H47/'BS Input'!H$74</f>
        <v>0</v>
      </c>
    </row>
    <row r="69" spans="2:9" x14ac:dyDescent="0.15">
      <c r="D69" s="240"/>
      <c r="E69" s="240"/>
      <c r="F69" s="240"/>
      <c r="G69" s="240"/>
      <c r="H69" s="240"/>
    </row>
    <row r="70" spans="2:9" x14ac:dyDescent="0.15">
      <c r="B70" s="4" t="s">
        <v>31</v>
      </c>
      <c r="C70" s="4"/>
      <c r="D70" s="240"/>
      <c r="E70" s="240"/>
      <c r="F70" s="240"/>
      <c r="G70" s="240"/>
      <c r="H70" s="240"/>
    </row>
    <row r="71" spans="2:9" x14ac:dyDescent="0.15">
      <c r="C71" s="158" t="s">
        <v>203</v>
      </c>
      <c r="D71" s="307"/>
      <c r="E71" s="307"/>
      <c r="F71" s="307"/>
      <c r="G71" s="307"/>
      <c r="H71" s="307"/>
      <c r="I71" s="158"/>
    </row>
    <row r="72" spans="2:9" x14ac:dyDescent="0.15">
      <c r="C72" s="2" t="s">
        <v>204</v>
      </c>
      <c r="D72" s="240">
        <f>'BS Input'!D53/'BS Input'!D$74</f>
        <v>8.2866165741043232E-2</v>
      </c>
      <c r="E72" s="240">
        <f>'BS Input'!E53/'BS Input'!E$74</f>
        <v>4.8549737357174147E-2</v>
      </c>
      <c r="F72" s="240">
        <f>'BS Input'!F53/'BS Input'!F$74</f>
        <v>8.5656977299500142E-2</v>
      </c>
      <c r="G72" s="240">
        <f>'BS Input'!G53/'BS Input'!G$74</f>
        <v>8.5017353526198533E-2</v>
      </c>
      <c r="H72" s="240">
        <f>'BS Input'!H53/'BS Input'!H$74</f>
        <v>9.8198286844749197E-2</v>
      </c>
    </row>
    <row r="73" spans="2:9" x14ac:dyDescent="0.15">
      <c r="C73" s="2" t="s">
        <v>205</v>
      </c>
      <c r="D73" s="240">
        <f>'BS Input'!D54/'BS Input'!D$74</f>
        <v>2.988130240662093E-3</v>
      </c>
      <c r="E73" s="240">
        <f>'BS Input'!E54/'BS Input'!E$74</f>
        <v>3.2312904664874181E-3</v>
      </c>
      <c r="F73" s="240">
        <f>'BS Input'!F54/'BS Input'!F$74</f>
        <v>7.1603680473749558E-3</v>
      </c>
      <c r="G73" s="240">
        <f>'BS Input'!G54/'BS Input'!G$74</f>
        <v>5.8478262639309877E-3</v>
      </c>
      <c r="H73" s="240">
        <f>'BS Input'!H54/'BS Input'!H$74</f>
        <v>4.244046940868179E-3</v>
      </c>
    </row>
    <row r="74" spans="2:9" x14ac:dyDescent="0.15">
      <c r="C74" s="2" t="s">
        <v>206</v>
      </c>
      <c r="D74" s="240">
        <f>'BS Input'!D55/'BS Input'!D$74</f>
        <v>0.1238462376129805</v>
      </c>
      <c r="E74" s="240">
        <f>'BS Input'!E55/'BS Input'!E$74</f>
        <v>9.5319049743385689E-2</v>
      </c>
      <c r="F74" s="240">
        <f>'BS Input'!F55/'BS Input'!F$74</f>
        <v>8.7927027285173043E-2</v>
      </c>
      <c r="G74" s="240">
        <f>'BS Input'!G55/'BS Input'!G$74</f>
        <v>2.6813165342878E-2</v>
      </c>
      <c r="H74" s="240">
        <f>'BS Input'!H55/'BS Input'!H$74</f>
        <v>8.2861197137145643E-5</v>
      </c>
    </row>
    <row r="75" spans="2:9" x14ac:dyDescent="0.15">
      <c r="C75" s="2" t="s">
        <v>33</v>
      </c>
      <c r="D75" s="240">
        <f>'BS Input'!D56/'BS Input'!D$74</f>
        <v>1.0310356092780137E-2</v>
      </c>
      <c r="E75" s="240">
        <f>'BS Input'!E56/'BS Input'!E$74</f>
        <v>1.093172894135047E-2</v>
      </c>
      <c r="F75" s="240">
        <f>'BS Input'!F56/'BS Input'!F$74</f>
        <v>1.0688019357508995E-2</v>
      </c>
      <c r="G75" s="240">
        <f>'BS Input'!G56/'BS Input'!G$74</f>
        <v>1.0876142768369094E-2</v>
      </c>
      <c r="H75" s="240">
        <f>'BS Input'!H56/'BS Input'!H$74</f>
        <v>1.3402798636933307E-2</v>
      </c>
    </row>
    <row r="76" spans="2:9" x14ac:dyDescent="0.15">
      <c r="C76" s="2" t="s">
        <v>35</v>
      </c>
      <c r="D76" s="240">
        <f>'BS Input'!D57/'BS Input'!D$74</f>
        <v>7.9756071000762277E-3</v>
      </c>
      <c r="E76" s="240">
        <f>'BS Input'!E57/'BS Input'!E$74</f>
        <v>8.5363942174369097E-3</v>
      </c>
      <c r="F76" s="240">
        <f>'BS Input'!F57/'BS Input'!F$74</f>
        <v>9.4272342322264321E-3</v>
      </c>
      <c r="G76" s="240">
        <f>'BS Input'!G57/'BS Input'!G$74</f>
        <v>9.1014428256262318E-3</v>
      </c>
      <c r="H76" s="240">
        <f>'BS Input'!H57/'BS Input'!H$74</f>
        <v>3.4672232177074382E-3</v>
      </c>
    </row>
    <row r="77" spans="2:9" x14ac:dyDescent="0.15">
      <c r="D77" s="240"/>
      <c r="E77" s="240"/>
      <c r="F77" s="240"/>
      <c r="G77" s="240"/>
      <c r="H77" s="240"/>
    </row>
    <row r="78" spans="2:9" x14ac:dyDescent="0.15">
      <c r="B78" s="4" t="s">
        <v>382</v>
      </c>
      <c r="D78" s="240"/>
      <c r="E78" s="240"/>
      <c r="F78" s="240"/>
      <c r="G78" s="240"/>
      <c r="H78" s="240"/>
      <c r="I78" s="4"/>
    </row>
    <row r="79" spans="2:9" x14ac:dyDescent="0.15">
      <c r="C79" s="158" t="s">
        <v>203</v>
      </c>
      <c r="D79" s="307"/>
      <c r="E79" s="307"/>
      <c r="F79" s="307"/>
      <c r="G79" s="307"/>
      <c r="H79" s="307"/>
      <c r="I79" s="158"/>
    </row>
    <row r="80" spans="2:9" x14ac:dyDescent="0.15">
      <c r="C80" s="2" t="s">
        <v>204</v>
      </c>
      <c r="D80" s="240">
        <f>'BS Input'!D63/'BS Input'!D$74</f>
        <v>3.0482413154742462E-2</v>
      </c>
      <c r="E80" s="240">
        <f>'BS Input'!E63/'BS Input'!E$74</f>
        <v>2.7916098980375132E-2</v>
      </c>
      <c r="F80" s="240">
        <f>'BS Input'!F63/'BS Input'!F$74</f>
        <v>3.2675347830239738E-2</v>
      </c>
      <c r="G80" s="240">
        <f>'BS Input'!G63/'BS Input'!G$74</f>
        <v>4.7013266831834967E-2</v>
      </c>
      <c r="H80" s="240">
        <f>'BS Input'!H63/'BS Input'!H$74</f>
        <v>4.5558121950966889E-2</v>
      </c>
    </row>
    <row r="81" spans="2:8" x14ac:dyDescent="0.15">
      <c r="C81" s="2" t="s">
        <v>210</v>
      </c>
      <c r="D81" s="240">
        <f>'BS Input'!D64/'BS Input'!D$74</f>
        <v>2.6004573668735706E-3</v>
      </c>
      <c r="E81" s="240">
        <f>'BS Input'!E64/'BS Input'!E$74</f>
        <v>1.8206151508940306E-3</v>
      </c>
      <c r="F81" s="240">
        <f>'BS Input'!F64/'BS Input'!F$74</f>
        <v>3.2060874271705561E-3</v>
      </c>
      <c r="G81" s="240">
        <f>'BS Input'!G64/'BS Input'!G$74</f>
        <v>2.9469788040042003E-3</v>
      </c>
      <c r="H81" s="240">
        <f>'BS Input'!H64/'BS Input'!H$74</f>
        <v>2.9959501589899222E-3</v>
      </c>
    </row>
    <row r="82" spans="2:8" x14ac:dyDescent="0.15">
      <c r="C82" s="2" t="s">
        <v>207</v>
      </c>
      <c r="D82" s="240">
        <f>'BS Input'!D65/'BS Input'!D$74</f>
        <v>1.3368180333224436E-2</v>
      </c>
      <c r="E82" s="240">
        <f>'BS Input'!E65/'BS Input'!E$74</f>
        <v>1.3371272863188609E-2</v>
      </c>
      <c r="F82" s="240">
        <f>'BS Input'!F65/'BS Input'!F$74</f>
        <v>5.8244452227068672E-2</v>
      </c>
      <c r="G82" s="240">
        <f>'BS Input'!G65/'BS Input'!G$74</f>
        <v>5.9810644400604587E-2</v>
      </c>
      <c r="H82" s="240">
        <f>'BS Input'!H65/'BS Input'!H$74</f>
        <v>6.6286368297305984E-2</v>
      </c>
    </row>
    <row r="83" spans="2:8" x14ac:dyDescent="0.15">
      <c r="C83" s="2" t="s">
        <v>209</v>
      </c>
      <c r="D83" s="240">
        <f>'BS Input'!D66/'BS Input'!D$74</f>
        <v>0.18596972666884459</v>
      </c>
      <c r="E83" s="240">
        <f>'BS Input'!E66/'BS Input'!E$74</f>
        <v>0.20847048232234935</v>
      </c>
      <c r="F83" s="240">
        <f>'BS Input'!F66/'BS Input'!F$74</f>
        <v>6.4698016492088256E-2</v>
      </c>
      <c r="G83" s="240">
        <f>'BS Input'!G66/'BS Input'!G$74</f>
        <v>0.12454377457511674</v>
      </c>
      <c r="H83" s="240">
        <f>'BS Input'!H66/'BS Input'!H$74</f>
        <v>4.6738894010171214E-2</v>
      </c>
    </row>
    <row r="84" spans="2:8" x14ac:dyDescent="0.15">
      <c r="C84" s="2" t="s">
        <v>299</v>
      </c>
      <c r="D84" s="240">
        <f>'BS Input'!D67/'BS Input'!D$74</f>
        <v>0</v>
      </c>
      <c r="E84" s="240">
        <f>'BS Input'!E67/'BS Input'!E$74</f>
        <v>0</v>
      </c>
      <c r="F84" s="240">
        <f>'BS Input'!F67/'BS Input'!F$74</f>
        <v>1.8870387468559967E-2</v>
      </c>
      <c r="G84" s="240">
        <f>'BS Input'!G67/'BS Input'!G$74</f>
        <v>1.994230868381848E-2</v>
      </c>
      <c r="H84" s="240">
        <f>'BS Input'!H67/'BS Input'!H$74</f>
        <v>2.8271204698229881E-2</v>
      </c>
    </row>
    <row r="85" spans="2:8" x14ac:dyDescent="0.15">
      <c r="C85" s="2" t="s">
        <v>300</v>
      </c>
      <c r="D85" s="240">
        <f>'BS Input'!D68/'BS Input'!D$74</f>
        <v>5.7580311445061524E-2</v>
      </c>
      <c r="E85" s="240">
        <f>'BS Input'!E68/'BS Input'!E$74</f>
        <v>5.465864470675235E-2</v>
      </c>
      <c r="F85" s="240">
        <f>'BS Input'!F68/'BS Input'!F$74</f>
        <v>2.6180394154541691E-2</v>
      </c>
      <c r="G85" s="240">
        <f>'BS Input'!G68/'BS Input'!G$74</f>
        <v>2.4810522288223211E-2</v>
      </c>
      <c r="H85" s="240">
        <f>'BS Input'!H68/'BS Input'!H$74</f>
        <v>3.2471231628118949E-2</v>
      </c>
    </row>
    <row r="86" spans="2:8" x14ac:dyDescent="0.15">
      <c r="C86" s="2" t="s">
        <v>33</v>
      </c>
      <c r="D86" s="240">
        <f>'BS Input'!D69/'BS Input'!D$74</f>
        <v>1.0118697593379071E-2</v>
      </c>
      <c r="E86" s="240">
        <f>'BS Input'!E69/'BS Input'!E$74</f>
        <v>1.1172870020939083E-2</v>
      </c>
      <c r="F86" s="240">
        <f>'BS Input'!F69/'BS Input'!F$74</f>
        <v>1.0582953930402114E-2</v>
      </c>
      <c r="G86" s="240">
        <f>'BS Input'!G69/'BS Input'!G$74</f>
        <v>8.7351056814820634E-3</v>
      </c>
      <c r="H86" s="240">
        <f>'BS Input'!H69/'BS Input'!H$74</f>
        <v>1.0228179021616416E-2</v>
      </c>
    </row>
    <row r="87" spans="2:8" x14ac:dyDescent="0.15">
      <c r="C87" s="2" t="s">
        <v>383</v>
      </c>
      <c r="D87" s="240">
        <f>'BS Input'!D70/'BS Input'!D$74</f>
        <v>1.8634433191767396E-2</v>
      </c>
      <c r="E87" s="240">
        <f>'BS Input'!E70/'BS Input'!E$74</f>
        <v>2.5018387007318631E-2</v>
      </c>
      <c r="F87" s="240">
        <f>'BS Input'!F70/'BS Input'!F$74</f>
        <v>1.971409468623643E-2</v>
      </c>
      <c r="G87" s="240">
        <f>'BS Input'!G70/'BS Input'!G$74</f>
        <v>8.1001212982988388E-3</v>
      </c>
      <c r="H87" s="240">
        <f>'BS Input'!H70/'BS Input'!H$74</f>
        <v>1.045345790133303E-2</v>
      </c>
    </row>
    <row r="88" spans="2:8" x14ac:dyDescent="0.15">
      <c r="D88" s="9"/>
      <c r="E88" s="9"/>
      <c r="F88" s="9"/>
      <c r="G88" s="9"/>
      <c r="H88" s="9"/>
    </row>
    <row r="89" spans="2:8" x14ac:dyDescent="0.15">
      <c r="B89" s="509" t="s">
        <v>36</v>
      </c>
      <c r="C89" s="509"/>
      <c r="D89" s="22">
        <f>'BS Input'!D74/'BS Input'!D$74</f>
        <v>1</v>
      </c>
      <c r="E89" s="22">
        <f>'BS Input'!E74/'BS Input'!E$74</f>
        <v>1</v>
      </c>
      <c r="F89" s="22">
        <f>'BS Input'!F74/'BS Input'!F$74</f>
        <v>1</v>
      </c>
      <c r="G89" s="22">
        <f>'BS Input'!G74/'BS Input'!G$74</f>
        <v>1</v>
      </c>
      <c r="H89" s="22">
        <f>'BS Input'!H74/'BS Input'!H$74</f>
        <v>1</v>
      </c>
    </row>
    <row r="93" spans="2:8" ht="14.5" customHeight="1" x14ac:dyDescent="0.15"/>
  </sheetData>
  <mergeCells count="10">
    <mergeCell ref="B89:C89"/>
    <mergeCell ref="G6:H6"/>
    <mergeCell ref="B35:C35"/>
    <mergeCell ref="B61:C61"/>
    <mergeCell ref="B63:C63"/>
    <mergeCell ref="B8:C9"/>
    <mergeCell ref="B14:C14"/>
    <mergeCell ref="B20:C20"/>
    <mergeCell ref="B31:C31"/>
    <mergeCell ref="B7:H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theme="9" tint="0.39997558519241921"/>
    <pageSetUpPr autoPageBreaks="0"/>
  </sheetPr>
  <dimension ref="A1:T67"/>
  <sheetViews>
    <sheetView showGridLines="0" topLeftCell="A9" zoomScaleNormal="100" workbookViewId="0">
      <selection activeCell="B31" sqref="B31"/>
    </sheetView>
  </sheetViews>
  <sheetFormatPr baseColWidth="10" defaultColWidth="8.83203125" defaultRowHeight="14" x14ac:dyDescent="0.15"/>
  <cols>
    <col min="1" max="1" width="5" style="2" customWidth="1"/>
    <col min="2" max="2" width="33.5" style="2" bestFit="1" customWidth="1"/>
    <col min="3" max="3" width="13.1640625" style="2" bestFit="1" customWidth="1"/>
    <col min="4" max="7" width="13.1640625" style="9" bestFit="1" customWidth="1"/>
    <col min="8" max="8" width="13.33203125" style="9" bestFit="1" customWidth="1"/>
    <col min="9" max="9" width="13.1640625" style="9" bestFit="1" customWidth="1"/>
    <col min="10" max="17" width="14.33203125" style="9" bestFit="1" customWidth="1"/>
    <col min="18" max="16384" width="8.83203125" style="9"/>
  </cols>
  <sheetData>
    <row r="1" spans="1:17" s="2" customFormat="1" x14ac:dyDescent="0.15"/>
    <row r="2" spans="1:17" s="2" customFormat="1" x14ac:dyDescent="0.15"/>
    <row r="3" spans="1:17" s="2" customFormat="1" x14ac:dyDescent="0.15"/>
    <row r="4" spans="1:17" s="2" customFormat="1" x14ac:dyDescent="0.15">
      <c r="H4" s="14"/>
    </row>
    <row r="5" spans="1:17" s="2" customFormat="1" x14ac:dyDescent="0.15">
      <c r="H5" s="38"/>
      <c r="L5" s="38"/>
    </row>
    <row r="6" spans="1:17" s="2" customFormat="1" x14ac:dyDescent="0.15">
      <c r="B6" s="25"/>
      <c r="C6" s="25"/>
      <c r="P6" s="503" t="s">
        <v>64</v>
      </c>
      <c r="Q6" s="503"/>
    </row>
    <row r="7" spans="1:17" s="2" customFormat="1" ht="16" x14ac:dyDescent="0.2">
      <c r="B7" s="518" t="s">
        <v>152</v>
      </c>
      <c r="C7" s="519"/>
      <c r="D7" s="519"/>
      <c r="E7" s="519"/>
      <c r="F7" s="519"/>
      <c r="G7" s="519"/>
      <c r="H7" s="519"/>
      <c r="I7" s="519"/>
      <c r="J7" s="519"/>
      <c r="K7" s="519"/>
      <c r="L7" s="519"/>
      <c r="M7" s="519"/>
      <c r="N7" s="519"/>
      <c r="O7" s="519"/>
      <c r="P7" s="519"/>
      <c r="Q7" s="520"/>
    </row>
    <row r="8" spans="1:17" s="4" customFormat="1" x14ac:dyDescent="0.15">
      <c r="B8" s="516" t="s">
        <v>0</v>
      </c>
      <c r="C8" s="195">
        <f>FAS!C8</f>
        <v>2021</v>
      </c>
      <c r="D8" s="195">
        <f>FAS!D8</f>
        <v>2022</v>
      </c>
      <c r="E8" s="195">
        <f>FAS!E8</f>
        <v>2023</v>
      </c>
      <c r="F8" s="195">
        <f>FAS!F8</f>
        <v>2024</v>
      </c>
      <c r="G8" s="195">
        <f>FAS!G8</f>
        <v>2025</v>
      </c>
      <c r="H8" s="217">
        <f>FAS!H8</f>
        <v>2026</v>
      </c>
      <c r="I8" s="217">
        <f>FAS!I8</f>
        <v>2027</v>
      </c>
      <c r="J8" s="217">
        <f>FAS!J8</f>
        <v>2028</v>
      </c>
      <c r="K8" s="217">
        <f>FAS!K8</f>
        <v>2029</v>
      </c>
      <c r="L8" s="217">
        <f>FAS!L8</f>
        <v>2030</v>
      </c>
      <c r="M8" s="217">
        <f>FAS!M8</f>
        <v>2031</v>
      </c>
      <c r="N8" s="217">
        <f>FAS!N8</f>
        <v>2032</v>
      </c>
      <c r="O8" s="217">
        <f>FAS!O8</f>
        <v>2033</v>
      </c>
      <c r="P8" s="217">
        <f>FAS!P8</f>
        <v>2034</v>
      </c>
      <c r="Q8" s="217">
        <f>FAS!Q8</f>
        <v>2035</v>
      </c>
    </row>
    <row r="9" spans="1:17" s="5" customFormat="1" x14ac:dyDescent="0.15">
      <c r="B9" s="517"/>
      <c r="C9" s="13" t="s">
        <v>1</v>
      </c>
      <c r="D9" s="13" t="s">
        <v>1</v>
      </c>
      <c r="E9" s="13" t="s">
        <v>1</v>
      </c>
      <c r="F9" s="13" t="s">
        <v>1</v>
      </c>
      <c r="G9" s="13" t="s">
        <v>1</v>
      </c>
      <c r="H9" s="110" t="s">
        <v>52</v>
      </c>
      <c r="I9" s="110" t="s">
        <v>53</v>
      </c>
      <c r="J9" s="110" t="s">
        <v>53</v>
      </c>
      <c r="K9" s="110" t="s">
        <v>53</v>
      </c>
      <c r="L9" s="110" t="s">
        <v>53</v>
      </c>
      <c r="M9" s="110" t="s">
        <v>53</v>
      </c>
      <c r="N9" s="110" t="s">
        <v>53</v>
      </c>
      <c r="O9" s="110" t="s">
        <v>53</v>
      </c>
      <c r="P9" s="110" t="s">
        <v>53</v>
      </c>
      <c r="Q9" s="110" t="s">
        <v>53</v>
      </c>
    </row>
    <row r="10" spans="1:17" s="4" customFormat="1" x14ac:dyDescent="0.15">
      <c r="B10" s="44"/>
      <c r="H10" s="26"/>
      <c r="I10" s="26"/>
      <c r="J10" s="26"/>
      <c r="K10" s="26"/>
      <c r="L10" s="26"/>
      <c r="M10" s="26"/>
      <c r="N10" s="26"/>
      <c r="O10" s="26"/>
      <c r="P10" s="26"/>
      <c r="Q10" s="26"/>
    </row>
    <row r="11" spans="1:17" x14ac:dyDescent="0.15">
      <c r="B11" s="34" t="s">
        <v>319</v>
      </c>
      <c r="C11" s="6">
        <f t="shared" ref="C11:F11" si="0">C15-C12</f>
        <v>1720.7700000000002</v>
      </c>
      <c r="D11" s="6">
        <f t="shared" si="0"/>
        <v>2179.86</v>
      </c>
      <c r="E11" s="6">
        <f t="shared" si="0"/>
        <v>2558.2000000000003</v>
      </c>
      <c r="F11" s="6">
        <f t="shared" si="0"/>
        <v>3049.24</v>
      </c>
      <c r="G11" s="6">
        <f t="shared" ref="G11:Q11" si="1">G15-G12</f>
        <v>3447.82</v>
      </c>
      <c r="H11" s="27">
        <f t="shared" si="1"/>
        <v>4102.2705308551394</v>
      </c>
      <c r="I11" s="27">
        <f t="shared" si="1"/>
        <v>4903.91184989061</v>
      </c>
      <c r="J11" s="27">
        <f t="shared" si="1"/>
        <v>5809.7679771581652</v>
      </c>
      <c r="K11" s="27">
        <f t="shared" si="1"/>
        <v>6821.3284357579214</v>
      </c>
      <c r="L11" s="27">
        <f t="shared" si="1"/>
        <v>7937.2779848743576</v>
      </c>
      <c r="M11" s="27">
        <f t="shared" si="1"/>
        <v>9153.0812961701358</v>
      </c>
      <c r="N11" s="27">
        <f t="shared" si="1"/>
        <v>10460.658885012956</v>
      </c>
      <c r="O11" s="27">
        <f t="shared" si="1"/>
        <v>11848.186557439381</v>
      </c>
      <c r="P11" s="27">
        <f t="shared" si="1"/>
        <v>13300.046315662352</v>
      </c>
      <c r="Q11" s="27">
        <f t="shared" si="1"/>
        <v>14796.949518457597</v>
      </c>
    </row>
    <row r="12" spans="1:17" x14ac:dyDescent="0.15">
      <c r="B12" s="34" t="s">
        <v>259</v>
      </c>
      <c r="C12" s="6">
        <v>1.0900000000000001</v>
      </c>
      <c r="D12" s="6">
        <v>3.98</v>
      </c>
      <c r="E12" s="6">
        <v>5.19</v>
      </c>
      <c r="F12" s="6">
        <v>5.55</v>
      </c>
      <c r="G12" s="6">
        <v>7.41</v>
      </c>
      <c r="H12" s="27">
        <f t="shared" ref="H12:Q12" si="2">H$13*H$28</f>
        <v>6.9506018373624272</v>
      </c>
      <c r="I12" s="27">
        <f t="shared" si="2"/>
        <v>8.3088471269123811</v>
      </c>
      <c r="J12" s="27">
        <f t="shared" si="2"/>
        <v>9.8436667384457532</v>
      </c>
      <c r="K12" s="27">
        <f t="shared" si="2"/>
        <v>11.557584416293539</v>
      </c>
      <c r="L12" s="27">
        <f t="shared" si="2"/>
        <v>13.448371707904847</v>
      </c>
      <c r="M12" s="27">
        <f t="shared" si="2"/>
        <v>15.508344268418108</v>
      </c>
      <c r="N12" s="27">
        <f t="shared" si="2"/>
        <v>17.723812781073782</v>
      </c>
      <c r="O12" s="27">
        <f t="shared" si="2"/>
        <v>20.074743154100144</v>
      </c>
      <c r="P12" s="27">
        <f t="shared" si="2"/>
        <v>22.534673338420184</v>
      </c>
      <c r="Q12" s="27">
        <f t="shared" si="2"/>
        <v>25.070922002043421</v>
      </c>
    </row>
    <row r="13" spans="1:17" x14ac:dyDescent="0.15">
      <c r="B13" s="112" t="s">
        <v>324</v>
      </c>
      <c r="C13" s="240">
        <f t="shared" ref="C13:G13" si="3">C$12/C$11</f>
        <v>6.3343735653225005E-4</v>
      </c>
      <c r="D13" s="240">
        <f t="shared" si="3"/>
        <v>1.825805326947602E-3</v>
      </c>
      <c r="E13" s="240">
        <f t="shared" si="3"/>
        <v>2.0287702290673129E-3</v>
      </c>
      <c r="F13" s="240">
        <f t="shared" si="3"/>
        <v>1.8201256706589183E-3</v>
      </c>
      <c r="G13" s="240">
        <f t="shared" si="3"/>
        <v>2.1491841221409468E-3</v>
      </c>
      <c r="H13" s="241">
        <f>AVERAGE(C13:G13)</f>
        <v>1.691464541069406E-3</v>
      </c>
      <c r="I13" s="241">
        <f t="shared" ref="I13:Q13" si="4">H13</f>
        <v>1.691464541069406E-3</v>
      </c>
      <c r="J13" s="241">
        <f t="shared" si="4"/>
        <v>1.691464541069406E-3</v>
      </c>
      <c r="K13" s="241">
        <f t="shared" si="4"/>
        <v>1.691464541069406E-3</v>
      </c>
      <c r="L13" s="241">
        <f t="shared" si="4"/>
        <v>1.691464541069406E-3</v>
      </c>
      <c r="M13" s="241">
        <f t="shared" si="4"/>
        <v>1.691464541069406E-3</v>
      </c>
      <c r="N13" s="241">
        <f t="shared" si="4"/>
        <v>1.691464541069406E-3</v>
      </c>
      <c r="O13" s="241">
        <f t="shared" si="4"/>
        <v>1.691464541069406E-3</v>
      </c>
      <c r="P13" s="241">
        <f t="shared" si="4"/>
        <v>1.691464541069406E-3</v>
      </c>
      <c r="Q13" s="241">
        <f t="shared" si="4"/>
        <v>1.691464541069406E-3</v>
      </c>
    </row>
    <row r="14" spans="1:17" x14ac:dyDescent="0.15">
      <c r="B14" s="112"/>
      <c r="C14" s="18"/>
      <c r="D14" s="18"/>
      <c r="E14" s="18"/>
      <c r="F14" s="19"/>
      <c r="G14" s="19"/>
      <c r="H14" s="28"/>
      <c r="I14" s="28"/>
      <c r="J14" s="28"/>
      <c r="K14" s="28"/>
      <c r="L14" s="28"/>
      <c r="M14" s="28"/>
      <c r="N14" s="28"/>
      <c r="O14" s="28"/>
      <c r="P14" s="28"/>
      <c r="Q14" s="28"/>
    </row>
    <row r="15" spans="1:17" s="8" customFormat="1" x14ac:dyDescent="0.15">
      <c r="A15" s="4"/>
      <c r="B15" s="44" t="s">
        <v>5</v>
      </c>
      <c r="C15" s="11">
        <f>C62</f>
        <v>1721.8600000000001</v>
      </c>
      <c r="D15" s="11">
        <f t="shared" ref="D15:G15" si="5">D62</f>
        <v>2183.84</v>
      </c>
      <c r="E15" s="11">
        <f t="shared" si="5"/>
        <v>2563.3900000000003</v>
      </c>
      <c r="F15" s="11">
        <f t="shared" si="5"/>
        <v>3054.79</v>
      </c>
      <c r="G15" s="11">
        <f t="shared" si="5"/>
        <v>3455.23</v>
      </c>
      <c r="H15" s="113">
        <f t="shared" ref="H15:Q15" si="6">H28</f>
        <v>4109.2211326925017</v>
      </c>
      <c r="I15" s="113">
        <f t="shared" si="6"/>
        <v>4912.2206970175221</v>
      </c>
      <c r="J15" s="113">
        <f t="shared" si="6"/>
        <v>5819.611643896611</v>
      </c>
      <c r="K15" s="113">
        <f t="shared" si="6"/>
        <v>6832.8860201742145</v>
      </c>
      <c r="L15" s="113">
        <f t="shared" si="6"/>
        <v>7950.7263565822623</v>
      </c>
      <c r="M15" s="113">
        <f t="shared" si="6"/>
        <v>9168.589640438553</v>
      </c>
      <c r="N15" s="113">
        <f t="shared" si="6"/>
        <v>10478.38269779403</v>
      </c>
      <c r="O15" s="113">
        <f t="shared" si="6"/>
        <v>11868.261300593482</v>
      </c>
      <c r="P15" s="113">
        <f t="shared" si="6"/>
        <v>13322.580989000771</v>
      </c>
      <c r="Q15" s="113">
        <f t="shared" si="6"/>
        <v>14822.020440459641</v>
      </c>
    </row>
    <row r="16" spans="1:17" s="16" customFormat="1" x14ac:dyDescent="0.15">
      <c r="A16" s="5"/>
      <c r="B16" s="112" t="s">
        <v>214</v>
      </c>
      <c r="C16" s="147"/>
      <c r="D16" s="148">
        <f>D15/C15-1</f>
        <v>0.26830288176739114</v>
      </c>
      <c r="E16" s="148">
        <f>E15/D15-1</f>
        <v>0.17379936259066597</v>
      </c>
      <c r="F16" s="148">
        <f t="shared" ref="F16:Q16" si="7">F15/E15-1</f>
        <v>0.19169927322802982</v>
      </c>
      <c r="G16" s="148">
        <f t="shared" si="7"/>
        <v>0.13108593389398293</v>
      </c>
      <c r="H16" s="149">
        <f t="shared" si="7"/>
        <v>0.18927571614407768</v>
      </c>
      <c r="I16" s="149">
        <f t="shared" si="7"/>
        <v>0.19541405497417652</v>
      </c>
      <c r="J16" s="149">
        <f t="shared" si="7"/>
        <v>0.18472112774371396</v>
      </c>
      <c r="K16" s="149">
        <f t="shared" si="7"/>
        <v>0.1741137447445118</v>
      </c>
      <c r="L16" s="149">
        <f t="shared" si="7"/>
        <v>0.16359709983564841</v>
      </c>
      <c r="M16" s="149">
        <f t="shared" si="7"/>
        <v>0.15317635511981154</v>
      </c>
      <c r="N16" s="149">
        <f t="shared" si="7"/>
        <v>0.14285654705043882</v>
      </c>
      <c r="O16" s="149">
        <f t="shared" si="7"/>
        <v>0.13264247383253691</v>
      </c>
      <c r="P16" s="149">
        <f t="shared" si="7"/>
        <v>0.12253856328007928</v>
      </c>
      <c r="Q16" s="149">
        <f t="shared" si="7"/>
        <v>0.11254872105463787</v>
      </c>
    </row>
    <row r="17" spans="1:20" x14ac:dyDescent="0.15">
      <c r="B17" s="34"/>
      <c r="C17" s="18"/>
      <c r="D17" s="18"/>
      <c r="E17" s="18"/>
      <c r="F17" s="19"/>
      <c r="G17" s="19"/>
      <c r="H17" s="28"/>
      <c r="I17" s="28"/>
      <c r="J17" s="28"/>
      <c r="K17" s="28"/>
      <c r="L17" s="28"/>
      <c r="M17" s="28"/>
      <c r="N17" s="28"/>
      <c r="O17" s="28"/>
      <c r="P17" s="28"/>
      <c r="Q17" s="28"/>
    </row>
    <row r="18" spans="1:20" x14ac:dyDescent="0.15">
      <c r="B18" s="34" t="s">
        <v>6</v>
      </c>
      <c r="C18" s="6">
        <v>27.91</v>
      </c>
      <c r="D18" s="6">
        <v>36.08</v>
      </c>
      <c r="E18" s="6">
        <v>38.29</v>
      </c>
      <c r="F18" s="6">
        <v>16.010000000000002</v>
      </c>
      <c r="G18" s="6">
        <v>22.28</v>
      </c>
      <c r="H18" s="31">
        <f t="shared" ref="H18:Q18" si="8">H11*H19</f>
        <v>48.776901603901898</v>
      </c>
      <c r="I18" s="31">
        <f t="shared" si="8"/>
        <v>58.308593735396776</v>
      </c>
      <c r="J18" s="31">
        <f t="shared" si="8"/>
        <v>69.079422927349313</v>
      </c>
      <c r="K18" s="31">
        <f t="shared" si="8"/>
        <v>81.107099938019999</v>
      </c>
      <c r="L18" s="31">
        <f t="shared" si="8"/>
        <v>94.375986263960172</v>
      </c>
      <c r="M18" s="31">
        <f t="shared" si="8"/>
        <v>108.83215585071102</v>
      </c>
      <c r="N18" s="31">
        <f t="shared" si="8"/>
        <v>124.37954184359879</v>
      </c>
      <c r="O18" s="31">
        <f t="shared" si="8"/>
        <v>140.87755196789126</v>
      </c>
      <c r="P18" s="31">
        <f t="shared" si="8"/>
        <v>158.14048478445139</v>
      </c>
      <c r="Q18" s="31">
        <f t="shared" si="8"/>
        <v>175.93899409390178</v>
      </c>
    </row>
    <row r="19" spans="1:20" x14ac:dyDescent="0.15">
      <c r="B19" s="34"/>
      <c r="C19" s="21">
        <f>C18/C11</f>
        <v>1.6219483138362474E-2</v>
      </c>
      <c r="D19" s="21">
        <f>D18/D11</f>
        <v>1.6551521657354139E-2</v>
      </c>
      <c r="E19" s="21">
        <f>E18/E11</f>
        <v>1.4967555312328979E-2</v>
      </c>
      <c r="F19" s="21">
        <f>F18/F11</f>
        <v>5.2504886463512227E-3</v>
      </c>
      <c r="G19" s="21">
        <f>G18/G11</f>
        <v>6.4620542835762884E-3</v>
      </c>
      <c r="H19" s="169">
        <f>AVERAGE(C19:G19)</f>
        <v>1.1890220607594619E-2</v>
      </c>
      <c r="I19" s="169">
        <f t="shared" ref="I19:Q19" si="9">H19</f>
        <v>1.1890220607594619E-2</v>
      </c>
      <c r="J19" s="169">
        <f t="shared" si="9"/>
        <v>1.1890220607594619E-2</v>
      </c>
      <c r="K19" s="169">
        <f t="shared" si="9"/>
        <v>1.1890220607594619E-2</v>
      </c>
      <c r="L19" s="169">
        <f t="shared" si="9"/>
        <v>1.1890220607594619E-2</v>
      </c>
      <c r="M19" s="169">
        <f t="shared" si="9"/>
        <v>1.1890220607594619E-2</v>
      </c>
      <c r="N19" s="169">
        <f t="shared" si="9"/>
        <v>1.1890220607594619E-2</v>
      </c>
      <c r="O19" s="169">
        <f t="shared" si="9"/>
        <v>1.1890220607594619E-2</v>
      </c>
      <c r="P19" s="169">
        <f t="shared" si="9"/>
        <v>1.1890220607594619E-2</v>
      </c>
      <c r="Q19" s="169">
        <f t="shared" si="9"/>
        <v>1.1890220607594619E-2</v>
      </c>
    </row>
    <row r="20" spans="1:20" x14ac:dyDescent="0.15">
      <c r="B20" s="34"/>
      <c r="C20" s="18"/>
      <c r="D20" s="18"/>
      <c r="E20" s="18"/>
      <c r="F20" s="19"/>
      <c r="G20" s="19"/>
      <c r="H20" s="28"/>
      <c r="I20" s="28"/>
      <c r="J20" s="28"/>
      <c r="K20" s="28"/>
      <c r="L20" s="28"/>
      <c r="M20" s="28"/>
      <c r="N20" s="28"/>
      <c r="O20" s="28"/>
      <c r="P20" s="28"/>
      <c r="Q20" s="28"/>
    </row>
    <row r="21" spans="1:20" s="16" customFormat="1" x14ac:dyDescent="0.15">
      <c r="A21" s="5"/>
      <c r="C21" s="247"/>
      <c r="D21" s="189"/>
      <c r="E21" s="189"/>
      <c r="F21" s="189"/>
      <c r="G21" s="189"/>
      <c r="H21" s="59"/>
      <c r="I21" s="59"/>
      <c r="J21" s="59"/>
      <c r="K21" s="59"/>
      <c r="L21" s="59"/>
      <c r="M21" s="59"/>
      <c r="N21" s="59"/>
      <c r="O21" s="59"/>
      <c r="P21" s="59"/>
      <c r="Q21" s="59"/>
    </row>
    <row r="22" spans="1:20" s="16" customFormat="1" x14ac:dyDescent="0.15">
      <c r="A22" s="5"/>
      <c r="B22" s="34" t="s">
        <v>262</v>
      </c>
      <c r="C22" s="20">
        <v>0</v>
      </c>
      <c r="D22" s="20">
        <v>0</v>
      </c>
      <c r="E22" s="20">
        <v>25.32</v>
      </c>
      <c r="F22" s="20">
        <v>-4.1100000000000003</v>
      </c>
      <c r="G22" s="20">
        <v>7.61</v>
      </c>
      <c r="H22" s="59">
        <f t="shared" ref="H22:Q22" si="10">H23*H11</f>
        <v>14.709236838783257</v>
      </c>
      <c r="I22" s="59">
        <f t="shared" si="10"/>
        <v>17.58362845502543</v>
      </c>
      <c r="J22" s="59">
        <f t="shared" si="10"/>
        <v>20.831696133064185</v>
      </c>
      <c r="K22" s="59">
        <f t="shared" si="10"/>
        <v>24.458780756171759</v>
      </c>
      <c r="L22" s="59">
        <f t="shared" si="10"/>
        <v>28.460166353397426</v>
      </c>
      <c r="M22" s="59">
        <f t="shared" si="10"/>
        <v>32.819590901514346</v>
      </c>
      <c r="N22" s="59">
        <f t="shared" si="10"/>
        <v>37.508084333312681</v>
      </c>
      <c r="O22" s="59">
        <f t="shared" si="10"/>
        <v>42.483249428002694</v>
      </c>
      <c r="P22" s="59">
        <f t="shared" si="10"/>
        <v>47.6890857763794</v>
      </c>
      <c r="Q22" s="59">
        <f t="shared" si="10"/>
        <v>53.05643138877582</v>
      </c>
    </row>
    <row r="23" spans="1:20" x14ac:dyDescent="0.15">
      <c r="B23" s="34"/>
      <c r="C23" s="189">
        <f>C22/C11</f>
        <v>0</v>
      </c>
      <c r="D23" s="189">
        <f>D22/D11</f>
        <v>0</v>
      </c>
      <c r="E23" s="189">
        <f>E22/E11</f>
        <v>9.8975842389179888E-3</v>
      </c>
      <c r="F23" s="189">
        <f>F22/F11</f>
        <v>-1.3478768480014694E-3</v>
      </c>
      <c r="G23" s="189">
        <f>G22/G11</f>
        <v>2.2071917907547376E-3</v>
      </c>
      <c r="H23" s="169">
        <f>AVERAGE(E23:G23)</f>
        <v>3.5856330605570862E-3</v>
      </c>
      <c r="I23" s="169">
        <f t="shared" ref="I23:Q23" si="11">H23</f>
        <v>3.5856330605570862E-3</v>
      </c>
      <c r="J23" s="169">
        <f t="shared" si="11"/>
        <v>3.5856330605570862E-3</v>
      </c>
      <c r="K23" s="169">
        <f t="shared" si="11"/>
        <v>3.5856330605570862E-3</v>
      </c>
      <c r="L23" s="169">
        <f t="shared" si="11"/>
        <v>3.5856330605570862E-3</v>
      </c>
      <c r="M23" s="169">
        <f t="shared" si="11"/>
        <v>3.5856330605570862E-3</v>
      </c>
      <c r="N23" s="169">
        <f t="shared" si="11"/>
        <v>3.5856330605570862E-3</v>
      </c>
      <c r="O23" s="169">
        <f t="shared" si="11"/>
        <v>3.5856330605570862E-3</v>
      </c>
      <c r="P23" s="169">
        <f t="shared" si="11"/>
        <v>3.5856330605570862E-3</v>
      </c>
      <c r="Q23" s="169">
        <f t="shared" si="11"/>
        <v>3.5856330605570862E-3</v>
      </c>
    </row>
    <row r="24" spans="1:20" x14ac:dyDescent="0.15">
      <c r="B24" s="44" t="s">
        <v>354</v>
      </c>
      <c r="C24" s="4"/>
      <c r="H24" s="27"/>
      <c r="I24" s="27"/>
      <c r="J24" s="27"/>
      <c r="K24" s="27"/>
      <c r="L24" s="27"/>
      <c r="M24" s="27"/>
      <c r="N24" s="27"/>
      <c r="O24" s="27"/>
      <c r="P24" s="27"/>
      <c r="Q24" s="27"/>
    </row>
    <row r="25" spans="1:20" x14ac:dyDescent="0.15">
      <c r="B25" s="37" t="s">
        <v>320</v>
      </c>
      <c r="C25" s="240">
        <v>0.67420696223850951</v>
      </c>
      <c r="D25" s="240">
        <v>0.67992618506850322</v>
      </c>
      <c r="E25" s="240">
        <v>0.61934001459005461</v>
      </c>
      <c r="F25" s="240">
        <v>0.56943030453811883</v>
      </c>
      <c r="G25" s="240">
        <v>0.57319483797026538</v>
      </c>
      <c r="H25" s="27">
        <f>$J$32*H$28</f>
        <v>2339.915041003565</v>
      </c>
      <c r="I25" s="27">
        <f t="shared" ref="I25:Q25" si="12">$J$32*I$28</f>
        <v>2797.167327461138</v>
      </c>
      <c r="J25" s="27">
        <f t="shared" si="12"/>
        <v>3313.8632306776294</v>
      </c>
      <c r="K25" s="27">
        <f t="shared" si="12"/>
        <v>3890.8523673420577</v>
      </c>
      <c r="L25" s="27">
        <f t="shared" si="12"/>
        <v>4527.3845305278855</v>
      </c>
      <c r="M25" s="27">
        <f t="shared" si="12"/>
        <v>5220.8727911399665</v>
      </c>
      <c r="N25" s="27">
        <f t="shared" si="12"/>
        <v>5966.7086506718097</v>
      </c>
      <c r="O25" s="27">
        <f t="shared" si="12"/>
        <v>6758.1476467349166</v>
      </c>
      <c r="P25" s="27">
        <f t="shared" si="12"/>
        <v>7586.2813498004616</v>
      </c>
      <c r="Q25" s="27">
        <f t="shared" si="12"/>
        <v>8440.1076132811559</v>
      </c>
    </row>
    <row r="26" spans="1:20" x14ac:dyDescent="0.15">
      <c r="B26" s="37" t="s">
        <v>321</v>
      </c>
      <c r="C26" s="240">
        <v>0.16699963992426795</v>
      </c>
      <c r="D26" s="240">
        <v>0.17655139570664521</v>
      </c>
      <c r="E26" s="240">
        <v>0.24411423934711457</v>
      </c>
      <c r="F26" s="240">
        <v>0.27149493091178117</v>
      </c>
      <c r="G26" s="240">
        <v>0.26998202724565368</v>
      </c>
      <c r="H26" s="27">
        <f t="shared" ref="H26:Q26" si="13">$J$33*H$28</f>
        <v>1115.632707521582</v>
      </c>
      <c r="I26" s="27">
        <f t="shared" si="13"/>
        <v>1333.6430187601936</v>
      </c>
      <c r="J26" s="27">
        <f t="shared" si="13"/>
        <v>1579.9950611931076</v>
      </c>
      <c r="K26" s="27">
        <f t="shared" si="13"/>
        <v>1855.0939179752738</v>
      </c>
      <c r="L26" s="27">
        <f t="shared" si="13"/>
        <v>2158.5819028787791</v>
      </c>
      <c r="M26" s="27">
        <f t="shared" si="13"/>
        <v>2489.2256109893374</v>
      </c>
      <c r="N26" s="27">
        <f t="shared" si="13"/>
        <v>2844.8277866047933</v>
      </c>
      <c r="O26" s="27">
        <f t="shared" si="13"/>
        <v>3222.1727818475933</v>
      </c>
      <c r="P26" s="27">
        <f t="shared" si="13"/>
        <v>3617.0132051753735</v>
      </c>
      <c r="Q26" s="27">
        <f t="shared" si="13"/>
        <v>4024.1034154555987</v>
      </c>
    </row>
    <row r="27" spans="1:20" x14ac:dyDescent="0.15">
      <c r="B27" s="37" t="s">
        <v>322</v>
      </c>
      <c r="C27" s="240">
        <v>0.15879339783722254</v>
      </c>
      <c r="D27" s="240">
        <v>0.14352241922485165</v>
      </c>
      <c r="E27" s="240">
        <v>0.13654574606283085</v>
      </c>
      <c r="F27" s="240">
        <v>0.1590747645501</v>
      </c>
      <c r="G27" s="240">
        <v>0.15682313478408094</v>
      </c>
      <c r="H27" s="27">
        <f t="shared" ref="H27:Q27" si="14">$J$34*H$28</f>
        <v>653.67338416735493</v>
      </c>
      <c r="I27" s="27">
        <f t="shared" si="14"/>
        <v>781.41035079619041</v>
      </c>
      <c r="J27" s="27">
        <f t="shared" si="14"/>
        <v>925.75335202587382</v>
      </c>
      <c r="K27" s="27">
        <f t="shared" si="14"/>
        <v>1086.939734856883</v>
      </c>
      <c r="L27" s="27">
        <f t="shared" si="14"/>
        <v>1264.7599231755978</v>
      </c>
      <c r="M27" s="27">
        <f t="shared" si="14"/>
        <v>1458.491238309249</v>
      </c>
      <c r="N27" s="27">
        <f t="shared" si="14"/>
        <v>1666.846260517427</v>
      </c>
      <c r="O27" s="27">
        <f t="shared" si="14"/>
        <v>1887.9408720109718</v>
      </c>
      <c r="P27" s="27">
        <f t="shared" si="14"/>
        <v>2119.2864340249362</v>
      </c>
      <c r="Q27" s="27">
        <f t="shared" si="14"/>
        <v>2357.809411722887</v>
      </c>
    </row>
    <row r="28" spans="1:20" x14ac:dyDescent="0.15">
      <c r="A28" s="308"/>
      <c r="B28" s="521" t="s">
        <v>323</v>
      </c>
      <c r="C28" s="436">
        <f t="shared" ref="C28:G28" si="15">C15</f>
        <v>1721.8600000000001</v>
      </c>
      <c r="D28" s="436">
        <f t="shared" si="15"/>
        <v>2183.84</v>
      </c>
      <c r="E28" s="436">
        <f t="shared" si="15"/>
        <v>2563.3900000000003</v>
      </c>
      <c r="F28" s="436">
        <f t="shared" si="15"/>
        <v>3054.79</v>
      </c>
      <c r="G28" s="436">
        <f t="shared" si="15"/>
        <v>3455.23</v>
      </c>
      <c r="H28" s="113">
        <f t="shared" ref="H28:Q28" si="16">H62</f>
        <v>4109.2211326925017</v>
      </c>
      <c r="I28" s="113">
        <f t="shared" si="16"/>
        <v>4912.2206970175221</v>
      </c>
      <c r="J28" s="113">
        <f t="shared" si="16"/>
        <v>5819.611643896611</v>
      </c>
      <c r="K28" s="113">
        <f t="shared" si="16"/>
        <v>6832.8860201742145</v>
      </c>
      <c r="L28" s="113">
        <f t="shared" si="16"/>
        <v>7950.7263565822623</v>
      </c>
      <c r="M28" s="113">
        <f t="shared" si="16"/>
        <v>9168.589640438553</v>
      </c>
      <c r="N28" s="113">
        <f t="shared" si="16"/>
        <v>10478.38269779403</v>
      </c>
      <c r="O28" s="113">
        <f t="shared" si="16"/>
        <v>11868.261300593482</v>
      </c>
      <c r="P28" s="113">
        <f t="shared" si="16"/>
        <v>13322.580989000771</v>
      </c>
      <c r="Q28" s="113">
        <f t="shared" si="16"/>
        <v>14822.020440459641</v>
      </c>
      <c r="T28" s="38"/>
    </row>
    <row r="29" spans="1:20" x14ac:dyDescent="0.15">
      <c r="A29" s="308"/>
      <c r="B29" s="521"/>
      <c r="C29" s="184"/>
      <c r="D29" s="184"/>
      <c r="E29" s="184"/>
      <c r="F29" s="184"/>
      <c r="G29" s="184"/>
      <c r="H29" s="27"/>
      <c r="I29" s="27"/>
      <c r="J29" s="27"/>
      <c r="K29" s="27"/>
      <c r="L29" s="27"/>
      <c r="M29" s="27"/>
      <c r="N29" s="27"/>
      <c r="O29" s="27"/>
      <c r="P29" s="27"/>
      <c r="Q29" s="27"/>
    </row>
    <row r="30" spans="1:20" ht="15" customHeight="1" x14ac:dyDescent="0.15">
      <c r="C30" s="138"/>
      <c r="D30" s="184"/>
      <c r="H30" s="27"/>
      <c r="I30" s="27"/>
      <c r="J30" s="27"/>
      <c r="K30" s="27"/>
      <c r="L30" s="27"/>
      <c r="M30" s="27"/>
      <c r="N30" s="27"/>
      <c r="O30" s="27"/>
      <c r="P30" s="27"/>
      <c r="Q30" s="27"/>
    </row>
    <row r="31" spans="1:20" ht="16" x14ac:dyDescent="0.2">
      <c r="B31" s="378" t="s">
        <v>356</v>
      </c>
      <c r="C31" s="369" t="s">
        <v>320</v>
      </c>
      <c r="D31" s="4"/>
      <c r="E31" s="4" t="s">
        <v>321</v>
      </c>
      <c r="G31" s="374" t="s">
        <v>355</v>
      </c>
      <c r="H31" s="431" t="s">
        <v>393</v>
      </c>
      <c r="I31" s="27"/>
      <c r="J31" s="431" t="s">
        <v>391</v>
      </c>
      <c r="K31" s="27"/>
      <c r="L31" s="27"/>
      <c r="M31" s="27"/>
      <c r="N31" s="27"/>
      <c r="O31" s="27"/>
      <c r="P31" s="27"/>
      <c r="Q31" s="27"/>
      <c r="R31" s="376"/>
    </row>
    <row r="32" spans="1:20" ht="15" customHeight="1" x14ac:dyDescent="0.15">
      <c r="B32" s="37" t="s">
        <v>350</v>
      </c>
      <c r="C32" s="371">
        <v>4.7100000000000003E-2</v>
      </c>
      <c r="D32" s="373"/>
      <c r="E32" s="367">
        <v>3.7699999999999997E-2</v>
      </c>
      <c r="F32" s="373"/>
      <c r="G32" s="372">
        <v>4.8300000000000003E-2</v>
      </c>
      <c r="H32" s="432">
        <f t="shared" ref="H32:H35" si="17">MIN(C32:G32)</f>
        <v>3.7699999999999997E-2</v>
      </c>
      <c r="I32" s="27"/>
      <c r="J32" s="177">
        <f>MIN(C25:G25)</f>
        <v>0.56943030453811883</v>
      </c>
      <c r="K32" s="27"/>
      <c r="L32" s="27"/>
      <c r="M32" s="27"/>
      <c r="N32" s="27"/>
      <c r="O32" s="27"/>
      <c r="P32" s="27"/>
      <c r="Q32" s="27"/>
      <c r="R32" s="366"/>
    </row>
    <row r="33" spans="2:18" x14ac:dyDescent="0.15">
      <c r="B33" s="37" t="s">
        <v>351</v>
      </c>
      <c r="C33" s="370">
        <v>0.12429999999999999</v>
      </c>
      <c r="D33" s="367"/>
      <c r="E33" s="367">
        <v>0.153</v>
      </c>
      <c r="F33" s="367"/>
      <c r="G33" s="367">
        <v>0.2094</v>
      </c>
      <c r="H33" s="432">
        <f t="shared" si="17"/>
        <v>0.12429999999999999</v>
      </c>
      <c r="I33" s="27"/>
      <c r="J33" s="177">
        <f>MAX(C26:G26)</f>
        <v>0.27149493091178117</v>
      </c>
      <c r="K33" s="27"/>
      <c r="L33" s="27"/>
      <c r="M33" s="27"/>
      <c r="N33" s="27"/>
      <c r="O33" s="27"/>
      <c r="P33" s="27"/>
      <c r="Q33" s="27"/>
      <c r="R33" s="376"/>
    </row>
    <row r="34" spans="2:18" x14ac:dyDescent="0.15">
      <c r="B34" s="37" t="s">
        <v>352</v>
      </c>
      <c r="C34" s="370">
        <v>4.8300000000000003E-2</v>
      </c>
      <c r="D34" s="367"/>
      <c r="E34" s="367">
        <v>3.3799999999999997E-2</v>
      </c>
      <c r="F34" s="367"/>
      <c r="G34" s="367">
        <v>5.8400000000000001E-2</v>
      </c>
      <c r="H34" s="432">
        <f t="shared" si="17"/>
        <v>3.3799999999999997E-2</v>
      </c>
      <c r="I34" s="27"/>
      <c r="J34" s="177">
        <f>MAX(C27:G27)</f>
        <v>0.1590747645501</v>
      </c>
      <c r="K34" s="27"/>
      <c r="L34" s="27"/>
      <c r="M34" s="27"/>
      <c r="N34" s="27"/>
      <c r="O34" s="27"/>
      <c r="P34" s="27"/>
      <c r="Q34" s="27"/>
    </row>
    <row r="35" spans="2:18" x14ac:dyDescent="0.15">
      <c r="B35" s="5" t="s">
        <v>353</v>
      </c>
      <c r="C35" s="370">
        <v>0.26329999999999998</v>
      </c>
      <c r="D35" s="367"/>
      <c r="E35" s="367">
        <v>0.26879999999999998</v>
      </c>
      <c r="F35" s="367"/>
      <c r="G35" s="367">
        <v>0.2661</v>
      </c>
      <c r="H35" s="432">
        <f t="shared" si="17"/>
        <v>0.26329999999999998</v>
      </c>
      <c r="I35" s="27"/>
      <c r="J35" s="27"/>
      <c r="K35" s="27"/>
      <c r="L35" s="27"/>
      <c r="M35" s="27"/>
      <c r="N35" s="27"/>
      <c r="O35" s="27"/>
      <c r="P35" s="27"/>
      <c r="Q35" s="27"/>
    </row>
    <row r="36" spans="2:18" x14ac:dyDescent="0.15">
      <c r="C36" s="375"/>
      <c r="D36" s="368"/>
      <c r="E36" s="368"/>
      <c r="F36" s="368"/>
      <c r="G36" s="368"/>
      <c r="H36" s="27"/>
      <c r="I36" s="27"/>
      <c r="J36" s="27"/>
      <c r="K36" s="27"/>
      <c r="L36" s="27"/>
      <c r="M36" s="27"/>
      <c r="N36" s="27"/>
      <c r="O36" s="27"/>
      <c r="P36" s="27"/>
      <c r="Q36" s="27"/>
    </row>
    <row r="37" spans="2:18" ht="16" x14ac:dyDescent="0.2">
      <c r="B37" s="378" t="s">
        <v>388</v>
      </c>
      <c r="C37" s="427">
        <v>2021</v>
      </c>
      <c r="D37" s="428">
        <v>2022</v>
      </c>
      <c r="E37" s="428">
        <v>2023</v>
      </c>
      <c r="F37" s="428">
        <v>2024</v>
      </c>
      <c r="G37" s="428">
        <v>2025</v>
      </c>
      <c r="H37" s="430">
        <v>2026</v>
      </c>
      <c r="I37" s="430">
        <v>2027</v>
      </c>
      <c r="J37" s="430">
        <v>2028</v>
      </c>
      <c r="K37" s="430">
        <v>2029</v>
      </c>
      <c r="L37" s="430">
        <v>2030</v>
      </c>
      <c r="M37" s="430">
        <v>2031</v>
      </c>
      <c r="N37" s="430">
        <v>2032</v>
      </c>
      <c r="O37" s="430">
        <v>2033</v>
      </c>
      <c r="P37" s="430">
        <v>2034</v>
      </c>
      <c r="Q37" s="430">
        <v>2035</v>
      </c>
    </row>
    <row r="38" spans="2:18" x14ac:dyDescent="0.15">
      <c r="B38" s="2" t="s">
        <v>350</v>
      </c>
      <c r="C38" s="244">
        <v>822.69</v>
      </c>
      <c r="D38" s="6">
        <v>994.28</v>
      </c>
      <c r="E38" s="6">
        <v>1110.71</v>
      </c>
      <c r="F38" s="6">
        <v>1352.87</v>
      </c>
      <c r="G38" s="6">
        <v>1605.38</v>
      </c>
      <c r="H38" s="31">
        <f t="shared" ref="H38:Q38" si="18">G38*(1+H$39)</f>
        <v>1879.2345670646378</v>
      </c>
      <c r="I38" s="31">
        <f t="shared" si="18"/>
        <v>2189.3394365833606</v>
      </c>
      <c r="J38" s="31">
        <f t="shared" si="18"/>
        <v>2524.344679232795</v>
      </c>
      <c r="K38" s="31">
        <f t="shared" si="18"/>
        <v>2880.3191437133432</v>
      </c>
      <c r="L38" s="31">
        <f t="shared" si="18"/>
        <v>3251.928081579319</v>
      </c>
      <c r="M38" s="31">
        <f t="shared" si="18"/>
        <v>3632.4575983574396</v>
      </c>
      <c r="N38" s="31">
        <f t="shared" si="18"/>
        <v>4013.9258882670279</v>
      </c>
      <c r="O38" s="31">
        <f t="shared" si="18"/>
        <v>4387.2875643756124</v>
      </c>
      <c r="P38" s="31">
        <f t="shared" si="18"/>
        <v>4742.7306175642625</v>
      </c>
      <c r="Q38" s="31">
        <f t="shared" si="18"/>
        <v>5070.0576854555229</v>
      </c>
    </row>
    <row r="39" spans="2:18" x14ac:dyDescent="0.15">
      <c r="C39" s="244"/>
      <c r="D39" s="429">
        <f t="shared" ref="D39:G39" si="19">D38/C38-1</f>
        <v>0.20857188005202443</v>
      </c>
      <c r="E39" s="429">
        <f t="shared" si="19"/>
        <v>0.11709981091845356</v>
      </c>
      <c r="F39" s="429">
        <f t="shared" si="19"/>
        <v>0.21802270619693687</v>
      </c>
      <c r="G39" s="429">
        <f t="shared" si="19"/>
        <v>0.18664764537612655</v>
      </c>
      <c r="H39" s="192">
        <f t="array" ref="H39:Q39">CHOOSE(Assumptions!D18,'Revenue Buildup'!H40:Q40,'Revenue Buildup'!H41:Q41,'Revenue Buildup'!H42:Q42)</f>
        <v>0.17058551063588534</v>
      </c>
      <c r="I39" s="192">
        <v>0.16501658438685821</v>
      </c>
      <c r="J39" s="192">
        <v>0.1530165843868582</v>
      </c>
      <c r="K39" s="192">
        <v>0.14101658438685818</v>
      </c>
      <c r="L39" s="192">
        <v>0.12901658438685817</v>
      </c>
      <c r="M39" s="192">
        <v>0.11701658438685818</v>
      </c>
      <c r="N39" s="192">
        <v>0.10501658438685818</v>
      </c>
      <c r="O39" s="192">
        <v>9.3016584386858184E-2</v>
      </c>
      <c r="P39" s="192">
        <v>8.1016584386858187E-2</v>
      </c>
      <c r="Q39" s="192">
        <v>6.901658438685819E-2</v>
      </c>
    </row>
    <row r="40" spans="2:18" x14ac:dyDescent="0.15">
      <c r="C40" s="244"/>
      <c r="D40" s="6"/>
      <c r="E40" s="6"/>
      <c r="F40" s="6"/>
      <c r="G40" s="6"/>
      <c r="H40" s="169">
        <f>H41+0.05</f>
        <v>0.22058551063588533</v>
      </c>
      <c r="I40" s="169">
        <f t="shared" ref="I40:Q40" si="20">I41+0.05</f>
        <v>0.21501658438685822</v>
      </c>
      <c r="J40" s="169">
        <f t="shared" si="20"/>
        <v>0.20301658438685821</v>
      </c>
      <c r="K40" s="169">
        <f t="shared" si="20"/>
        <v>0.1910165843868582</v>
      </c>
      <c r="L40" s="169">
        <f t="shared" si="20"/>
        <v>0.17901658438685819</v>
      </c>
      <c r="M40" s="169">
        <f t="shared" si="20"/>
        <v>0.16701658438685818</v>
      </c>
      <c r="N40" s="169">
        <f t="shared" si="20"/>
        <v>0.15501658438685817</v>
      </c>
      <c r="O40" s="169">
        <f t="shared" si="20"/>
        <v>0.14301658438685819</v>
      </c>
      <c r="P40" s="169">
        <f t="shared" si="20"/>
        <v>0.1310165843868582</v>
      </c>
      <c r="Q40" s="169">
        <f t="shared" si="20"/>
        <v>0.11901658438685819</v>
      </c>
    </row>
    <row r="41" spans="2:18" x14ac:dyDescent="0.15">
      <c r="C41" s="244"/>
      <c r="D41" s="6"/>
      <c r="E41" s="6"/>
      <c r="F41" s="6"/>
      <c r="G41" s="6"/>
      <c r="H41" s="169">
        <f>AVERAGE(D39:G39)-0.012</f>
        <v>0.17058551063588534</v>
      </c>
      <c r="I41" s="169">
        <f>(H41*(1+$H$32))-0.012</f>
        <v>0.16501658438685821</v>
      </c>
      <c r="J41" s="169">
        <f>I41-0.012</f>
        <v>0.1530165843868582</v>
      </c>
      <c r="K41" s="169">
        <f t="shared" ref="K41:Q41" si="21">J41-0.012</f>
        <v>0.14101658438685818</v>
      </c>
      <c r="L41" s="169">
        <f t="shared" si="21"/>
        <v>0.12901658438685817</v>
      </c>
      <c r="M41" s="169">
        <f t="shared" si="21"/>
        <v>0.11701658438685818</v>
      </c>
      <c r="N41" s="169">
        <f t="shared" si="21"/>
        <v>0.10501658438685818</v>
      </c>
      <c r="O41" s="169">
        <f t="shared" si="21"/>
        <v>9.3016584386858184E-2</v>
      </c>
      <c r="P41" s="169">
        <f t="shared" si="21"/>
        <v>8.1016584386858187E-2</v>
      </c>
      <c r="Q41" s="169">
        <f t="shared" si="21"/>
        <v>6.901658438685819E-2</v>
      </c>
    </row>
    <row r="42" spans="2:18" x14ac:dyDescent="0.15">
      <c r="C42" s="244"/>
      <c r="D42" s="6"/>
      <c r="E42" s="6"/>
      <c r="F42" s="6"/>
      <c r="G42" s="6"/>
      <c r="H42" s="169">
        <f>H41-0.05</f>
        <v>0.12058551063588534</v>
      </c>
      <c r="I42" s="169">
        <f t="shared" ref="I42:Q42" si="22">I41-0.05</f>
        <v>0.1150165843868582</v>
      </c>
      <c r="J42" s="169">
        <f t="shared" si="22"/>
        <v>0.10301658438685819</v>
      </c>
      <c r="K42" s="169">
        <f t="shared" si="22"/>
        <v>9.1016584386858182E-2</v>
      </c>
      <c r="L42" s="169">
        <f t="shared" si="22"/>
        <v>7.9016584386858171E-2</v>
      </c>
      <c r="M42" s="169">
        <f t="shared" si="22"/>
        <v>6.7016584386858175E-2</v>
      </c>
      <c r="N42" s="169">
        <f t="shared" si="22"/>
        <v>5.5016584386858178E-2</v>
      </c>
      <c r="O42" s="169">
        <f t="shared" si="22"/>
        <v>4.3016584386858181E-2</v>
      </c>
      <c r="P42" s="169">
        <f t="shared" si="22"/>
        <v>3.1016584386858184E-2</v>
      </c>
      <c r="Q42" s="169">
        <f t="shared" si="22"/>
        <v>1.9016584386858187E-2</v>
      </c>
    </row>
    <row r="43" spans="2:18" x14ac:dyDescent="0.15">
      <c r="C43" s="244"/>
      <c r="D43" s="6"/>
      <c r="E43" s="6"/>
      <c r="F43" s="6"/>
      <c r="G43" s="6"/>
      <c r="H43" s="31"/>
      <c r="I43" s="31"/>
      <c r="J43" s="31"/>
      <c r="K43" s="31"/>
      <c r="L43" s="31"/>
      <c r="M43" s="31"/>
      <c r="N43" s="31"/>
      <c r="O43" s="31"/>
      <c r="P43" s="31"/>
      <c r="Q43" s="31"/>
    </row>
    <row r="44" spans="2:18" x14ac:dyDescent="0.15">
      <c r="B44" s="2" t="s">
        <v>351</v>
      </c>
      <c r="C44" s="244">
        <v>522.72</v>
      </c>
      <c r="D44" s="6">
        <v>720</v>
      </c>
      <c r="E44" s="6">
        <v>816.19</v>
      </c>
      <c r="F44" s="6">
        <v>944.54</v>
      </c>
      <c r="G44" s="6">
        <v>1081.3</v>
      </c>
      <c r="H44" s="31">
        <f>G44*(1+H$45)</f>
        <v>1288.1128976151606</v>
      </c>
      <c r="I44" s="31">
        <f t="shared" ref="I44:Q44" si="23">H44*(1+I$45)</f>
        <v>1549.6477532017648</v>
      </c>
      <c r="J44" s="31">
        <f t="shared" si="23"/>
        <v>1845.6881445042845</v>
      </c>
      <c r="K44" s="31">
        <f t="shared" si="23"/>
        <v>2176.1350100119785</v>
      </c>
      <c r="L44" s="31">
        <f t="shared" si="23"/>
        <v>2539.6305419694449</v>
      </c>
      <c r="M44" s="31">
        <f t="shared" si="23"/>
        <v>2933.3677888167308</v>
      </c>
      <c r="N44" s="31">
        <f t="shared" si="23"/>
        <v>3352.9485484673723</v>
      </c>
      <c r="O44" s="31">
        <f t="shared" si="23"/>
        <v>3792.309588945604</v>
      </c>
      <c r="P44" s="31">
        <f t="shared" si="23"/>
        <v>4243.7355615652723</v>
      </c>
      <c r="Q44" s="31">
        <f t="shared" si="23"/>
        <v>4697.9731980928173</v>
      </c>
    </row>
    <row r="45" spans="2:18" x14ac:dyDescent="0.15">
      <c r="C45" s="244"/>
      <c r="D45" s="429">
        <f t="shared" ref="D45:G45" si="24">D44/C44-1</f>
        <v>0.37741046831955916</v>
      </c>
      <c r="E45" s="429">
        <f t="shared" si="24"/>
        <v>0.13359722222222237</v>
      </c>
      <c r="F45" s="429">
        <f t="shared" si="24"/>
        <v>0.1572550509072641</v>
      </c>
      <c r="G45" s="429">
        <f t="shared" si="24"/>
        <v>0.14479005653545651</v>
      </c>
      <c r="H45" s="192">
        <f t="array" ref="H45:Q45">CHOOSE(Assumptions!D18,'Revenue Buildup'!H46:Q46,'Revenue Buildup'!H47:Q47,'Revenue Buildup'!H48:Q48)</f>
        <v>0.19126319949612552</v>
      </c>
      <c r="I45" s="192">
        <v>0.20303721519349394</v>
      </c>
      <c r="J45" s="192">
        <v>0.19103721519349393</v>
      </c>
      <c r="K45" s="192">
        <v>0.17903721519349391</v>
      </c>
      <c r="L45" s="192">
        <v>0.1670372151934939</v>
      </c>
      <c r="M45" s="192">
        <v>0.15503721519349389</v>
      </c>
      <c r="N45" s="192">
        <v>0.14303721519349388</v>
      </c>
      <c r="O45" s="192">
        <v>0.13103721519349387</v>
      </c>
      <c r="P45" s="192">
        <v>0.11903721519349388</v>
      </c>
      <c r="Q45" s="192">
        <v>0.10703721519349388</v>
      </c>
    </row>
    <row r="46" spans="2:18" x14ac:dyDescent="0.15">
      <c r="C46" s="244"/>
      <c r="D46" s="6"/>
      <c r="E46" s="6"/>
      <c r="F46" s="6"/>
      <c r="G46" s="6"/>
      <c r="H46" s="169">
        <f>H47+0.05</f>
        <v>0.24126319949612551</v>
      </c>
      <c r="I46" s="169">
        <f t="shared" ref="I46:Q46" si="25">I47+0.05</f>
        <v>0.25303721519349393</v>
      </c>
      <c r="J46" s="169">
        <f t="shared" si="25"/>
        <v>0.24103721519349391</v>
      </c>
      <c r="K46" s="169">
        <f t="shared" si="25"/>
        <v>0.2290372151934939</v>
      </c>
      <c r="L46" s="169">
        <f t="shared" si="25"/>
        <v>0.21703721519349389</v>
      </c>
      <c r="M46" s="169">
        <f t="shared" si="25"/>
        <v>0.20503721519349388</v>
      </c>
      <c r="N46" s="169">
        <f t="shared" si="25"/>
        <v>0.19303721519349387</v>
      </c>
      <c r="O46" s="169">
        <f t="shared" si="25"/>
        <v>0.18103721519349386</v>
      </c>
      <c r="P46" s="169">
        <f t="shared" si="25"/>
        <v>0.16903721519349388</v>
      </c>
      <c r="Q46" s="169">
        <f t="shared" si="25"/>
        <v>0.1570372151934939</v>
      </c>
    </row>
    <row r="47" spans="2:18" x14ac:dyDescent="0.15">
      <c r="C47" s="244"/>
      <c r="D47" s="6"/>
      <c r="E47" s="6"/>
      <c r="F47" s="6"/>
      <c r="G47" s="6"/>
      <c r="H47" s="169">
        <f>AVERAGE(D45:G45)-0.012</f>
        <v>0.19126319949612552</v>
      </c>
      <c r="I47" s="169">
        <f>(H47*(1+$H$33))-0.012</f>
        <v>0.20303721519349394</v>
      </c>
      <c r="J47" s="169">
        <f>I47-0.012</f>
        <v>0.19103721519349393</v>
      </c>
      <c r="K47" s="169">
        <f t="shared" ref="K47:Q47" si="26">J47-0.012</f>
        <v>0.17903721519349391</v>
      </c>
      <c r="L47" s="169">
        <f t="shared" si="26"/>
        <v>0.1670372151934939</v>
      </c>
      <c r="M47" s="169">
        <f t="shared" si="26"/>
        <v>0.15503721519349389</v>
      </c>
      <c r="N47" s="169">
        <f t="shared" si="26"/>
        <v>0.14303721519349388</v>
      </c>
      <c r="O47" s="169">
        <f t="shared" si="26"/>
        <v>0.13103721519349387</v>
      </c>
      <c r="P47" s="169">
        <f t="shared" si="26"/>
        <v>0.11903721519349388</v>
      </c>
      <c r="Q47" s="169">
        <f t="shared" si="26"/>
        <v>0.10703721519349388</v>
      </c>
    </row>
    <row r="48" spans="2:18" x14ac:dyDescent="0.15">
      <c r="C48" s="244"/>
      <c r="D48" s="6"/>
      <c r="E48" s="6"/>
      <c r="F48" s="6"/>
      <c r="G48" s="6"/>
      <c r="H48" s="169">
        <f>H47-0.05</f>
        <v>0.14126319949612554</v>
      </c>
      <c r="I48" s="169">
        <f t="shared" ref="I48:Q48" si="27">I47-0.05</f>
        <v>0.15303721519349395</v>
      </c>
      <c r="J48" s="169">
        <f t="shared" si="27"/>
        <v>0.14103721519349394</v>
      </c>
      <c r="K48" s="169">
        <f t="shared" si="27"/>
        <v>0.12903721519349393</v>
      </c>
      <c r="L48" s="169">
        <f t="shared" si="27"/>
        <v>0.1170372151934939</v>
      </c>
      <c r="M48" s="169">
        <f t="shared" si="27"/>
        <v>0.10503721519349389</v>
      </c>
      <c r="N48" s="169">
        <f t="shared" si="27"/>
        <v>9.303721519349388E-2</v>
      </c>
      <c r="O48" s="169">
        <f t="shared" si="27"/>
        <v>8.1037215193493869E-2</v>
      </c>
      <c r="P48" s="169">
        <f t="shared" si="27"/>
        <v>6.9037215193493873E-2</v>
      </c>
      <c r="Q48" s="169">
        <f t="shared" si="27"/>
        <v>5.7037215193493876E-2</v>
      </c>
    </row>
    <row r="49" spans="2:17" x14ac:dyDescent="0.15">
      <c r="C49" s="244"/>
      <c r="D49" s="6"/>
      <c r="E49" s="6"/>
      <c r="F49" s="6"/>
      <c r="G49" s="6"/>
      <c r="H49" s="31"/>
      <c r="I49" s="31"/>
      <c r="J49" s="31"/>
      <c r="K49" s="31"/>
      <c r="L49" s="31"/>
      <c r="M49" s="31"/>
      <c r="N49" s="31"/>
      <c r="O49" s="31"/>
      <c r="P49" s="31"/>
      <c r="Q49" s="31"/>
    </row>
    <row r="50" spans="2:17" x14ac:dyDescent="0.15">
      <c r="B50" s="2" t="s">
        <v>352</v>
      </c>
      <c r="C50" s="244">
        <v>236.12</v>
      </c>
      <c r="D50" s="6">
        <v>257.89</v>
      </c>
      <c r="E50" s="6">
        <v>462.63</v>
      </c>
      <c r="F50" s="6">
        <v>536.08000000000004</v>
      </c>
      <c r="G50" s="6">
        <v>449.6</v>
      </c>
      <c r="H50" s="31">
        <f t="shared" ref="H50:Q50" si="28">G50*(1+H$51)</f>
        <v>543.51584678619088</v>
      </c>
      <c r="I50" s="31">
        <f t="shared" si="28"/>
        <v>654.36479447215402</v>
      </c>
      <c r="J50" s="31">
        <f t="shared" si="28"/>
        <v>779.9687812724502</v>
      </c>
      <c r="K50" s="31">
        <f t="shared" si="28"/>
        <v>920.32257161755672</v>
      </c>
      <c r="L50" s="31">
        <f t="shared" si="28"/>
        <v>1074.8888692266187</v>
      </c>
      <c r="M50" s="31">
        <f t="shared" si="28"/>
        <v>1242.5155946327416</v>
      </c>
      <c r="N50" s="31">
        <f t="shared" si="28"/>
        <v>1421.3731786195572</v>
      </c>
      <c r="O50" s="31">
        <f t="shared" si="28"/>
        <v>1608.920468645887</v>
      </c>
      <c r="P50" s="31">
        <f t="shared" si="28"/>
        <v>1801.9071952005927</v>
      </c>
      <c r="Q50" s="31">
        <f t="shared" si="28"/>
        <v>1996.4193993948886</v>
      </c>
    </row>
    <row r="51" spans="2:17" x14ac:dyDescent="0.15">
      <c r="C51" s="244"/>
      <c r="D51" s="429">
        <f t="shared" ref="D51:G51" si="29">D50/C50-1</f>
        <v>9.2198881924445031E-2</v>
      </c>
      <c r="E51" s="429">
        <f t="shared" si="29"/>
        <v>0.79390437783551127</v>
      </c>
      <c r="F51" s="429">
        <f t="shared" si="29"/>
        <v>0.15876618463999326</v>
      </c>
      <c r="G51" s="429">
        <f t="shared" si="29"/>
        <v>-0.16131920608864347</v>
      </c>
      <c r="H51" s="192">
        <f t="array" ref="H51:Q51">CHOOSE(Assumptions!D18,'Revenue Buildup'!H52:Q52,'Revenue Buildup'!H53:Q53,'Revenue Buildup'!H54:Q54)</f>
        <v>0.20888755957782651</v>
      </c>
      <c r="I51" s="192">
        <v>0.20394795909155705</v>
      </c>
      <c r="J51" s="192">
        <v>0.19194795909155704</v>
      </c>
      <c r="K51" s="192">
        <v>0.17994795909155703</v>
      </c>
      <c r="L51" s="192">
        <v>0.16794795909155702</v>
      </c>
      <c r="M51" s="192">
        <v>0.15594795909155701</v>
      </c>
      <c r="N51" s="192">
        <v>0.143947959091557</v>
      </c>
      <c r="O51" s="192">
        <v>0.13194795909155699</v>
      </c>
      <c r="P51" s="192">
        <v>0.11994795909155699</v>
      </c>
      <c r="Q51" s="192">
        <v>0.10794795909155699</v>
      </c>
    </row>
    <row r="52" spans="2:17" x14ac:dyDescent="0.15">
      <c r="C52" s="244"/>
      <c r="D52" s="6"/>
      <c r="E52" s="6"/>
      <c r="F52" s="6"/>
      <c r="G52" s="6"/>
      <c r="H52" s="169">
        <f>H53+0.05</f>
        <v>0.2588875595778265</v>
      </c>
      <c r="I52" s="169">
        <f t="shared" ref="I52:Q52" si="30">I53+0.05</f>
        <v>0.25394795909155704</v>
      </c>
      <c r="J52" s="169">
        <f t="shared" si="30"/>
        <v>0.24194795909155703</v>
      </c>
      <c r="K52" s="169">
        <f t="shared" si="30"/>
        <v>0.22994795909155702</v>
      </c>
      <c r="L52" s="169">
        <f t="shared" si="30"/>
        <v>0.21794795909155701</v>
      </c>
      <c r="M52" s="169">
        <f t="shared" si="30"/>
        <v>0.205947959091557</v>
      </c>
      <c r="N52" s="169">
        <f t="shared" si="30"/>
        <v>0.19394795909155699</v>
      </c>
      <c r="O52" s="169">
        <f t="shared" si="30"/>
        <v>0.18194795909155698</v>
      </c>
      <c r="P52" s="169">
        <f t="shared" si="30"/>
        <v>0.16994795909155699</v>
      </c>
      <c r="Q52" s="169">
        <f t="shared" si="30"/>
        <v>0.15794795909155701</v>
      </c>
    </row>
    <row r="53" spans="2:17" x14ac:dyDescent="0.15">
      <c r="C53" s="244"/>
      <c r="D53" s="6"/>
      <c r="E53" s="6"/>
      <c r="F53" s="6"/>
      <c r="G53" s="6"/>
      <c r="H53" s="169">
        <f>AVERAGE(D51:G51)-0.012</f>
        <v>0.20888755957782651</v>
      </c>
      <c r="I53" s="169">
        <f>(H53*(1+$H$34))-0.012</f>
        <v>0.20394795909155705</v>
      </c>
      <c r="J53" s="169">
        <f>I53-0.012</f>
        <v>0.19194795909155704</v>
      </c>
      <c r="K53" s="169">
        <f t="shared" ref="K53:Q53" si="31">J53-0.012</f>
        <v>0.17994795909155703</v>
      </c>
      <c r="L53" s="169">
        <f t="shared" si="31"/>
        <v>0.16794795909155702</v>
      </c>
      <c r="M53" s="169">
        <f t="shared" si="31"/>
        <v>0.15594795909155701</v>
      </c>
      <c r="N53" s="169">
        <f t="shared" si="31"/>
        <v>0.143947959091557</v>
      </c>
      <c r="O53" s="169">
        <f t="shared" si="31"/>
        <v>0.13194795909155699</v>
      </c>
      <c r="P53" s="169">
        <f t="shared" si="31"/>
        <v>0.11994795909155699</v>
      </c>
      <c r="Q53" s="169">
        <f t="shared" si="31"/>
        <v>0.10794795909155699</v>
      </c>
    </row>
    <row r="54" spans="2:17" x14ac:dyDescent="0.15">
      <c r="C54" s="244"/>
      <c r="D54" s="6"/>
      <c r="E54" s="6"/>
      <c r="F54" s="6"/>
      <c r="G54" s="6"/>
      <c r="H54" s="169">
        <f>H53-0.05</f>
        <v>0.15888755957782652</v>
      </c>
      <c r="I54" s="169">
        <f t="shared" ref="I54:Q54" si="32">I53-0.05</f>
        <v>0.15394795909155706</v>
      </c>
      <c r="J54" s="169">
        <f t="shared" si="32"/>
        <v>0.14194795909155705</v>
      </c>
      <c r="K54" s="169">
        <f t="shared" si="32"/>
        <v>0.12994795909155704</v>
      </c>
      <c r="L54" s="169">
        <f t="shared" si="32"/>
        <v>0.11794795909155702</v>
      </c>
      <c r="M54" s="169">
        <f t="shared" si="32"/>
        <v>0.10594795909155701</v>
      </c>
      <c r="N54" s="169">
        <f t="shared" si="32"/>
        <v>9.3947959091556996E-2</v>
      </c>
      <c r="O54" s="169">
        <f t="shared" si="32"/>
        <v>8.1947959091556985E-2</v>
      </c>
      <c r="P54" s="169">
        <f t="shared" si="32"/>
        <v>6.9947959091556988E-2</v>
      </c>
      <c r="Q54" s="169">
        <f t="shared" si="32"/>
        <v>5.7947959091556991E-2</v>
      </c>
    </row>
    <row r="55" spans="2:17" x14ac:dyDescent="0.15">
      <c r="C55" s="244"/>
      <c r="D55" s="6"/>
      <c r="E55" s="6"/>
      <c r="F55" s="6"/>
      <c r="G55" s="6"/>
      <c r="H55" s="31"/>
      <c r="I55" s="31"/>
      <c r="J55" s="31"/>
      <c r="K55" s="31"/>
      <c r="L55" s="31"/>
      <c r="M55" s="31"/>
      <c r="N55" s="31"/>
      <c r="O55" s="31"/>
      <c r="P55" s="31"/>
      <c r="Q55" s="31"/>
    </row>
    <row r="56" spans="2:17" x14ac:dyDescent="0.15">
      <c r="B56" s="2" t="s">
        <v>353</v>
      </c>
      <c r="C56" s="244">
        <v>140.33000000000001</v>
      </c>
      <c r="D56" s="6">
        <v>211.67</v>
      </c>
      <c r="E56" s="6">
        <v>173.86</v>
      </c>
      <c r="F56" s="6">
        <v>221.3</v>
      </c>
      <c r="G56" s="6">
        <v>318.95</v>
      </c>
      <c r="H56" s="31">
        <f t="shared" ref="H56:Q56" si="33">G56*(1+H$57)</f>
        <v>398.35782122651216</v>
      </c>
      <c r="I56" s="31">
        <f t="shared" si="33"/>
        <v>518.86871276024249</v>
      </c>
      <c r="J56" s="31">
        <f t="shared" si="33"/>
        <v>669.61003888708115</v>
      </c>
      <c r="K56" s="31">
        <f t="shared" si="33"/>
        <v>856.109294831336</v>
      </c>
      <c r="L56" s="31">
        <f t="shared" si="33"/>
        <v>1084.2788638068785</v>
      </c>
      <c r="M56" s="31">
        <f t="shared" si="33"/>
        <v>1360.2486586316406</v>
      </c>
      <c r="N56" s="31">
        <f t="shared" si="33"/>
        <v>1690.1350824400722</v>
      </c>
      <c r="O56" s="31">
        <f t="shared" si="33"/>
        <v>2079.7436786263784</v>
      </c>
      <c r="P56" s="31">
        <f t="shared" si="33"/>
        <v>2534.207614670644</v>
      </c>
      <c r="Q56" s="31">
        <f t="shared" si="33"/>
        <v>3057.5701575164121</v>
      </c>
    </row>
    <row r="57" spans="2:17" x14ac:dyDescent="0.15">
      <c r="C57" s="244"/>
      <c r="D57" s="429">
        <f t="shared" ref="D57:G57" si="34">D56/C56-1</f>
        <v>0.50837312050167438</v>
      </c>
      <c r="E57" s="429">
        <f t="shared" si="34"/>
        <v>-0.17862710823451589</v>
      </c>
      <c r="F57" s="429">
        <f t="shared" si="34"/>
        <v>0.27286322328310142</v>
      </c>
      <c r="G57" s="429">
        <f t="shared" si="34"/>
        <v>0.4412562132851332</v>
      </c>
      <c r="H57" s="192">
        <f t="array" ref="H57:Q57">CHOOSE(Assumptions!D18,'Revenue Buildup'!H58:Q58,'Revenue Buildup'!H59:Q59,'Revenue Buildup'!H60:Q60)</f>
        <v>0.24896636220884827</v>
      </c>
      <c r="I57" s="192">
        <v>0.30251920537843802</v>
      </c>
      <c r="J57" s="192">
        <v>0.29051920537843801</v>
      </c>
      <c r="K57" s="192">
        <v>0.278519205378438</v>
      </c>
      <c r="L57" s="192">
        <v>0.26651920537843798</v>
      </c>
      <c r="M57" s="192">
        <v>0.25451920537843797</v>
      </c>
      <c r="N57" s="192">
        <v>0.24251920537843796</v>
      </c>
      <c r="O57" s="192">
        <v>0.23051920537843795</v>
      </c>
      <c r="P57" s="192">
        <v>0.21851920537843794</v>
      </c>
      <c r="Q57" s="192">
        <v>0.20651920537843793</v>
      </c>
    </row>
    <row r="58" spans="2:17" x14ac:dyDescent="0.15">
      <c r="C58" s="244"/>
      <c r="D58" s="6"/>
      <c r="E58" s="6"/>
      <c r="F58" s="6"/>
      <c r="G58" s="6"/>
      <c r="H58" s="169">
        <f>H59+0.05</f>
        <v>0.29896636220884826</v>
      </c>
      <c r="I58" s="169">
        <f t="shared" ref="I58:Q58" si="35">I59+0.05</f>
        <v>0.35251920537843801</v>
      </c>
      <c r="J58" s="169">
        <f t="shared" si="35"/>
        <v>0.34051920537843799</v>
      </c>
      <c r="K58" s="169">
        <f t="shared" si="35"/>
        <v>0.32851920537843798</v>
      </c>
      <c r="L58" s="169">
        <f t="shared" si="35"/>
        <v>0.31651920537843797</v>
      </c>
      <c r="M58" s="169">
        <f t="shared" si="35"/>
        <v>0.30451920537843796</v>
      </c>
      <c r="N58" s="169">
        <f t="shared" si="35"/>
        <v>0.29251920537843795</v>
      </c>
      <c r="O58" s="169">
        <f t="shared" si="35"/>
        <v>0.28051920537843794</v>
      </c>
      <c r="P58" s="169">
        <f t="shared" si="35"/>
        <v>0.26851920537843793</v>
      </c>
      <c r="Q58" s="169">
        <f t="shared" si="35"/>
        <v>0.25651920537843792</v>
      </c>
    </row>
    <row r="59" spans="2:17" x14ac:dyDescent="0.15">
      <c r="C59" s="244"/>
      <c r="D59" s="6"/>
      <c r="E59" s="6"/>
      <c r="F59" s="6"/>
      <c r="G59" s="6"/>
      <c r="H59" s="169">
        <f>AVERAGE(D57:G57)-0.012</f>
        <v>0.24896636220884827</v>
      </c>
      <c r="I59" s="169">
        <f>(H59*(1+$H$35))-0.012</f>
        <v>0.30251920537843802</v>
      </c>
      <c r="J59" s="169">
        <f>I59-0.012</f>
        <v>0.29051920537843801</v>
      </c>
      <c r="K59" s="169">
        <f t="shared" ref="K59:Q59" si="36">J59-0.012</f>
        <v>0.278519205378438</v>
      </c>
      <c r="L59" s="169">
        <f t="shared" si="36"/>
        <v>0.26651920537843798</v>
      </c>
      <c r="M59" s="169">
        <f t="shared" si="36"/>
        <v>0.25451920537843797</v>
      </c>
      <c r="N59" s="169">
        <f t="shared" si="36"/>
        <v>0.24251920537843796</v>
      </c>
      <c r="O59" s="169">
        <f t="shared" si="36"/>
        <v>0.23051920537843795</v>
      </c>
      <c r="P59" s="169">
        <f t="shared" si="36"/>
        <v>0.21851920537843794</v>
      </c>
      <c r="Q59" s="169">
        <f t="shared" si="36"/>
        <v>0.20651920537843793</v>
      </c>
    </row>
    <row r="60" spans="2:17" x14ac:dyDescent="0.15">
      <c r="C60" s="244"/>
      <c r="D60" s="6"/>
      <c r="E60" s="6"/>
      <c r="F60" s="6"/>
      <c r="G60" s="6"/>
      <c r="H60" s="169">
        <f>H59-0.05</f>
        <v>0.19896636220884828</v>
      </c>
      <c r="I60" s="169">
        <f t="shared" ref="I60:Q60" si="37">I59-0.05</f>
        <v>0.25251920537843803</v>
      </c>
      <c r="J60" s="169">
        <f t="shared" si="37"/>
        <v>0.24051920537843802</v>
      </c>
      <c r="K60" s="169">
        <f t="shared" si="37"/>
        <v>0.22851920537843801</v>
      </c>
      <c r="L60" s="169">
        <f t="shared" si="37"/>
        <v>0.216519205378438</v>
      </c>
      <c r="M60" s="169">
        <f t="shared" si="37"/>
        <v>0.20451920537843798</v>
      </c>
      <c r="N60" s="169">
        <f t="shared" si="37"/>
        <v>0.19251920537843797</v>
      </c>
      <c r="O60" s="169">
        <f t="shared" si="37"/>
        <v>0.18051920537843796</v>
      </c>
      <c r="P60" s="169">
        <f t="shared" si="37"/>
        <v>0.16851920537843795</v>
      </c>
      <c r="Q60" s="169">
        <f t="shared" si="37"/>
        <v>0.15651920537843794</v>
      </c>
    </row>
    <row r="61" spans="2:17" x14ac:dyDescent="0.15">
      <c r="C61" s="244"/>
      <c r="D61" s="6"/>
      <c r="E61" s="6"/>
      <c r="F61" s="6"/>
      <c r="G61" s="6"/>
      <c r="H61" s="31"/>
      <c r="I61" s="31"/>
      <c r="J61" s="31"/>
      <c r="K61" s="31"/>
      <c r="L61" s="31"/>
      <c r="M61" s="31"/>
      <c r="N61" s="31"/>
      <c r="O61" s="31"/>
      <c r="P61" s="31"/>
      <c r="Q61" s="31"/>
    </row>
    <row r="62" spans="2:17" x14ac:dyDescent="0.15">
      <c r="C62" s="377">
        <f t="shared" ref="C62:F62" si="38">SUM(C38,C44,C50,C56)</f>
        <v>1721.8600000000001</v>
      </c>
      <c r="D62" s="11">
        <f t="shared" si="38"/>
        <v>2183.84</v>
      </c>
      <c r="E62" s="11">
        <f t="shared" si="38"/>
        <v>2563.3900000000003</v>
      </c>
      <c r="F62" s="11">
        <f t="shared" si="38"/>
        <v>3054.79</v>
      </c>
      <c r="G62" s="11">
        <f t="shared" ref="G62:Q62" si="39">SUM(G38,G44,G50,G56)</f>
        <v>3455.23</v>
      </c>
      <c r="H62" s="56">
        <f t="shared" si="39"/>
        <v>4109.2211326925017</v>
      </c>
      <c r="I62" s="56">
        <f t="shared" si="39"/>
        <v>4912.2206970175221</v>
      </c>
      <c r="J62" s="56">
        <f t="shared" si="39"/>
        <v>5819.611643896611</v>
      </c>
      <c r="K62" s="56">
        <f t="shared" si="39"/>
        <v>6832.8860201742145</v>
      </c>
      <c r="L62" s="56">
        <f t="shared" si="39"/>
        <v>7950.7263565822623</v>
      </c>
      <c r="M62" s="56">
        <f t="shared" si="39"/>
        <v>9168.589640438553</v>
      </c>
      <c r="N62" s="56">
        <f t="shared" si="39"/>
        <v>10478.38269779403</v>
      </c>
      <c r="O62" s="56">
        <f t="shared" si="39"/>
        <v>11868.261300593482</v>
      </c>
      <c r="P62" s="56">
        <f t="shared" si="39"/>
        <v>13322.580989000771</v>
      </c>
      <c r="Q62" s="56">
        <f t="shared" si="39"/>
        <v>14822.020440459641</v>
      </c>
    </row>
    <row r="65" spans="3:8" x14ac:dyDescent="0.15">
      <c r="C65" s="14"/>
      <c r="D65" s="14"/>
      <c r="E65" s="14"/>
      <c r="F65" s="14"/>
      <c r="G65" s="14"/>
      <c r="H65" s="14"/>
    </row>
    <row r="66" spans="3:8" x14ac:dyDescent="0.15">
      <c r="C66" s="14"/>
      <c r="D66" s="14"/>
      <c r="E66" s="14"/>
      <c r="F66" s="14"/>
      <c r="G66" s="14"/>
      <c r="H66" s="14"/>
    </row>
    <row r="67" spans="3:8" x14ac:dyDescent="0.15">
      <c r="C67" s="14"/>
      <c r="D67" s="14"/>
      <c r="E67" s="14"/>
      <c r="F67" s="14"/>
      <c r="G67" s="14"/>
      <c r="H67" s="14"/>
    </row>
  </sheetData>
  <mergeCells count="4">
    <mergeCell ref="B8:B9"/>
    <mergeCell ref="P6:Q6"/>
    <mergeCell ref="B7:Q7"/>
    <mergeCell ref="B28:B29"/>
  </mergeCells>
  <hyperlinks>
    <hyperlink ref="B31" r:id="rId1" xr:uid="{1CEDBF96-EA30-3C41-A0EB-F762A21B874C}"/>
  </hyperlinks>
  <pageMargins left="0.7" right="0.7" top="0.75" bottom="0.75" header="0.3" footer="0.3"/>
  <pageSetup orientation="portrait" r:id="rId2"/>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theme="9" tint="0.39997558519241921"/>
  </sheetPr>
  <dimension ref="A6:Q24"/>
  <sheetViews>
    <sheetView showGridLines="0" zoomScaleNormal="100" workbookViewId="0">
      <selection activeCell="C20" sqref="C20"/>
    </sheetView>
  </sheetViews>
  <sheetFormatPr baseColWidth="10" defaultColWidth="8.83203125" defaultRowHeight="14" x14ac:dyDescent="0.15"/>
  <cols>
    <col min="1" max="1" width="5" style="2" customWidth="1"/>
    <col min="2" max="2" width="27.5" style="2" bestFit="1" customWidth="1"/>
    <col min="3" max="10" width="13.1640625" style="2" bestFit="1" customWidth="1"/>
    <col min="11" max="17" width="14.33203125" style="2" bestFit="1" customWidth="1"/>
    <col min="18" max="16384" width="8.83203125" style="2"/>
  </cols>
  <sheetData>
    <row r="6" spans="2:17" x14ac:dyDescent="0.15">
      <c r="P6" s="503" t="s">
        <v>64</v>
      </c>
      <c r="Q6" s="503"/>
    </row>
    <row r="7" spans="2:17" ht="16" x14ac:dyDescent="0.2">
      <c r="B7" s="518" t="s">
        <v>385</v>
      </c>
      <c r="C7" s="519"/>
      <c r="D7" s="519"/>
      <c r="E7" s="519"/>
      <c r="F7" s="519"/>
      <c r="G7" s="519"/>
      <c r="H7" s="519"/>
      <c r="I7" s="519"/>
      <c r="J7" s="519"/>
      <c r="K7" s="519"/>
      <c r="L7" s="519"/>
      <c r="M7" s="519"/>
      <c r="N7" s="519"/>
      <c r="O7" s="519"/>
      <c r="P7" s="519"/>
      <c r="Q7" s="520"/>
    </row>
    <row r="8" spans="2:17" x14ac:dyDescent="0.15">
      <c r="B8" s="516" t="s">
        <v>0</v>
      </c>
      <c r="C8" s="195">
        <f>'Revenue Buildup'!C8</f>
        <v>2021</v>
      </c>
      <c r="D8" s="195">
        <f>'Revenue Buildup'!D8</f>
        <v>2022</v>
      </c>
      <c r="E8" s="195">
        <f>'Revenue Buildup'!E8</f>
        <v>2023</v>
      </c>
      <c r="F8" s="195">
        <f>'Revenue Buildup'!F8</f>
        <v>2024</v>
      </c>
      <c r="G8" s="195">
        <f>'Revenue Buildup'!G8</f>
        <v>2025</v>
      </c>
      <c r="H8" s="217">
        <f>'Revenue Buildup'!H8</f>
        <v>2026</v>
      </c>
      <c r="I8" s="217">
        <f>'Revenue Buildup'!I8</f>
        <v>2027</v>
      </c>
      <c r="J8" s="217">
        <f>'Revenue Buildup'!J8</f>
        <v>2028</v>
      </c>
      <c r="K8" s="217">
        <f>'Revenue Buildup'!K8</f>
        <v>2029</v>
      </c>
      <c r="L8" s="217">
        <f>'Revenue Buildup'!L8</f>
        <v>2030</v>
      </c>
      <c r="M8" s="217">
        <f>'Revenue Buildup'!M8</f>
        <v>2031</v>
      </c>
      <c r="N8" s="217">
        <f>'Revenue Buildup'!N8</f>
        <v>2032</v>
      </c>
      <c r="O8" s="217">
        <f>'Revenue Buildup'!O8</f>
        <v>2033</v>
      </c>
      <c r="P8" s="217">
        <f>'Revenue Buildup'!P8</f>
        <v>2034</v>
      </c>
      <c r="Q8" s="217">
        <f>'Revenue Buildup'!Q8</f>
        <v>2035</v>
      </c>
    </row>
    <row r="9" spans="2:17" s="5" customFormat="1" x14ac:dyDescent="0.15">
      <c r="B9" s="517"/>
      <c r="C9" s="13" t="s">
        <v>1</v>
      </c>
      <c r="D9" s="13" t="s">
        <v>1</v>
      </c>
      <c r="E9" s="13" t="s">
        <v>1</v>
      </c>
      <c r="F9" s="13" t="s">
        <v>1</v>
      </c>
      <c r="G9" s="13" t="s">
        <v>1</v>
      </c>
      <c r="H9" s="110" t="s">
        <v>52</v>
      </c>
      <c r="I9" s="110" t="s">
        <v>53</v>
      </c>
      <c r="J9" s="110" t="s">
        <v>53</v>
      </c>
      <c r="K9" s="110" t="s">
        <v>53</v>
      </c>
      <c r="L9" s="110" t="s">
        <v>53</v>
      </c>
      <c r="M9" s="110" t="s">
        <v>53</v>
      </c>
      <c r="N9" s="110" t="s">
        <v>53</v>
      </c>
      <c r="O9" s="110" t="s">
        <v>53</v>
      </c>
      <c r="P9" s="110" t="s">
        <v>53</v>
      </c>
      <c r="Q9" s="110" t="s">
        <v>53</v>
      </c>
    </row>
    <row r="10" spans="2:17" x14ac:dyDescent="0.15">
      <c r="B10" s="34"/>
      <c r="H10" s="30"/>
      <c r="I10" s="30"/>
      <c r="J10" s="30"/>
      <c r="K10" s="30"/>
      <c r="L10" s="30"/>
      <c r="M10" s="30"/>
      <c r="N10" s="30"/>
      <c r="O10" s="30"/>
      <c r="P10" s="30"/>
      <c r="Q10" s="30"/>
    </row>
    <row r="11" spans="2:17" s="4" customFormat="1" x14ac:dyDescent="0.15">
      <c r="B11" s="44" t="str">
        <f>'Revenue Buildup'!B15</f>
        <v>Revenue from Operations</v>
      </c>
      <c r="C11" s="131">
        <f>'Revenue Buildup'!C15</f>
        <v>1721.8600000000001</v>
      </c>
      <c r="D11" s="132">
        <f>'Revenue Buildup'!D15</f>
        <v>2183.84</v>
      </c>
      <c r="E11" s="132">
        <f>'Revenue Buildup'!E15</f>
        <v>2563.3900000000003</v>
      </c>
      <c r="F11" s="132">
        <f>'Revenue Buildup'!F15</f>
        <v>3054.79</v>
      </c>
      <c r="G11" s="132">
        <f>'Revenue Buildup'!G15</f>
        <v>3455.23</v>
      </c>
      <c r="H11" s="56">
        <f>'Revenue Buildup'!H15</f>
        <v>4109.2211326925017</v>
      </c>
      <c r="I11" s="56">
        <f>'Revenue Buildup'!I15</f>
        <v>4912.2206970175221</v>
      </c>
      <c r="J11" s="56">
        <f>'Revenue Buildup'!J15</f>
        <v>5819.611643896611</v>
      </c>
      <c r="K11" s="56">
        <f>'Revenue Buildup'!K15</f>
        <v>6832.8860201742145</v>
      </c>
      <c r="L11" s="56">
        <f>'Revenue Buildup'!L15</f>
        <v>7950.7263565822623</v>
      </c>
      <c r="M11" s="56">
        <f>'Revenue Buildup'!M15</f>
        <v>9168.589640438553</v>
      </c>
      <c r="N11" s="56">
        <f>'Revenue Buildup'!N15</f>
        <v>10478.38269779403</v>
      </c>
      <c r="O11" s="56">
        <f>'Revenue Buildup'!O15</f>
        <v>11868.261300593482</v>
      </c>
      <c r="P11" s="56">
        <f>'Revenue Buildup'!P15</f>
        <v>13322.580989000771</v>
      </c>
      <c r="Q11" s="56">
        <f>'Revenue Buildup'!Q15</f>
        <v>14822.020440459641</v>
      </c>
    </row>
    <row r="12" spans="2:17" s="4" customFormat="1" x14ac:dyDescent="0.15">
      <c r="B12" s="44"/>
      <c r="C12" s="309"/>
      <c r="D12" s="309"/>
      <c r="E12" s="309"/>
      <c r="F12" s="309"/>
      <c r="G12" s="309"/>
      <c r="H12" s="52"/>
      <c r="I12" s="52"/>
      <c r="J12" s="52"/>
      <c r="K12" s="52"/>
      <c r="L12" s="52"/>
      <c r="M12" s="52"/>
      <c r="N12" s="52"/>
      <c r="O12" s="52"/>
      <c r="P12" s="52"/>
      <c r="Q12" s="52"/>
    </row>
    <row r="13" spans="2:17" ht="15" x14ac:dyDescent="0.15">
      <c r="B13" s="35" t="s">
        <v>9</v>
      </c>
      <c r="C13" s="45">
        <f>'P&amp;L Input'!C17</f>
        <v>882.72</v>
      </c>
      <c r="D13" s="45">
        <f>'P&amp;L Input'!D17</f>
        <v>1095.45</v>
      </c>
      <c r="E13" s="45">
        <f>'P&amp;L Input'!E17</f>
        <v>1376.75</v>
      </c>
      <c r="F13" s="45">
        <f>'P&amp;L Input'!F17</f>
        <v>1670.91</v>
      </c>
      <c r="G13" s="45">
        <f>'P&amp;L Input'!G17</f>
        <v>1859.03</v>
      </c>
      <c r="H13" s="32">
        <f t="shared" ref="H13:Q13" si="0">H11*H14</f>
        <v>2166.6830449854915</v>
      </c>
      <c r="I13" s="32">
        <f t="shared" si="0"/>
        <v>2590.0833646499027</v>
      </c>
      <c r="J13" s="32">
        <f t="shared" si="0"/>
        <v>3068.5264847182657</v>
      </c>
      <c r="K13" s="32">
        <f t="shared" si="0"/>
        <v>3602.799121820276</v>
      </c>
      <c r="L13" s="32">
        <f t="shared" si="0"/>
        <v>4192.2066094404945</v>
      </c>
      <c r="M13" s="32">
        <f t="shared" si="0"/>
        <v>4834.3535377837734</v>
      </c>
      <c r="N13" s="32">
        <f t="shared" si="0"/>
        <v>5524.9725914126366</v>
      </c>
      <c r="O13" s="32">
        <f t="shared" si="0"/>
        <v>6257.8186237945711</v>
      </c>
      <c r="P13" s="32">
        <f t="shared" si="0"/>
        <v>7024.6427272216797</v>
      </c>
      <c r="Q13" s="32">
        <f t="shared" si="0"/>
        <v>7815.2572820362429</v>
      </c>
    </row>
    <row r="14" spans="2:17" s="5" customFormat="1" x14ac:dyDescent="0.15">
      <c r="B14" s="36"/>
      <c r="C14" s="17">
        <f>C13/C$11</f>
        <v>0.51265491967988108</v>
      </c>
      <c r="D14" s="17">
        <f>D13/D$11</f>
        <v>0.50161641878525898</v>
      </c>
      <c r="E14" s="17">
        <f>E13/E$11</f>
        <v>0.53708175501971989</v>
      </c>
      <c r="F14" s="17">
        <f>F13/F$11</f>
        <v>0.54698031615921228</v>
      </c>
      <c r="G14" s="17">
        <f>G13/G$11</f>
        <v>0.53803364754299998</v>
      </c>
      <c r="H14" s="33">
        <f>AVERAGE(C14:G14)</f>
        <v>0.52727341143741446</v>
      </c>
      <c r="I14" s="33">
        <f t="shared" ref="I14:Q14" si="1">H14</f>
        <v>0.52727341143741446</v>
      </c>
      <c r="J14" s="33">
        <f t="shared" si="1"/>
        <v>0.52727341143741446</v>
      </c>
      <c r="K14" s="33">
        <f t="shared" si="1"/>
        <v>0.52727341143741446</v>
      </c>
      <c r="L14" s="33">
        <f t="shared" si="1"/>
        <v>0.52727341143741446</v>
      </c>
      <c r="M14" s="33">
        <f t="shared" si="1"/>
        <v>0.52727341143741446</v>
      </c>
      <c r="N14" s="33">
        <f t="shared" si="1"/>
        <v>0.52727341143741446</v>
      </c>
      <c r="O14" s="33">
        <f t="shared" si="1"/>
        <v>0.52727341143741446</v>
      </c>
      <c r="P14" s="33">
        <f t="shared" si="1"/>
        <v>0.52727341143741446</v>
      </c>
      <c r="Q14" s="33">
        <f t="shared" si="1"/>
        <v>0.52727341143741446</v>
      </c>
    </row>
    <row r="15" spans="2:17" x14ac:dyDescent="0.15">
      <c r="B15" s="35"/>
      <c r="C15" s="45"/>
      <c r="D15" s="45"/>
      <c r="E15" s="45"/>
      <c r="F15" s="45"/>
      <c r="G15" s="45"/>
      <c r="H15" s="32"/>
      <c r="I15" s="32"/>
      <c r="J15" s="32"/>
      <c r="K15" s="32"/>
      <c r="L15" s="32"/>
      <c r="M15" s="32"/>
      <c r="N15" s="32"/>
      <c r="O15" s="32"/>
      <c r="P15" s="32"/>
      <c r="Q15" s="32"/>
    </row>
    <row r="16" spans="2:17" ht="15" x14ac:dyDescent="0.15">
      <c r="B16" s="35" t="s">
        <v>12</v>
      </c>
      <c r="C16" s="45">
        <f>'P&amp;L Input'!C18</f>
        <v>474.67</v>
      </c>
      <c r="D16" s="45">
        <f>'P&amp;L Input'!D18</f>
        <v>625.88</v>
      </c>
      <c r="E16" s="45">
        <f>'P&amp;L Input'!E18</f>
        <v>730.79</v>
      </c>
      <c r="F16" s="45">
        <f>'P&amp;L Input'!F18</f>
        <v>875.21</v>
      </c>
      <c r="G16" s="45">
        <f>'P&amp;L Input'!G18</f>
        <v>1049.75</v>
      </c>
      <c r="H16" s="32">
        <f t="shared" ref="H16:Q16" si="2">H11*H17</f>
        <v>1181.5450421860021</v>
      </c>
      <c r="I16" s="32">
        <f t="shared" si="2"/>
        <v>1412.4355500142033</v>
      </c>
      <c r="J16" s="32">
        <f t="shared" si="2"/>
        <v>1673.3422376781396</v>
      </c>
      <c r="K16" s="32">
        <f t="shared" si="2"/>
        <v>1964.6941209194415</v>
      </c>
      <c r="L16" s="32">
        <f t="shared" si="2"/>
        <v>2286.1123811660109</v>
      </c>
      <c r="M16" s="32">
        <f t="shared" si="2"/>
        <v>2636.290743107294</v>
      </c>
      <c r="N16" s="32">
        <f t="shared" si="2"/>
        <v>3012.9021356886378</v>
      </c>
      <c r="O16" s="32">
        <f t="shared" si="2"/>
        <v>3412.5409283817125</v>
      </c>
      <c r="P16" s="32">
        <f t="shared" si="2"/>
        <v>3830.7087908800754</v>
      </c>
      <c r="Q16" s="32">
        <f t="shared" si="2"/>
        <v>4261.8501660263855</v>
      </c>
    </row>
    <row r="17" spans="1:17" s="5" customFormat="1" x14ac:dyDescent="0.15">
      <c r="B17" s="37"/>
      <c r="C17" s="17">
        <f>C16/C$11</f>
        <v>0.27567281892836815</v>
      </c>
      <c r="D17" s="17">
        <f>D16/D$11</f>
        <v>0.28659608762546707</v>
      </c>
      <c r="E17" s="17">
        <f t="shared" ref="E17" si="3">E16/E$11</f>
        <v>0.28508732576783086</v>
      </c>
      <c r="F17" s="17">
        <f t="shared" ref="F17" si="4">F16/F$11</f>
        <v>0.28650414594783929</v>
      </c>
      <c r="G17" s="17">
        <f t="shared" ref="G17" si="5">G16/G$11</f>
        <v>0.30381479669949613</v>
      </c>
      <c r="H17" s="33">
        <f>AVERAGE(C17:G17)</f>
        <v>0.28753503499380029</v>
      </c>
      <c r="I17" s="33">
        <f t="shared" ref="I17:Q17" si="6">H17</f>
        <v>0.28753503499380029</v>
      </c>
      <c r="J17" s="33">
        <f t="shared" si="6"/>
        <v>0.28753503499380029</v>
      </c>
      <c r="K17" s="33">
        <f t="shared" si="6"/>
        <v>0.28753503499380029</v>
      </c>
      <c r="L17" s="33">
        <f t="shared" si="6"/>
        <v>0.28753503499380029</v>
      </c>
      <c r="M17" s="33">
        <f t="shared" si="6"/>
        <v>0.28753503499380029</v>
      </c>
      <c r="N17" s="33">
        <f t="shared" si="6"/>
        <v>0.28753503499380029</v>
      </c>
      <c r="O17" s="33">
        <f t="shared" si="6"/>
        <v>0.28753503499380029</v>
      </c>
      <c r="P17" s="33">
        <f t="shared" si="6"/>
        <v>0.28753503499380029</v>
      </c>
      <c r="Q17" s="33">
        <f t="shared" si="6"/>
        <v>0.28753503499380029</v>
      </c>
    </row>
    <row r="18" spans="1:17" x14ac:dyDescent="0.15">
      <c r="B18" s="34"/>
      <c r="H18" s="30"/>
      <c r="I18" s="30"/>
      <c r="J18" s="30"/>
      <c r="K18" s="30"/>
      <c r="L18" s="30"/>
      <c r="M18" s="30"/>
      <c r="N18" s="30"/>
      <c r="O18" s="30"/>
      <c r="P18" s="30"/>
      <c r="Q18" s="30"/>
    </row>
    <row r="19" spans="1:17" s="9" customFormat="1" x14ac:dyDescent="0.15">
      <c r="A19" s="2"/>
      <c r="B19" s="34" t="s">
        <v>10</v>
      </c>
      <c r="C19" s="45">
        <f>'P&amp;L Input'!C30</f>
        <v>8.1</v>
      </c>
      <c r="D19" s="45">
        <f>'P&amp;L Input'!D30</f>
        <v>7.68</v>
      </c>
      <c r="E19" s="45">
        <f>'P&amp;L Input'!E30</f>
        <v>24.72</v>
      </c>
      <c r="F19" s="45">
        <f>'P&amp;L Input'!F30</f>
        <v>44.47</v>
      </c>
      <c r="G19" s="45">
        <f>'P&amp;L Input'!G30</f>
        <v>42.06</v>
      </c>
      <c r="H19" s="31">
        <f>SUM('Balance Sheet'!I53:I54,'Balance Sheet'!I63:I64)*'Cost Buildup'!H20</f>
        <v>35.274755876921226</v>
      </c>
      <c r="I19" s="31">
        <f>SUM('Balance Sheet'!J53:J54,'Balance Sheet'!J63:J64)*'Cost Buildup'!I20</f>
        <v>42.167938961054567</v>
      </c>
      <c r="J19" s="31">
        <f>SUM('Balance Sheet'!K53:K54,'Balance Sheet'!K63:K64)*'Cost Buildup'!J20</f>
        <v>49.95724820056865</v>
      </c>
      <c r="K19" s="31">
        <f>SUM('Balance Sheet'!L53:L54,'Balance Sheet'!L63:L64)*'Cost Buildup'!K20</f>
        <v>58.655491761900691</v>
      </c>
      <c r="L19" s="31">
        <f>SUM('Balance Sheet'!M53:M54,'Balance Sheet'!M63:M64)*'Cost Buildup'!L20</f>
        <v>68.251360103581419</v>
      </c>
      <c r="M19" s="31">
        <f>SUM('Balance Sheet'!N53:N54,'Balance Sheet'!N63:N64)*'Cost Buildup'!M20</f>
        <v>78.705854676217754</v>
      </c>
      <c r="N19" s="31">
        <f>SUM('Balance Sheet'!O53:O54,'Balance Sheet'!O63:O64)*'Cost Buildup'!N20</f>
        <v>89.949501307915838</v>
      </c>
      <c r="O19" s="31">
        <f>SUM('Balance Sheet'!P53:P54,'Balance Sheet'!P63:P64)*'Cost Buildup'!O20</f>
        <v>101.88062568140083</v>
      </c>
      <c r="P19" s="31">
        <f>SUM('Balance Sheet'!Q53:Q54,'Balance Sheet'!Q63:Q64)*'Cost Buildup'!P20</f>
        <v>114.36493117847523</v>
      </c>
      <c r="Q19" s="31">
        <f>SUM('Balance Sheet'!R53:R54,'Balance Sheet'!R63:R64)*'Cost Buildup'!Q20</f>
        <v>127.23655791611429</v>
      </c>
    </row>
    <row r="20" spans="1:17" s="15" customFormat="1" x14ac:dyDescent="0.15">
      <c r="B20" s="51" t="s">
        <v>74</v>
      </c>
      <c r="C20" s="17">
        <f>C19/('BS Input'!D53+'BS Input'!D54+'BS Input'!D63+'BS Input'!D64)</f>
        <v>2.9664896539095396E-2</v>
      </c>
      <c r="D20" s="17">
        <f>D19/('BS Input'!E53+'BS Input'!E54+'BS Input'!E63+'BS Input'!E64)</f>
        <v>3.7864221269043034E-2</v>
      </c>
      <c r="E20" s="17">
        <f>E19/('BS Input'!F53+'BS Input'!F54+'BS Input'!F63+'BS Input'!F64)</f>
        <v>6.1153303812186123E-2</v>
      </c>
      <c r="F20" s="17">
        <f>F19/('BS Input'!G53+'BS Input'!G54+'BS Input'!G63+'BS Input'!G64)</f>
        <v>8.5690611993217189E-2</v>
      </c>
      <c r="G20" s="17">
        <f>G19/('BS Input'!H53+'BS Input'!H54+'BS Input'!H63+'BS Input'!H64)</f>
        <v>7.212799890247458E-2</v>
      </c>
      <c r="H20" s="33">
        <f>AVERAGE(C20:G20)</f>
        <v>5.7300206503203263E-2</v>
      </c>
      <c r="I20" s="33">
        <f t="shared" ref="I20:Q20" si="7">H20</f>
        <v>5.7300206503203263E-2</v>
      </c>
      <c r="J20" s="33">
        <f t="shared" si="7"/>
        <v>5.7300206503203263E-2</v>
      </c>
      <c r="K20" s="33">
        <f t="shared" si="7"/>
        <v>5.7300206503203263E-2</v>
      </c>
      <c r="L20" s="33">
        <f t="shared" si="7"/>
        <v>5.7300206503203263E-2</v>
      </c>
      <c r="M20" s="33">
        <f t="shared" si="7"/>
        <v>5.7300206503203263E-2</v>
      </c>
      <c r="N20" s="33">
        <f t="shared" si="7"/>
        <v>5.7300206503203263E-2</v>
      </c>
      <c r="O20" s="33">
        <f t="shared" si="7"/>
        <v>5.7300206503203263E-2</v>
      </c>
      <c r="P20" s="33">
        <f t="shared" si="7"/>
        <v>5.7300206503203263E-2</v>
      </c>
      <c r="Q20" s="33">
        <f t="shared" si="7"/>
        <v>5.7300206503203263E-2</v>
      </c>
    </row>
    <row r="21" spans="1:17" x14ac:dyDescent="0.15">
      <c r="B21" s="34"/>
      <c r="C21" s="4"/>
      <c r="D21" s="4"/>
      <c r="E21" s="4"/>
      <c r="F21" s="4"/>
      <c r="G21" s="4"/>
      <c r="H21" s="30"/>
      <c r="I21" s="30"/>
      <c r="J21" s="30"/>
      <c r="K21" s="30"/>
      <c r="L21" s="30"/>
      <c r="M21" s="30"/>
      <c r="N21" s="30"/>
      <c r="O21" s="30"/>
      <c r="P21" s="30"/>
      <c r="Q21" s="30"/>
    </row>
    <row r="22" spans="1:17" x14ac:dyDescent="0.15">
      <c r="B22" s="34" t="s">
        <v>165</v>
      </c>
      <c r="C22" s="17">
        <f>'P&amp;L Input'!C38/'P&amp;L Input'!C36</f>
        <v>0.2580968378864234</v>
      </c>
      <c r="D22" s="17">
        <f>'P&amp;L Input'!D38/'P&amp;L Input'!D36</f>
        <v>0.25582537273457717</v>
      </c>
      <c r="E22" s="17">
        <f>'P&amp;L Input'!E38/'P&amp;L Input'!E36</f>
        <v>0.27400145073355642</v>
      </c>
      <c r="F22" s="17">
        <f>'P&amp;L Input'!F38/'P&amp;L Input'!F36</f>
        <v>0.19477459281700715</v>
      </c>
      <c r="G22" s="17">
        <f>'P&amp;L Input'!G38/'P&amp;L Input'!G36</f>
        <v>0.18126578970293569</v>
      </c>
      <c r="H22" s="33">
        <f>G22+1%</f>
        <v>0.1912657897029357</v>
      </c>
      <c r="I22" s="33">
        <f>H22</f>
        <v>0.1912657897029357</v>
      </c>
      <c r="J22" s="33">
        <f>I22+1%</f>
        <v>0.20126578970293571</v>
      </c>
      <c r="K22" s="33">
        <f>J22</f>
        <v>0.20126578970293571</v>
      </c>
      <c r="L22" s="33">
        <f>K22+1%</f>
        <v>0.21126578970293572</v>
      </c>
      <c r="M22" s="33">
        <f>L22</f>
        <v>0.21126578970293572</v>
      </c>
      <c r="N22" s="33">
        <f>M22+1%</f>
        <v>0.22126578970293573</v>
      </c>
      <c r="O22" s="33">
        <f>N22</f>
        <v>0.22126578970293573</v>
      </c>
      <c r="P22" s="33">
        <f>O22+1%</f>
        <v>0.23126578970293574</v>
      </c>
      <c r="Q22" s="33">
        <f>P22</f>
        <v>0.23126578970293574</v>
      </c>
    </row>
    <row r="24" spans="1:17" x14ac:dyDescent="0.15">
      <c r="H24" s="163"/>
    </row>
  </sheetData>
  <mergeCells count="3">
    <mergeCell ref="B8:B9"/>
    <mergeCell ref="P6:Q6"/>
    <mergeCell ref="B7:Q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theme="9" tint="0.39997558519241921"/>
  </sheetPr>
  <dimension ref="A6:AH184"/>
  <sheetViews>
    <sheetView showGridLines="0" topLeftCell="D162" zoomScaleNormal="100" workbookViewId="0">
      <selection activeCell="P6" sqref="P6:Q6"/>
    </sheetView>
  </sheetViews>
  <sheetFormatPr baseColWidth="10" defaultColWidth="8.83203125" defaultRowHeight="14" x14ac:dyDescent="0.15"/>
  <cols>
    <col min="1" max="1" width="4.83203125" style="2" customWidth="1"/>
    <col min="2" max="2" width="33.83203125" style="2" customWidth="1"/>
    <col min="3" max="3" width="12" style="2" customWidth="1"/>
    <col min="4" max="7" width="12" style="2" bestFit="1" customWidth="1"/>
    <col min="8" max="8" width="13.83203125" style="2" bestFit="1" customWidth="1"/>
    <col min="9" max="9" width="12" style="2" bestFit="1" customWidth="1"/>
    <col min="10" max="17" width="13.83203125" style="2" bestFit="1" customWidth="1"/>
    <col min="18" max="18" width="10.1640625" style="2" bestFit="1" customWidth="1"/>
    <col min="19" max="16384" width="8.83203125" style="2"/>
  </cols>
  <sheetData>
    <row r="6" spans="2:34" x14ac:dyDescent="0.15">
      <c r="P6" s="503" t="s">
        <v>64</v>
      </c>
      <c r="Q6" s="503"/>
    </row>
    <row r="7" spans="2:34" ht="16" x14ac:dyDescent="0.2">
      <c r="B7" s="518" t="s">
        <v>153</v>
      </c>
      <c r="C7" s="519"/>
      <c r="D7" s="519"/>
      <c r="E7" s="519"/>
      <c r="F7" s="519"/>
      <c r="G7" s="519"/>
      <c r="H7" s="519"/>
      <c r="I7" s="519"/>
      <c r="J7" s="519"/>
      <c r="K7" s="519"/>
      <c r="L7" s="519"/>
      <c r="M7" s="519"/>
      <c r="N7" s="519"/>
      <c r="O7" s="519"/>
      <c r="P7" s="519"/>
      <c r="Q7" s="520"/>
    </row>
    <row r="8" spans="2:34" x14ac:dyDescent="0.15">
      <c r="B8" s="516" t="s">
        <v>0</v>
      </c>
      <c r="C8" s="195">
        <v>2021</v>
      </c>
      <c r="D8" s="195">
        <v>2022</v>
      </c>
      <c r="E8" s="195">
        <v>2023</v>
      </c>
      <c r="F8" s="195">
        <v>2024</v>
      </c>
      <c r="G8" s="195">
        <v>2025</v>
      </c>
      <c r="H8" s="217">
        <v>2026</v>
      </c>
      <c r="I8" s="217">
        <v>2027</v>
      </c>
      <c r="J8" s="217">
        <v>2028</v>
      </c>
      <c r="K8" s="217">
        <v>2029</v>
      </c>
      <c r="L8" s="217">
        <v>2030</v>
      </c>
      <c r="M8" s="217">
        <v>2031</v>
      </c>
      <c r="N8" s="217">
        <v>2032</v>
      </c>
      <c r="O8" s="217">
        <v>2033</v>
      </c>
      <c r="P8" s="217">
        <v>2034</v>
      </c>
      <c r="Q8" s="217">
        <v>2035</v>
      </c>
    </row>
    <row r="9" spans="2:34" x14ac:dyDescent="0.15">
      <c r="B9" s="517"/>
      <c r="C9" s="13" t="s">
        <v>1</v>
      </c>
      <c r="D9" s="13" t="s">
        <v>1</v>
      </c>
      <c r="E9" s="13" t="s">
        <v>1</v>
      </c>
      <c r="F9" s="13" t="s">
        <v>1</v>
      </c>
      <c r="G9" s="13" t="s">
        <v>1</v>
      </c>
      <c r="H9" s="110" t="s">
        <v>52</v>
      </c>
      <c r="I9" s="110" t="s">
        <v>53</v>
      </c>
      <c r="J9" s="110" t="s">
        <v>53</v>
      </c>
      <c r="K9" s="110" t="s">
        <v>53</v>
      </c>
      <c r="L9" s="110" t="s">
        <v>53</v>
      </c>
      <c r="M9" s="110" t="s">
        <v>53</v>
      </c>
      <c r="N9" s="110" t="s">
        <v>53</v>
      </c>
      <c r="O9" s="110" t="s">
        <v>53</v>
      </c>
      <c r="P9" s="110" t="s">
        <v>53</v>
      </c>
      <c r="Q9" s="110" t="s">
        <v>53</v>
      </c>
      <c r="AB9" s="4"/>
      <c r="AD9" s="10"/>
      <c r="AE9" s="10"/>
      <c r="AF9" s="10"/>
      <c r="AG9" s="10"/>
      <c r="AH9" s="10"/>
    </row>
    <row r="10" spans="2:34" ht="16" x14ac:dyDescent="0.2">
      <c r="B10" s="523" t="s">
        <v>95</v>
      </c>
      <c r="C10" s="523"/>
      <c r="D10" s="523"/>
      <c r="E10" s="523"/>
      <c r="F10" s="523"/>
      <c r="G10" s="523"/>
      <c r="H10" s="523"/>
      <c r="I10" s="523"/>
      <c r="J10" s="523"/>
      <c r="K10" s="523"/>
      <c r="L10" s="523"/>
      <c r="M10" s="523"/>
      <c r="N10" s="523"/>
      <c r="O10" s="523"/>
      <c r="P10" s="523"/>
      <c r="Q10" s="523"/>
    </row>
    <row r="11" spans="2:34" s="4" customFormat="1" x14ac:dyDescent="0.15">
      <c r="B11" s="44" t="s">
        <v>312</v>
      </c>
      <c r="H11" s="39"/>
      <c r="I11" s="39"/>
      <c r="J11" s="39"/>
      <c r="K11" s="39"/>
      <c r="L11" s="39"/>
      <c r="M11" s="39"/>
      <c r="N11" s="39"/>
      <c r="O11" s="39"/>
      <c r="P11" s="39"/>
      <c r="Q11" s="39"/>
    </row>
    <row r="12" spans="2:34" s="4" customFormat="1" x14ac:dyDescent="0.15">
      <c r="B12" s="44" t="s">
        <v>65</v>
      </c>
      <c r="C12" s="57">
        <v>50.14</v>
      </c>
      <c r="D12" s="57">
        <f t="shared" ref="D12:G12" si="0">C15</f>
        <v>50.49</v>
      </c>
      <c r="E12" s="57">
        <f t="shared" si="0"/>
        <v>50.54</v>
      </c>
      <c r="F12" s="57">
        <f t="shared" si="0"/>
        <v>53.809999999999995</v>
      </c>
      <c r="G12" s="57">
        <f t="shared" si="0"/>
        <v>53.809999999999995</v>
      </c>
      <c r="H12" s="58">
        <f t="shared" ref="H12:Q12" si="1">G15</f>
        <v>55.719999999999992</v>
      </c>
      <c r="I12" s="58">
        <f t="shared" si="1"/>
        <v>57.706399999999995</v>
      </c>
      <c r="J12" s="58">
        <f t="shared" si="1"/>
        <v>59.692799999999998</v>
      </c>
      <c r="K12" s="58">
        <f t="shared" si="1"/>
        <v>61.679200000000002</v>
      </c>
      <c r="L12" s="58">
        <f t="shared" si="1"/>
        <v>63.745056000000005</v>
      </c>
      <c r="M12" s="58">
        <f t="shared" si="1"/>
        <v>65.810912000000002</v>
      </c>
      <c r="N12" s="58">
        <f t="shared" si="1"/>
        <v>67.876767999999998</v>
      </c>
      <c r="O12" s="58">
        <f t="shared" si="1"/>
        <v>70.025258239999999</v>
      </c>
      <c r="P12" s="58">
        <f t="shared" si="1"/>
        <v>72.17374848</v>
      </c>
      <c r="Q12" s="58">
        <f t="shared" si="1"/>
        <v>74.322238720000001</v>
      </c>
    </row>
    <row r="13" spans="2:34" s="4" customFormat="1" x14ac:dyDescent="0.15">
      <c r="B13" s="34" t="s">
        <v>66</v>
      </c>
      <c r="C13" s="20">
        <v>0.02</v>
      </c>
      <c r="D13" s="20">
        <v>0.05</v>
      </c>
      <c r="E13" s="20">
        <v>3.26</v>
      </c>
      <c r="F13" s="20">
        <v>0</v>
      </c>
      <c r="G13" s="20">
        <v>1.91</v>
      </c>
      <c r="H13" s="59">
        <f>G13*1.04</f>
        <v>1.9863999999999999</v>
      </c>
      <c r="I13" s="59">
        <f>H13</f>
        <v>1.9863999999999999</v>
      </c>
      <c r="J13" s="59">
        <f>I13</f>
        <v>1.9863999999999999</v>
      </c>
      <c r="K13" s="59">
        <f>J13*1.04</f>
        <v>2.0658560000000001</v>
      </c>
      <c r="L13" s="59">
        <f>K13</f>
        <v>2.0658560000000001</v>
      </c>
      <c r="M13" s="59">
        <f>L13</f>
        <v>2.0658560000000001</v>
      </c>
      <c r="N13" s="59">
        <f>M13*1.04</f>
        <v>2.1484902400000001</v>
      </c>
      <c r="O13" s="59">
        <f>N13</f>
        <v>2.1484902400000001</v>
      </c>
      <c r="P13" s="59">
        <f>O13</f>
        <v>2.1484902400000001</v>
      </c>
      <c r="Q13" s="59">
        <f>P13*1.04</f>
        <v>2.2344298496000001</v>
      </c>
    </row>
    <row r="14" spans="2:34" s="4" customFormat="1" x14ac:dyDescent="0.15">
      <c r="B14" s="34" t="s">
        <v>263</v>
      </c>
      <c r="C14" s="20">
        <v>0.33</v>
      </c>
      <c r="D14" s="20">
        <v>0</v>
      </c>
      <c r="E14" s="20">
        <v>0.01</v>
      </c>
      <c r="F14" s="20">
        <v>0</v>
      </c>
      <c r="G14" s="20">
        <v>0</v>
      </c>
      <c r="H14" s="59"/>
      <c r="I14" s="59"/>
      <c r="J14" s="59"/>
      <c r="K14" s="59"/>
      <c r="L14" s="59"/>
      <c r="M14" s="59"/>
      <c r="N14" s="59"/>
      <c r="O14" s="59"/>
      <c r="P14" s="59"/>
      <c r="Q14" s="59"/>
    </row>
    <row r="15" spans="2:34" s="4" customFormat="1" x14ac:dyDescent="0.15">
      <c r="B15" s="44" t="s">
        <v>67</v>
      </c>
      <c r="C15" s="62">
        <f t="shared" ref="C15:G15" si="2">SUM(C12:C14)</f>
        <v>50.49</v>
      </c>
      <c r="D15" s="62">
        <f t="shared" si="2"/>
        <v>50.54</v>
      </c>
      <c r="E15" s="62">
        <f t="shared" si="2"/>
        <v>53.809999999999995</v>
      </c>
      <c r="F15" s="62">
        <f t="shared" si="2"/>
        <v>53.809999999999995</v>
      </c>
      <c r="G15" s="62">
        <f t="shared" si="2"/>
        <v>55.719999999999992</v>
      </c>
      <c r="H15" s="58">
        <f t="shared" ref="H15:Q15" si="3">SUM(H12:H14)</f>
        <v>57.706399999999995</v>
      </c>
      <c r="I15" s="58">
        <f t="shared" si="3"/>
        <v>59.692799999999998</v>
      </c>
      <c r="J15" s="58">
        <f t="shared" si="3"/>
        <v>61.679200000000002</v>
      </c>
      <c r="K15" s="58">
        <f t="shared" si="3"/>
        <v>63.745056000000005</v>
      </c>
      <c r="L15" s="58">
        <f t="shared" si="3"/>
        <v>65.810912000000002</v>
      </c>
      <c r="M15" s="58">
        <f t="shared" si="3"/>
        <v>67.876767999999998</v>
      </c>
      <c r="N15" s="58">
        <f t="shared" si="3"/>
        <v>70.025258239999999</v>
      </c>
      <c r="O15" s="58">
        <f t="shared" si="3"/>
        <v>72.17374848</v>
      </c>
      <c r="P15" s="58">
        <f t="shared" si="3"/>
        <v>74.322238720000001</v>
      </c>
      <c r="Q15" s="58">
        <f t="shared" si="3"/>
        <v>76.556668569600006</v>
      </c>
    </row>
    <row r="16" spans="2:34" s="4" customFormat="1" x14ac:dyDescent="0.15">
      <c r="B16" s="34" t="s">
        <v>68</v>
      </c>
      <c r="C16" s="20">
        <v>20.630000000000003</v>
      </c>
      <c r="D16" s="20">
        <f t="shared" ref="D16:Q16" si="4">SUM(C16:C18)</f>
        <v>22.650000000000002</v>
      </c>
      <c r="E16" s="20">
        <f t="shared" si="4"/>
        <v>24.650000000000002</v>
      </c>
      <c r="F16" s="20">
        <f t="shared" si="4"/>
        <v>26.720000000000002</v>
      </c>
      <c r="G16" s="20">
        <f t="shared" si="4"/>
        <v>28.570000000000004</v>
      </c>
      <c r="H16" s="59">
        <f t="shared" si="4"/>
        <v>30.430000000000003</v>
      </c>
      <c r="I16" s="59">
        <f t="shared" si="4"/>
        <v>32.364400000000003</v>
      </c>
      <c r="J16" s="59">
        <f t="shared" si="4"/>
        <v>34.2988</v>
      </c>
      <c r="K16" s="59">
        <f t="shared" si="4"/>
        <v>36.233199999999997</v>
      </c>
      <c r="L16" s="59">
        <f t="shared" si="4"/>
        <v>38.244975999999994</v>
      </c>
      <c r="M16" s="59">
        <f t="shared" si="4"/>
        <v>40.256751999999992</v>
      </c>
      <c r="N16" s="59">
        <f t="shared" si="4"/>
        <v>42.268527999999989</v>
      </c>
      <c r="O16" s="59">
        <f t="shared" si="4"/>
        <v>44.360775039999993</v>
      </c>
      <c r="P16" s="59">
        <f t="shared" si="4"/>
        <v>46.453022079999997</v>
      </c>
      <c r="Q16" s="59">
        <f t="shared" si="4"/>
        <v>48.54526912</v>
      </c>
    </row>
    <row r="17" spans="2:17" s="4" customFormat="1" x14ac:dyDescent="0.15">
      <c r="B17" s="34" t="s">
        <v>69</v>
      </c>
      <c r="C17" s="20">
        <v>2.02</v>
      </c>
      <c r="D17" s="20">
        <v>2</v>
      </c>
      <c r="E17" s="20">
        <v>2.06</v>
      </c>
      <c r="F17" s="20">
        <v>1.85</v>
      </c>
      <c r="G17" s="20">
        <v>1.86</v>
      </c>
      <c r="H17" s="59">
        <f>G17*1.04</f>
        <v>1.9344000000000001</v>
      </c>
      <c r="I17" s="59">
        <f>H17</f>
        <v>1.9344000000000001</v>
      </c>
      <c r="J17" s="59">
        <f>I17</f>
        <v>1.9344000000000001</v>
      </c>
      <c r="K17" s="59">
        <f>J17*1.04</f>
        <v>2.0117760000000002</v>
      </c>
      <c r="L17" s="59">
        <f>K17</f>
        <v>2.0117760000000002</v>
      </c>
      <c r="M17" s="59">
        <f>L17</f>
        <v>2.0117760000000002</v>
      </c>
      <c r="N17" s="59">
        <f>M17*1.04</f>
        <v>2.0922470400000002</v>
      </c>
      <c r="O17" s="59">
        <f>N17</f>
        <v>2.0922470400000002</v>
      </c>
      <c r="P17" s="59">
        <f>O17</f>
        <v>2.0922470400000002</v>
      </c>
      <c r="Q17" s="59">
        <f>P17*1.04</f>
        <v>2.1759369216000004</v>
      </c>
    </row>
    <row r="18" spans="2:17" s="4" customFormat="1" x14ac:dyDescent="0.15">
      <c r="B18" s="34" t="s">
        <v>263</v>
      </c>
      <c r="C18" s="20">
        <v>0</v>
      </c>
      <c r="D18" s="20">
        <v>0</v>
      </c>
      <c r="E18" s="20">
        <v>0.01</v>
      </c>
      <c r="F18" s="20">
        <v>0</v>
      </c>
      <c r="G18" s="20">
        <v>0</v>
      </c>
      <c r="H18" s="58"/>
      <c r="I18" s="58"/>
      <c r="J18" s="58"/>
      <c r="K18" s="58"/>
      <c r="L18" s="58"/>
      <c r="M18" s="58"/>
      <c r="N18" s="58"/>
      <c r="O18" s="58"/>
      <c r="P18" s="58"/>
      <c r="Q18" s="58"/>
    </row>
    <row r="19" spans="2:17" s="4" customFormat="1" ht="15" thickBot="1" x14ac:dyDescent="0.2">
      <c r="B19" s="44" t="s">
        <v>70</v>
      </c>
      <c r="C19" s="242">
        <f t="shared" ref="C19:G19" si="5">C15-SUM(C16:C18)</f>
        <v>27.84</v>
      </c>
      <c r="D19" s="60">
        <f t="shared" si="5"/>
        <v>25.889999999999997</v>
      </c>
      <c r="E19" s="60">
        <f t="shared" si="5"/>
        <v>27.089999999999993</v>
      </c>
      <c r="F19" s="60">
        <f t="shared" si="5"/>
        <v>25.239999999999991</v>
      </c>
      <c r="G19" s="60">
        <f t="shared" si="5"/>
        <v>25.289999999999988</v>
      </c>
      <c r="H19" s="61">
        <f t="shared" ref="H19:Q19" si="6">H15-SUM(H16:H18)</f>
        <v>25.341999999999992</v>
      </c>
      <c r="I19" s="61">
        <f t="shared" si="6"/>
        <v>25.393999999999998</v>
      </c>
      <c r="J19" s="61">
        <f t="shared" si="6"/>
        <v>25.446000000000005</v>
      </c>
      <c r="K19" s="61">
        <f t="shared" si="6"/>
        <v>25.500080000000011</v>
      </c>
      <c r="L19" s="61">
        <f t="shared" si="6"/>
        <v>25.55416000000001</v>
      </c>
      <c r="M19" s="61">
        <f t="shared" si="6"/>
        <v>25.608240000000009</v>
      </c>
      <c r="N19" s="61">
        <f t="shared" si="6"/>
        <v>25.664483200000006</v>
      </c>
      <c r="O19" s="61">
        <f t="shared" si="6"/>
        <v>25.720726400000004</v>
      </c>
      <c r="P19" s="61">
        <f t="shared" si="6"/>
        <v>25.776969600000001</v>
      </c>
      <c r="Q19" s="61">
        <f t="shared" si="6"/>
        <v>25.835462528000008</v>
      </c>
    </row>
    <row r="20" spans="2:17" ht="15" thickTop="1" x14ac:dyDescent="0.15">
      <c r="B20" s="34"/>
      <c r="C20" s="63"/>
      <c r="D20" s="63"/>
      <c r="E20" s="63"/>
      <c r="F20" s="63"/>
      <c r="G20" s="63"/>
      <c r="H20" s="59"/>
      <c r="I20" s="59"/>
      <c r="J20" s="59"/>
      <c r="K20" s="59"/>
      <c r="L20" s="59"/>
      <c r="M20" s="59"/>
      <c r="N20" s="59"/>
      <c r="O20" s="59"/>
      <c r="P20" s="59"/>
      <c r="Q20" s="59"/>
    </row>
    <row r="21" spans="2:17" x14ac:dyDescent="0.15">
      <c r="B21" s="44" t="s">
        <v>251</v>
      </c>
      <c r="C21" s="63"/>
      <c r="D21" s="63"/>
      <c r="E21" s="63"/>
      <c r="F21" s="63"/>
      <c r="G21" s="63"/>
      <c r="H21" s="59"/>
      <c r="I21" s="59"/>
      <c r="J21" s="59"/>
      <c r="K21" s="59"/>
      <c r="L21" s="59"/>
      <c r="M21" s="59"/>
      <c r="N21" s="59"/>
      <c r="O21" s="59"/>
      <c r="P21" s="59"/>
      <c r="Q21" s="59"/>
    </row>
    <row r="22" spans="2:17" s="4" customFormat="1" x14ac:dyDescent="0.15">
      <c r="B22" s="44" t="s">
        <v>65</v>
      </c>
      <c r="C22" s="57">
        <v>42.060000000000009</v>
      </c>
      <c r="D22" s="57">
        <f t="shared" ref="D22:G22" si="7">C27</f>
        <v>39.990000000000009</v>
      </c>
      <c r="E22" s="57">
        <f t="shared" si="7"/>
        <v>61.610000000000014</v>
      </c>
      <c r="F22" s="57">
        <f t="shared" si="7"/>
        <v>70.670000000000016</v>
      </c>
      <c r="G22" s="57">
        <f t="shared" si="7"/>
        <v>65.010000000000019</v>
      </c>
      <c r="H22" s="58">
        <f t="shared" ref="H22" si="8">G27</f>
        <v>72.410000000000011</v>
      </c>
      <c r="I22" s="58">
        <f t="shared" ref="I22" si="9">H27</f>
        <v>80.106000000000009</v>
      </c>
      <c r="J22" s="58">
        <f t="shared" ref="J22" si="10">I27</f>
        <v>87.802000000000007</v>
      </c>
      <c r="K22" s="58">
        <f t="shared" ref="K22" si="11">J27</f>
        <v>95.498000000000005</v>
      </c>
      <c r="L22" s="58">
        <f t="shared" ref="L22" si="12">K27</f>
        <v>103.50184</v>
      </c>
      <c r="M22" s="58">
        <f t="shared" ref="M22" si="13">L27</f>
        <v>111.50568</v>
      </c>
      <c r="N22" s="58">
        <f t="shared" ref="N22" si="14">M27</f>
        <v>119.50951999999999</v>
      </c>
      <c r="O22" s="58">
        <f t="shared" ref="O22" si="15">N27</f>
        <v>127.8335136</v>
      </c>
      <c r="P22" s="58">
        <f t="shared" ref="P22" si="16">O27</f>
        <v>136.15750720000003</v>
      </c>
      <c r="Q22" s="58">
        <f t="shared" ref="Q22" si="17">P27</f>
        <v>144.48150080000005</v>
      </c>
    </row>
    <row r="23" spans="2:17" x14ac:dyDescent="0.15">
      <c r="B23" s="34" t="s">
        <v>313</v>
      </c>
      <c r="C23" s="20">
        <v>0</v>
      </c>
      <c r="D23" s="20">
        <v>0</v>
      </c>
      <c r="E23" s="20">
        <v>1.1399999999999999</v>
      </c>
      <c r="F23" s="20">
        <v>0.23</v>
      </c>
      <c r="G23" s="20">
        <v>0</v>
      </c>
      <c r="H23" s="59"/>
      <c r="I23" s="59"/>
      <c r="J23" s="59"/>
      <c r="K23" s="59"/>
      <c r="L23" s="59"/>
      <c r="M23" s="59"/>
      <c r="N23" s="59"/>
      <c r="O23" s="59"/>
      <c r="P23" s="59"/>
      <c r="Q23" s="59"/>
    </row>
    <row r="24" spans="2:17" x14ac:dyDescent="0.15">
      <c r="B24" s="34" t="s">
        <v>66</v>
      </c>
      <c r="C24" s="20">
        <v>7.56</v>
      </c>
      <c r="D24" s="20">
        <v>24.7</v>
      </c>
      <c r="E24" s="20">
        <v>11.17</v>
      </c>
      <c r="F24" s="20">
        <v>3.67</v>
      </c>
      <c r="G24" s="20">
        <v>8.32</v>
      </c>
      <c r="H24" s="59">
        <f>G24*1.04</f>
        <v>8.6528000000000009</v>
      </c>
      <c r="I24" s="59">
        <f t="shared" ref="I24:J26" si="18">H24</f>
        <v>8.6528000000000009</v>
      </c>
      <c r="J24" s="59">
        <f t="shared" si="18"/>
        <v>8.6528000000000009</v>
      </c>
      <c r="K24" s="59">
        <f>J24*1.04</f>
        <v>8.9989120000000007</v>
      </c>
      <c r="L24" s="59">
        <f t="shared" ref="L24:M26" si="19">K24</f>
        <v>8.9989120000000007</v>
      </c>
      <c r="M24" s="59">
        <f t="shared" si="19"/>
        <v>8.9989120000000007</v>
      </c>
      <c r="N24" s="59">
        <f>M24*1.04</f>
        <v>9.3588684800000017</v>
      </c>
      <c r="O24" s="59">
        <f t="shared" ref="O24:P26" si="20">N24</f>
        <v>9.3588684800000017</v>
      </c>
      <c r="P24" s="59">
        <f t="shared" si="20"/>
        <v>9.3588684800000017</v>
      </c>
      <c r="Q24" s="59">
        <f>P24*1.04</f>
        <v>9.7332232192000028</v>
      </c>
    </row>
    <row r="25" spans="2:17" x14ac:dyDescent="0.15">
      <c r="B25" s="34" t="s">
        <v>263</v>
      </c>
      <c r="C25" s="20">
        <v>0.05</v>
      </c>
      <c r="D25" s="20">
        <v>-0.14000000000000001</v>
      </c>
      <c r="E25" s="20">
        <v>0.57999999999999996</v>
      </c>
      <c r="F25" s="20">
        <v>0.39</v>
      </c>
      <c r="G25" s="20">
        <v>1.06</v>
      </c>
      <c r="H25" s="59">
        <f>G25*1.04</f>
        <v>1.1024</v>
      </c>
      <c r="I25" s="59">
        <f t="shared" si="18"/>
        <v>1.1024</v>
      </c>
      <c r="J25" s="59">
        <f t="shared" si="18"/>
        <v>1.1024</v>
      </c>
      <c r="K25" s="59">
        <f>J25*1.04</f>
        <v>1.1464960000000002</v>
      </c>
      <c r="L25" s="59">
        <f t="shared" si="19"/>
        <v>1.1464960000000002</v>
      </c>
      <c r="M25" s="59">
        <f t="shared" si="19"/>
        <v>1.1464960000000002</v>
      </c>
      <c r="N25" s="59">
        <f>M25*1.04</f>
        <v>1.1923558400000003</v>
      </c>
      <c r="O25" s="59">
        <f t="shared" si="20"/>
        <v>1.1923558400000003</v>
      </c>
      <c r="P25" s="59">
        <f t="shared" si="20"/>
        <v>1.1923558400000003</v>
      </c>
      <c r="Q25" s="59">
        <f>P25*1.04</f>
        <v>1.2400500736000004</v>
      </c>
    </row>
    <row r="26" spans="2:17" x14ac:dyDescent="0.15">
      <c r="B26" s="34" t="s">
        <v>314</v>
      </c>
      <c r="C26" s="20">
        <v>-9.68</v>
      </c>
      <c r="D26" s="20">
        <v>-2.94</v>
      </c>
      <c r="E26" s="20">
        <v>-3.83</v>
      </c>
      <c r="F26" s="20">
        <v>-9.9499999999999993</v>
      </c>
      <c r="G26" s="20">
        <v>-1.98</v>
      </c>
      <c r="H26" s="59">
        <f>G26*1.04</f>
        <v>-2.0592000000000001</v>
      </c>
      <c r="I26" s="59">
        <f t="shared" si="18"/>
        <v>-2.0592000000000001</v>
      </c>
      <c r="J26" s="59">
        <f t="shared" si="18"/>
        <v>-2.0592000000000001</v>
      </c>
      <c r="K26" s="59">
        <f>J26*1.04</f>
        <v>-2.1415680000000004</v>
      </c>
      <c r="L26" s="59">
        <f t="shared" si="19"/>
        <v>-2.1415680000000004</v>
      </c>
      <c r="M26" s="59">
        <f t="shared" si="19"/>
        <v>-2.1415680000000004</v>
      </c>
      <c r="N26" s="59">
        <f>M26*1.04</f>
        <v>-2.2272307200000006</v>
      </c>
      <c r="O26" s="59">
        <f t="shared" si="20"/>
        <v>-2.2272307200000006</v>
      </c>
      <c r="P26" s="59">
        <f t="shared" si="20"/>
        <v>-2.2272307200000006</v>
      </c>
      <c r="Q26" s="59">
        <f>P26*1.04</f>
        <v>-2.3163199488000008</v>
      </c>
    </row>
    <row r="27" spans="2:17" x14ac:dyDescent="0.15">
      <c r="B27" s="44" t="s">
        <v>67</v>
      </c>
      <c r="C27" s="62">
        <f t="shared" ref="C27:G27" si="21">SUM(C22:C26)</f>
        <v>39.990000000000009</v>
      </c>
      <c r="D27" s="62">
        <f t="shared" si="21"/>
        <v>61.610000000000014</v>
      </c>
      <c r="E27" s="62">
        <f t="shared" si="21"/>
        <v>70.670000000000016</v>
      </c>
      <c r="F27" s="62">
        <f t="shared" si="21"/>
        <v>65.010000000000019</v>
      </c>
      <c r="G27" s="62">
        <f t="shared" si="21"/>
        <v>72.410000000000011</v>
      </c>
      <c r="H27" s="58">
        <f>SUM(H22:H26)</f>
        <v>80.106000000000009</v>
      </c>
      <c r="I27" s="58">
        <f t="shared" ref="I27:Q27" si="22">SUM(I22:I26)</f>
        <v>87.802000000000007</v>
      </c>
      <c r="J27" s="58">
        <f t="shared" si="22"/>
        <v>95.498000000000005</v>
      </c>
      <c r="K27" s="58">
        <f t="shared" si="22"/>
        <v>103.50184</v>
      </c>
      <c r="L27" s="58">
        <f t="shared" si="22"/>
        <v>111.50568</v>
      </c>
      <c r="M27" s="58">
        <f t="shared" si="22"/>
        <v>119.50951999999999</v>
      </c>
      <c r="N27" s="58">
        <f t="shared" si="22"/>
        <v>127.8335136</v>
      </c>
      <c r="O27" s="58">
        <f t="shared" si="22"/>
        <v>136.15750720000003</v>
      </c>
      <c r="P27" s="58">
        <f t="shared" si="22"/>
        <v>144.48150080000005</v>
      </c>
      <c r="Q27" s="58">
        <f t="shared" si="22"/>
        <v>153.13845414400004</v>
      </c>
    </row>
    <row r="28" spans="2:17" x14ac:dyDescent="0.15">
      <c r="B28" s="34" t="s">
        <v>68</v>
      </c>
      <c r="C28" s="20">
        <v>37.590000000000003</v>
      </c>
      <c r="D28" s="20">
        <f t="shared" ref="D28:G28" si="23">SUM(C28:C31)</f>
        <v>32.820000000000007</v>
      </c>
      <c r="E28" s="20">
        <f t="shared" si="23"/>
        <v>41.110000000000007</v>
      </c>
      <c r="F28" s="20">
        <f t="shared" si="23"/>
        <v>54.840000000000011</v>
      </c>
      <c r="G28" s="20">
        <f t="shared" si="23"/>
        <v>55.730000000000018</v>
      </c>
      <c r="H28" s="59">
        <f t="shared" ref="H28:Q28" si="24">SUM(G28:G31)</f>
        <v>62.460000000000015</v>
      </c>
      <c r="I28" s="59">
        <f t="shared" si="24"/>
        <v>69.459200000000024</v>
      </c>
      <c r="J28" s="59">
        <f t="shared" si="24"/>
        <v>76.458400000000026</v>
      </c>
      <c r="K28" s="59">
        <f t="shared" si="24"/>
        <v>83.457600000000028</v>
      </c>
      <c r="L28" s="59">
        <f t="shared" si="24"/>
        <v>90.736768000000026</v>
      </c>
      <c r="M28" s="59">
        <f t="shared" si="24"/>
        <v>98.015936000000025</v>
      </c>
      <c r="N28" s="59">
        <f t="shared" si="24"/>
        <v>105.29510400000002</v>
      </c>
      <c r="O28" s="59">
        <f t="shared" si="24"/>
        <v>112.86543872000003</v>
      </c>
      <c r="P28" s="59">
        <f t="shared" si="24"/>
        <v>120.43577344000003</v>
      </c>
      <c r="Q28" s="59">
        <f t="shared" si="24"/>
        <v>128.00610816000003</v>
      </c>
    </row>
    <row r="29" spans="2:17" x14ac:dyDescent="0.15">
      <c r="B29" s="34" t="s">
        <v>69</v>
      </c>
      <c r="C29" s="20">
        <v>4.53</v>
      </c>
      <c r="D29" s="20">
        <v>11.1</v>
      </c>
      <c r="E29" s="20">
        <v>16.989999999999998</v>
      </c>
      <c r="F29" s="20">
        <v>9.58</v>
      </c>
      <c r="G29" s="20">
        <v>7.87</v>
      </c>
      <c r="H29" s="59">
        <f>G29*1.04</f>
        <v>8.184800000000001</v>
      </c>
      <c r="I29" s="59">
        <f t="shared" ref="I29:J31" si="25">H29</f>
        <v>8.184800000000001</v>
      </c>
      <c r="J29" s="59">
        <f t="shared" si="25"/>
        <v>8.184800000000001</v>
      </c>
      <c r="K29" s="59">
        <f>J29*1.04</f>
        <v>8.5121920000000006</v>
      </c>
      <c r="L29" s="59">
        <f t="shared" ref="L29:M31" si="26">K29</f>
        <v>8.5121920000000006</v>
      </c>
      <c r="M29" s="59">
        <f t="shared" si="26"/>
        <v>8.5121920000000006</v>
      </c>
      <c r="N29" s="59">
        <f>M29*1.04</f>
        <v>8.8526796800000014</v>
      </c>
      <c r="O29" s="59">
        <f t="shared" ref="O29:P31" si="27">N29</f>
        <v>8.8526796800000014</v>
      </c>
      <c r="P29" s="59">
        <f t="shared" si="27"/>
        <v>8.8526796800000014</v>
      </c>
      <c r="Q29" s="59">
        <f>P29*1.04</f>
        <v>9.2067868672000017</v>
      </c>
    </row>
    <row r="30" spans="2:17" x14ac:dyDescent="0.15">
      <c r="B30" s="34" t="s">
        <v>263</v>
      </c>
      <c r="C30" s="20">
        <v>0.21</v>
      </c>
      <c r="D30" s="20">
        <v>0.04</v>
      </c>
      <c r="E30" s="20">
        <v>0.52</v>
      </c>
      <c r="F30" s="20">
        <v>0.31</v>
      </c>
      <c r="G30" s="20">
        <v>0.82</v>
      </c>
      <c r="H30" s="59">
        <f>G30*1.04</f>
        <v>0.8528</v>
      </c>
      <c r="I30" s="59">
        <f t="shared" si="25"/>
        <v>0.8528</v>
      </c>
      <c r="J30" s="59">
        <f t="shared" si="25"/>
        <v>0.8528</v>
      </c>
      <c r="K30" s="59">
        <f>J30*1.04</f>
        <v>0.88691200000000003</v>
      </c>
      <c r="L30" s="59">
        <f t="shared" si="26"/>
        <v>0.88691200000000003</v>
      </c>
      <c r="M30" s="59">
        <f t="shared" si="26"/>
        <v>0.88691200000000003</v>
      </c>
      <c r="N30" s="59">
        <f>M30*1.04</f>
        <v>0.92238848000000007</v>
      </c>
      <c r="O30" s="59">
        <f t="shared" si="27"/>
        <v>0.92238848000000007</v>
      </c>
      <c r="P30" s="59">
        <f t="shared" si="27"/>
        <v>0.92238848000000007</v>
      </c>
      <c r="Q30" s="59">
        <f>P30*1.04</f>
        <v>0.95928401920000006</v>
      </c>
    </row>
    <row r="31" spans="2:17" x14ac:dyDescent="0.15">
      <c r="B31" s="34" t="s">
        <v>314</v>
      </c>
      <c r="C31" s="20">
        <v>-9.51</v>
      </c>
      <c r="D31" s="20">
        <v>-2.85</v>
      </c>
      <c r="E31" s="20">
        <v>-3.78</v>
      </c>
      <c r="F31" s="20">
        <v>-9</v>
      </c>
      <c r="G31" s="20">
        <v>-1.96</v>
      </c>
      <c r="H31" s="59">
        <f>G31*1.04</f>
        <v>-2.0384000000000002</v>
      </c>
      <c r="I31" s="59">
        <f t="shared" si="25"/>
        <v>-2.0384000000000002</v>
      </c>
      <c r="J31" s="59">
        <f t="shared" si="25"/>
        <v>-2.0384000000000002</v>
      </c>
      <c r="K31" s="59">
        <f>J31*1.04</f>
        <v>-2.1199360000000005</v>
      </c>
      <c r="L31" s="59">
        <f t="shared" si="26"/>
        <v>-2.1199360000000005</v>
      </c>
      <c r="M31" s="59">
        <f t="shared" si="26"/>
        <v>-2.1199360000000005</v>
      </c>
      <c r="N31" s="59">
        <f>M31*1.04</f>
        <v>-2.2047334400000005</v>
      </c>
      <c r="O31" s="59">
        <f t="shared" si="27"/>
        <v>-2.2047334400000005</v>
      </c>
      <c r="P31" s="59">
        <f t="shared" si="27"/>
        <v>-2.2047334400000005</v>
      </c>
      <c r="Q31" s="59">
        <f>P31*1.04</f>
        <v>-2.2929227776000007</v>
      </c>
    </row>
    <row r="32" spans="2:17" ht="15" thickBot="1" x14ac:dyDescent="0.2">
      <c r="B32" s="44" t="s">
        <v>70</v>
      </c>
      <c r="C32" s="242">
        <f t="shared" ref="C32:G32" si="28">C27-SUM(C28:C31)</f>
        <v>7.1700000000000017</v>
      </c>
      <c r="D32" s="60">
        <f t="shared" si="28"/>
        <v>20.500000000000007</v>
      </c>
      <c r="E32" s="60">
        <f t="shared" si="28"/>
        <v>15.830000000000005</v>
      </c>
      <c r="F32" s="60">
        <f t="shared" si="28"/>
        <v>9.2800000000000011</v>
      </c>
      <c r="G32" s="60">
        <f t="shared" si="28"/>
        <v>9.9499999999999957</v>
      </c>
      <c r="H32" s="61">
        <f t="shared" ref="H32:Q32" si="29">H27-SUM(H28:H31)</f>
        <v>10.646799999999985</v>
      </c>
      <c r="I32" s="61">
        <f t="shared" si="29"/>
        <v>11.343599999999981</v>
      </c>
      <c r="J32" s="61">
        <f t="shared" si="29"/>
        <v>12.040399999999977</v>
      </c>
      <c r="K32" s="61">
        <f t="shared" si="29"/>
        <v>12.765071999999975</v>
      </c>
      <c r="L32" s="61">
        <f t="shared" si="29"/>
        <v>13.489743999999973</v>
      </c>
      <c r="M32" s="61">
        <f t="shared" si="29"/>
        <v>14.214415999999972</v>
      </c>
      <c r="N32" s="61">
        <f t="shared" si="29"/>
        <v>14.968074879999975</v>
      </c>
      <c r="O32" s="61">
        <f t="shared" si="29"/>
        <v>15.721733759999992</v>
      </c>
      <c r="P32" s="61">
        <f t="shared" si="29"/>
        <v>16.475392640000024</v>
      </c>
      <c r="Q32" s="61">
        <f t="shared" si="29"/>
        <v>17.259197875200016</v>
      </c>
    </row>
    <row r="33" spans="2:34" ht="15" thickTop="1" x14ac:dyDescent="0.15">
      <c r="B33" s="44"/>
      <c r="C33" s="63"/>
      <c r="D33" s="63"/>
      <c r="E33" s="63"/>
      <c r="F33" s="63"/>
      <c r="G33" s="63"/>
      <c r="H33" s="59"/>
      <c r="I33" s="59"/>
      <c r="J33" s="59"/>
      <c r="K33" s="59"/>
      <c r="L33" s="59"/>
      <c r="M33" s="59"/>
      <c r="N33" s="59"/>
      <c r="O33" s="59"/>
      <c r="P33" s="59"/>
      <c r="Q33" s="59"/>
    </row>
    <row r="34" spans="2:34" s="4" customFormat="1" x14ac:dyDescent="0.15">
      <c r="B34" s="44" t="s">
        <v>386</v>
      </c>
      <c r="C34" s="62"/>
      <c r="D34" s="62"/>
      <c r="E34" s="62"/>
      <c r="F34" s="62"/>
      <c r="G34" s="62"/>
      <c r="H34" s="59"/>
      <c r="I34" s="58"/>
      <c r="J34" s="58"/>
      <c r="K34" s="58"/>
      <c r="L34" s="58"/>
      <c r="M34" s="58"/>
      <c r="N34" s="58"/>
      <c r="O34" s="58"/>
      <c r="P34" s="58"/>
      <c r="Q34" s="58"/>
    </row>
    <row r="35" spans="2:34" s="4" customFormat="1" x14ac:dyDescent="0.15">
      <c r="B35" s="44" t="s">
        <v>65</v>
      </c>
      <c r="C35" s="57">
        <v>22.970000000000002</v>
      </c>
      <c r="D35" s="57">
        <f t="shared" ref="D35:G35" si="30">C39</f>
        <v>22.5</v>
      </c>
      <c r="E35" s="57">
        <f t="shared" si="30"/>
        <v>22.419999999999998</v>
      </c>
      <c r="F35" s="57">
        <f t="shared" si="30"/>
        <v>24.599999999999998</v>
      </c>
      <c r="G35" s="57">
        <f t="shared" si="30"/>
        <v>18.779999999999994</v>
      </c>
      <c r="H35" s="58">
        <f>G39</f>
        <v>20.169999999999991</v>
      </c>
      <c r="I35" s="58">
        <f t="shared" ref="I35:Q35" si="31">H39</f>
        <v>21.61559999999999</v>
      </c>
      <c r="J35" s="58">
        <f t="shared" si="31"/>
        <v>23.061199999999989</v>
      </c>
      <c r="K35" s="58">
        <f t="shared" si="31"/>
        <v>24.506799999999988</v>
      </c>
      <c r="L35" s="58">
        <f t="shared" si="31"/>
        <v>26.01022399999999</v>
      </c>
      <c r="M35" s="58">
        <f t="shared" si="31"/>
        <v>27.513647999999993</v>
      </c>
      <c r="N35" s="58">
        <f t="shared" si="31"/>
        <v>29.017071999999995</v>
      </c>
      <c r="O35" s="58">
        <f t="shared" si="31"/>
        <v>30.580632959999996</v>
      </c>
      <c r="P35" s="58">
        <f t="shared" si="31"/>
        <v>32.144193919999992</v>
      </c>
      <c r="Q35" s="58">
        <f t="shared" si="31"/>
        <v>33.707754879999989</v>
      </c>
    </row>
    <row r="36" spans="2:34" x14ac:dyDescent="0.15">
      <c r="B36" s="34" t="s">
        <v>66</v>
      </c>
      <c r="C36" s="20">
        <v>0.34</v>
      </c>
      <c r="D36" s="20">
        <v>0</v>
      </c>
      <c r="E36" s="20">
        <v>2.25</v>
      </c>
      <c r="F36" s="20">
        <v>2.86</v>
      </c>
      <c r="G36" s="20">
        <v>1.31</v>
      </c>
      <c r="H36" s="59">
        <f>G36*1.04</f>
        <v>1.3624000000000001</v>
      </c>
      <c r="I36" s="59">
        <f t="shared" ref="I36:J38" si="32">H36</f>
        <v>1.3624000000000001</v>
      </c>
      <c r="J36" s="59">
        <f t="shared" si="32"/>
        <v>1.3624000000000001</v>
      </c>
      <c r="K36" s="59">
        <f>J36*1.04</f>
        <v>1.4168960000000002</v>
      </c>
      <c r="L36" s="59">
        <f t="shared" ref="L36:M38" si="33">K36</f>
        <v>1.4168960000000002</v>
      </c>
      <c r="M36" s="59">
        <f t="shared" si="33"/>
        <v>1.4168960000000002</v>
      </c>
      <c r="N36" s="59">
        <f>M36*1.04</f>
        <v>1.4735718400000002</v>
      </c>
      <c r="O36" s="59">
        <f t="shared" ref="O36:P38" si="34">N36</f>
        <v>1.4735718400000002</v>
      </c>
      <c r="P36" s="59">
        <f t="shared" si="34"/>
        <v>1.4735718400000002</v>
      </c>
      <c r="Q36" s="59">
        <f>P36*1.04</f>
        <v>1.5325147136000004</v>
      </c>
      <c r="W36" s="93"/>
      <c r="X36" s="93"/>
      <c r="Y36" s="93"/>
      <c r="Z36" s="93"/>
      <c r="AA36" s="93"/>
      <c r="AB36" s="67"/>
      <c r="AD36" s="67"/>
      <c r="AE36" s="67"/>
      <c r="AF36" s="67"/>
      <c r="AG36" s="41"/>
      <c r="AH36" s="41"/>
    </row>
    <row r="37" spans="2:34" x14ac:dyDescent="0.15">
      <c r="B37" s="34" t="s">
        <v>263</v>
      </c>
      <c r="C37" s="20">
        <v>0.08</v>
      </c>
      <c r="D37" s="20">
        <v>-0.01</v>
      </c>
      <c r="E37" s="20">
        <v>0.03</v>
      </c>
      <c r="F37" s="20">
        <v>0.04</v>
      </c>
      <c r="G37" s="20">
        <v>0.09</v>
      </c>
      <c r="H37" s="59">
        <f>G37*1.04</f>
        <v>9.3600000000000003E-2</v>
      </c>
      <c r="I37" s="59">
        <f t="shared" si="32"/>
        <v>9.3600000000000003E-2</v>
      </c>
      <c r="J37" s="59">
        <f t="shared" si="32"/>
        <v>9.3600000000000003E-2</v>
      </c>
      <c r="K37" s="59">
        <f>J37*1.04</f>
        <v>9.7344E-2</v>
      </c>
      <c r="L37" s="59">
        <f t="shared" si="33"/>
        <v>9.7344E-2</v>
      </c>
      <c r="M37" s="59">
        <f t="shared" si="33"/>
        <v>9.7344E-2</v>
      </c>
      <c r="N37" s="59">
        <f>M37*1.04</f>
        <v>0.10123776000000001</v>
      </c>
      <c r="O37" s="59">
        <f t="shared" si="34"/>
        <v>0.10123776000000001</v>
      </c>
      <c r="P37" s="59">
        <f t="shared" si="34"/>
        <v>0.10123776000000001</v>
      </c>
      <c r="Q37" s="59">
        <f>P37*1.04</f>
        <v>0.10528727040000001</v>
      </c>
      <c r="W37" s="93"/>
      <c r="X37" s="93"/>
      <c r="Y37" s="93"/>
      <c r="Z37" s="93"/>
      <c r="AA37" s="93"/>
      <c r="AB37" s="67"/>
      <c r="AD37" s="67"/>
      <c r="AE37" s="67"/>
      <c r="AF37" s="67"/>
      <c r="AG37" s="41"/>
      <c r="AH37" s="41"/>
    </row>
    <row r="38" spans="2:34" x14ac:dyDescent="0.15">
      <c r="B38" s="34" t="s">
        <v>314</v>
      </c>
      <c r="C38" s="20">
        <v>-0.89</v>
      </c>
      <c r="D38" s="20">
        <v>-7.0000000000000007E-2</v>
      </c>
      <c r="E38" s="20">
        <v>-0.1</v>
      </c>
      <c r="F38" s="20">
        <v>-8.7200000000000006</v>
      </c>
      <c r="G38" s="20">
        <v>-0.01</v>
      </c>
      <c r="H38" s="59">
        <f>G38*1.04</f>
        <v>-1.0400000000000001E-2</v>
      </c>
      <c r="I38" s="59">
        <f t="shared" si="32"/>
        <v>-1.0400000000000001E-2</v>
      </c>
      <c r="J38" s="59">
        <f t="shared" si="32"/>
        <v>-1.0400000000000001E-2</v>
      </c>
      <c r="K38" s="59">
        <f>J38*1.04</f>
        <v>-1.0816000000000001E-2</v>
      </c>
      <c r="L38" s="59">
        <f t="shared" si="33"/>
        <v>-1.0816000000000001E-2</v>
      </c>
      <c r="M38" s="59">
        <f t="shared" si="33"/>
        <v>-1.0816000000000001E-2</v>
      </c>
      <c r="N38" s="59">
        <f>M38*1.04</f>
        <v>-1.1248640000000001E-2</v>
      </c>
      <c r="O38" s="59">
        <f t="shared" si="34"/>
        <v>-1.1248640000000001E-2</v>
      </c>
      <c r="P38" s="59">
        <f t="shared" si="34"/>
        <v>-1.1248640000000001E-2</v>
      </c>
      <c r="Q38" s="59">
        <f>P38*1.04</f>
        <v>-1.1698585600000002E-2</v>
      </c>
      <c r="W38" s="93"/>
      <c r="X38" s="93"/>
      <c r="Y38" s="93"/>
      <c r="Z38" s="93"/>
      <c r="AA38" s="93"/>
      <c r="AB38" s="67"/>
      <c r="AD38" s="67"/>
      <c r="AE38" s="67"/>
      <c r="AF38" s="67"/>
      <c r="AG38" s="41"/>
      <c r="AH38" s="41"/>
    </row>
    <row r="39" spans="2:34" x14ac:dyDescent="0.15">
      <c r="B39" s="44" t="s">
        <v>67</v>
      </c>
      <c r="C39" s="62">
        <f t="shared" ref="C39:Q39" si="35">SUM(C35:C38)</f>
        <v>22.5</v>
      </c>
      <c r="D39" s="62">
        <f t="shared" si="35"/>
        <v>22.419999999999998</v>
      </c>
      <c r="E39" s="62">
        <f t="shared" si="35"/>
        <v>24.599999999999998</v>
      </c>
      <c r="F39" s="62">
        <f t="shared" si="35"/>
        <v>18.779999999999994</v>
      </c>
      <c r="G39" s="62">
        <f t="shared" si="35"/>
        <v>20.169999999999991</v>
      </c>
      <c r="H39" s="58">
        <f t="shared" si="35"/>
        <v>21.61559999999999</v>
      </c>
      <c r="I39" s="58">
        <f t="shared" si="35"/>
        <v>23.061199999999989</v>
      </c>
      <c r="J39" s="58">
        <f t="shared" si="35"/>
        <v>24.506799999999988</v>
      </c>
      <c r="K39" s="58">
        <f t="shared" si="35"/>
        <v>26.01022399999999</v>
      </c>
      <c r="L39" s="58">
        <f t="shared" si="35"/>
        <v>27.513647999999993</v>
      </c>
      <c r="M39" s="58">
        <f t="shared" si="35"/>
        <v>29.017071999999995</v>
      </c>
      <c r="N39" s="58">
        <f t="shared" si="35"/>
        <v>30.580632959999996</v>
      </c>
      <c r="O39" s="58">
        <f t="shared" si="35"/>
        <v>32.144193919999992</v>
      </c>
      <c r="P39" s="58">
        <f t="shared" si="35"/>
        <v>33.707754879999989</v>
      </c>
      <c r="Q39" s="58">
        <f t="shared" si="35"/>
        <v>35.333858278399987</v>
      </c>
      <c r="W39" s="93"/>
      <c r="X39" s="93"/>
      <c r="Y39" s="93"/>
      <c r="Z39" s="93"/>
      <c r="AA39" s="93"/>
      <c r="AB39" s="67"/>
      <c r="AD39" s="67"/>
      <c r="AE39" s="67"/>
      <c r="AF39" s="67"/>
      <c r="AG39" s="41"/>
      <c r="AH39" s="41"/>
    </row>
    <row r="40" spans="2:34" x14ac:dyDescent="0.15">
      <c r="B40" s="34" t="s">
        <v>68</v>
      </c>
      <c r="C40" s="20">
        <v>20.9</v>
      </c>
      <c r="D40" s="20">
        <f t="shared" ref="D40:G40" si="36">SUM(C40:C43)</f>
        <v>20.99</v>
      </c>
      <c r="E40" s="20">
        <f t="shared" si="36"/>
        <v>21.66</v>
      </c>
      <c r="F40" s="20">
        <f t="shared" si="36"/>
        <v>22.259999999999998</v>
      </c>
      <c r="G40" s="20">
        <f t="shared" si="36"/>
        <v>14.6</v>
      </c>
      <c r="H40" s="59">
        <f t="shared" ref="H40:Q40" si="37">SUM(G40:G43)</f>
        <v>15.93</v>
      </c>
      <c r="I40" s="59">
        <f t="shared" si="37"/>
        <v>17.313199999999998</v>
      </c>
      <c r="J40" s="59">
        <f t="shared" si="37"/>
        <v>18.696399999999997</v>
      </c>
      <c r="K40" s="59">
        <f t="shared" si="37"/>
        <v>20.079599999999996</v>
      </c>
      <c r="L40" s="59">
        <f t="shared" si="37"/>
        <v>21.518127999999997</v>
      </c>
      <c r="M40" s="59">
        <f t="shared" si="37"/>
        <v>22.956655999999999</v>
      </c>
      <c r="N40" s="59">
        <f t="shared" si="37"/>
        <v>24.395184</v>
      </c>
      <c r="O40" s="59">
        <f t="shared" si="37"/>
        <v>25.891253119999998</v>
      </c>
      <c r="P40" s="59">
        <f t="shared" si="37"/>
        <v>27.387322239999996</v>
      </c>
      <c r="Q40" s="59">
        <f t="shared" si="37"/>
        <v>28.883391359999994</v>
      </c>
      <c r="W40" s="93"/>
      <c r="X40" s="93"/>
      <c r="Y40" s="93"/>
      <c r="Z40" s="93"/>
      <c r="AA40" s="93"/>
      <c r="AB40" s="67"/>
      <c r="AD40" s="67"/>
      <c r="AE40" s="67"/>
      <c r="AF40" s="67"/>
      <c r="AG40" s="41"/>
      <c r="AH40" s="41"/>
    </row>
    <row r="41" spans="2:34" x14ac:dyDescent="0.15">
      <c r="B41" s="34" t="s">
        <v>69</v>
      </c>
      <c r="C41" s="20">
        <v>0.92</v>
      </c>
      <c r="D41" s="20">
        <v>0.75</v>
      </c>
      <c r="E41" s="20">
        <v>0.68</v>
      </c>
      <c r="F41" s="20">
        <v>1.03</v>
      </c>
      <c r="G41" s="20">
        <v>1.28</v>
      </c>
      <c r="H41" s="59">
        <f>G41*1.04</f>
        <v>1.3312000000000002</v>
      </c>
      <c r="I41" s="59">
        <f t="shared" ref="I41:J43" si="38">H41</f>
        <v>1.3312000000000002</v>
      </c>
      <c r="J41" s="59">
        <f t="shared" si="38"/>
        <v>1.3312000000000002</v>
      </c>
      <c r="K41" s="59">
        <f>J41*1.04</f>
        <v>1.3844480000000001</v>
      </c>
      <c r="L41" s="59">
        <f t="shared" ref="L41:M43" si="39">K41</f>
        <v>1.3844480000000001</v>
      </c>
      <c r="M41" s="59">
        <f t="shared" si="39"/>
        <v>1.3844480000000001</v>
      </c>
      <c r="N41" s="59">
        <f>M41*1.04</f>
        <v>1.4398259200000001</v>
      </c>
      <c r="O41" s="59">
        <f t="shared" ref="O41:P43" si="40">N41</f>
        <v>1.4398259200000001</v>
      </c>
      <c r="P41" s="59">
        <f t="shared" si="40"/>
        <v>1.4398259200000001</v>
      </c>
      <c r="Q41" s="59">
        <f>P41*1.04</f>
        <v>1.4974189568000003</v>
      </c>
      <c r="R41" s="67"/>
    </row>
    <row r="42" spans="2:34" x14ac:dyDescent="0.15">
      <c r="B42" s="34" t="s">
        <v>263</v>
      </c>
      <c r="C42" s="20">
        <v>0.06</v>
      </c>
      <c r="D42" s="20">
        <v>-0.02</v>
      </c>
      <c r="E42" s="20">
        <v>0.02</v>
      </c>
      <c r="F42" s="20">
        <v>0.03</v>
      </c>
      <c r="G42" s="20">
        <v>0.06</v>
      </c>
      <c r="H42" s="59">
        <f>G42*1.04</f>
        <v>6.2399999999999997E-2</v>
      </c>
      <c r="I42" s="59">
        <f t="shared" si="38"/>
        <v>6.2399999999999997E-2</v>
      </c>
      <c r="J42" s="59">
        <f t="shared" si="38"/>
        <v>6.2399999999999997E-2</v>
      </c>
      <c r="K42" s="59">
        <f>J42*1.04</f>
        <v>6.4895999999999995E-2</v>
      </c>
      <c r="L42" s="59">
        <f t="shared" si="39"/>
        <v>6.4895999999999995E-2</v>
      </c>
      <c r="M42" s="59">
        <f t="shared" si="39"/>
        <v>6.4895999999999995E-2</v>
      </c>
      <c r="N42" s="59">
        <f>M42*1.04</f>
        <v>6.7491839999999997E-2</v>
      </c>
      <c r="O42" s="59">
        <f t="shared" si="40"/>
        <v>6.7491839999999997E-2</v>
      </c>
      <c r="P42" s="59">
        <f t="shared" si="40"/>
        <v>6.7491839999999997E-2</v>
      </c>
      <c r="Q42" s="59">
        <f>P42*1.04</f>
        <v>7.0191513600000005E-2</v>
      </c>
    </row>
    <row r="43" spans="2:34" x14ac:dyDescent="0.15">
      <c r="B43" s="34" t="s">
        <v>314</v>
      </c>
      <c r="C43" s="20">
        <v>-0.89</v>
      </c>
      <c r="D43" s="20">
        <v>-0.06</v>
      </c>
      <c r="E43" s="20">
        <v>-0.1</v>
      </c>
      <c r="F43" s="20">
        <v>-8.7200000000000006</v>
      </c>
      <c r="G43" s="20">
        <v>-0.01</v>
      </c>
      <c r="H43" s="59">
        <f>G43*1.04</f>
        <v>-1.0400000000000001E-2</v>
      </c>
      <c r="I43" s="59">
        <f t="shared" si="38"/>
        <v>-1.0400000000000001E-2</v>
      </c>
      <c r="J43" s="59">
        <f t="shared" si="38"/>
        <v>-1.0400000000000001E-2</v>
      </c>
      <c r="K43" s="59">
        <f>J43*1.04</f>
        <v>-1.0816000000000001E-2</v>
      </c>
      <c r="L43" s="59">
        <f t="shared" si="39"/>
        <v>-1.0816000000000001E-2</v>
      </c>
      <c r="M43" s="59">
        <f t="shared" si="39"/>
        <v>-1.0816000000000001E-2</v>
      </c>
      <c r="N43" s="59">
        <f>M43*1.04</f>
        <v>-1.1248640000000001E-2</v>
      </c>
      <c r="O43" s="59">
        <f t="shared" si="40"/>
        <v>-1.1248640000000001E-2</v>
      </c>
      <c r="P43" s="59">
        <f t="shared" si="40"/>
        <v>-1.1248640000000001E-2</v>
      </c>
      <c r="Q43" s="59">
        <f>P43*1.04</f>
        <v>-1.1698585600000002E-2</v>
      </c>
      <c r="W43" s="93"/>
      <c r="X43" s="93"/>
      <c r="Y43" s="93"/>
      <c r="Z43" s="93"/>
      <c r="AA43" s="93"/>
      <c r="AB43" s="67"/>
      <c r="AD43" s="67"/>
      <c r="AE43" s="67"/>
      <c r="AF43" s="67"/>
      <c r="AG43" s="41"/>
      <c r="AH43" s="41"/>
    </row>
    <row r="44" spans="2:34" s="4" customFormat="1" ht="15" thickBot="1" x14ac:dyDescent="0.2">
      <c r="B44" s="44" t="s">
        <v>70</v>
      </c>
      <c r="C44" s="60">
        <f t="shared" ref="C44:G44" si="41">C39-SUM(C40:C43)</f>
        <v>1.5100000000000016</v>
      </c>
      <c r="D44" s="60">
        <f t="shared" si="41"/>
        <v>0.75999999999999801</v>
      </c>
      <c r="E44" s="60">
        <f t="shared" si="41"/>
        <v>2.34</v>
      </c>
      <c r="F44" s="60">
        <f t="shared" si="41"/>
        <v>4.1799999999999944</v>
      </c>
      <c r="G44" s="60">
        <f t="shared" si="41"/>
        <v>4.2399999999999913</v>
      </c>
      <c r="H44" s="61">
        <f t="shared" ref="H44:Q44" si="42">H39-SUM(H40:H43)</f>
        <v>4.3023999999999916</v>
      </c>
      <c r="I44" s="61">
        <f t="shared" si="42"/>
        <v>4.3647999999999918</v>
      </c>
      <c r="J44" s="61">
        <f t="shared" si="42"/>
        <v>4.427199999999992</v>
      </c>
      <c r="K44" s="61">
        <f t="shared" si="42"/>
        <v>4.492095999999993</v>
      </c>
      <c r="L44" s="61">
        <f t="shared" si="42"/>
        <v>4.5569919999999939</v>
      </c>
      <c r="M44" s="61">
        <f t="shared" si="42"/>
        <v>4.6218879999999949</v>
      </c>
      <c r="N44" s="61">
        <f t="shared" si="42"/>
        <v>4.6893798399999973</v>
      </c>
      <c r="O44" s="61">
        <f t="shared" si="42"/>
        <v>4.7568716799999962</v>
      </c>
      <c r="P44" s="61">
        <f t="shared" si="42"/>
        <v>4.824363519999995</v>
      </c>
      <c r="Q44" s="61">
        <f t="shared" si="42"/>
        <v>4.8945550335999926</v>
      </c>
    </row>
    <row r="45" spans="2:34" ht="15" thickTop="1" x14ac:dyDescent="0.15">
      <c r="B45" s="34"/>
      <c r="C45" s="63"/>
      <c r="D45" s="63"/>
      <c r="E45" s="64"/>
      <c r="F45" s="64"/>
      <c r="G45" s="63"/>
      <c r="H45" s="59"/>
      <c r="I45" s="59"/>
      <c r="J45" s="59"/>
      <c r="K45" s="59"/>
      <c r="L45" s="59"/>
      <c r="M45" s="59"/>
      <c r="N45" s="59"/>
      <c r="O45" s="59"/>
      <c r="P45" s="59"/>
      <c r="Q45" s="59"/>
    </row>
    <row r="46" spans="2:34" x14ac:dyDescent="0.15">
      <c r="B46" s="44" t="s">
        <v>71</v>
      </c>
      <c r="H46" s="59"/>
      <c r="I46" s="59"/>
      <c r="J46" s="59"/>
      <c r="K46" s="59"/>
      <c r="L46" s="59"/>
      <c r="M46" s="59"/>
      <c r="N46" s="59"/>
      <c r="O46" s="59"/>
      <c r="P46" s="59"/>
      <c r="Q46" s="59"/>
    </row>
    <row r="47" spans="2:34" s="4" customFormat="1" x14ac:dyDescent="0.15">
      <c r="B47" s="44" t="s">
        <v>65</v>
      </c>
      <c r="C47" s="57">
        <v>49.540000000000006</v>
      </c>
      <c r="D47" s="57">
        <f t="shared" ref="D47:G47" si="43">C52</f>
        <v>49.080000000000013</v>
      </c>
      <c r="E47" s="57">
        <f t="shared" si="43"/>
        <v>48.620000000000012</v>
      </c>
      <c r="F47" s="57">
        <f t="shared" si="43"/>
        <v>50.200000000000017</v>
      </c>
      <c r="G47" s="57">
        <f t="shared" si="43"/>
        <v>42.190000000000019</v>
      </c>
      <c r="H47" s="58">
        <f t="shared" ref="H47:Q47" si="44">G52</f>
        <v>42.90000000000002</v>
      </c>
      <c r="I47" s="58">
        <f t="shared" si="44"/>
        <v>43.638400000000019</v>
      </c>
      <c r="J47" s="58">
        <f t="shared" si="44"/>
        <v>44.376800000000017</v>
      </c>
      <c r="K47" s="58">
        <f t="shared" si="44"/>
        <v>45.115200000000016</v>
      </c>
      <c r="L47" s="58">
        <f t="shared" si="44"/>
        <v>45.883136000000015</v>
      </c>
      <c r="M47" s="58">
        <f t="shared" si="44"/>
        <v>46.651072000000013</v>
      </c>
      <c r="N47" s="58">
        <f t="shared" si="44"/>
        <v>47.419008000000012</v>
      </c>
      <c r="O47" s="58">
        <f t="shared" si="44"/>
        <v>48.217661440000015</v>
      </c>
      <c r="P47" s="58">
        <f t="shared" si="44"/>
        <v>49.016314880000017</v>
      </c>
      <c r="Q47" s="58">
        <f t="shared" si="44"/>
        <v>49.81496832000002</v>
      </c>
    </row>
    <row r="48" spans="2:34" s="4" customFormat="1" x14ac:dyDescent="0.15">
      <c r="B48" s="34" t="s">
        <v>313</v>
      </c>
      <c r="C48" s="20">
        <v>0</v>
      </c>
      <c r="D48" s="20">
        <v>0</v>
      </c>
      <c r="E48" s="20">
        <v>0.63</v>
      </c>
      <c r="F48" s="20">
        <v>0</v>
      </c>
      <c r="G48" s="20">
        <v>0</v>
      </c>
      <c r="H48" s="59"/>
      <c r="I48" s="59"/>
      <c r="J48" s="59"/>
      <c r="K48" s="59"/>
      <c r="L48" s="59"/>
      <c r="M48" s="59"/>
      <c r="N48" s="59"/>
      <c r="O48" s="59"/>
      <c r="P48" s="59"/>
      <c r="Q48" s="59"/>
    </row>
    <row r="49" spans="2:34" x14ac:dyDescent="0.15">
      <c r="B49" s="34" t="s">
        <v>66</v>
      </c>
      <c r="C49" s="20">
        <v>0.02</v>
      </c>
      <c r="D49" s="20">
        <v>0.03</v>
      </c>
      <c r="E49" s="20">
        <v>1.0900000000000001</v>
      </c>
      <c r="F49" s="20">
        <v>2.23</v>
      </c>
      <c r="G49" s="20">
        <v>1.6</v>
      </c>
      <c r="H49" s="59">
        <f>G49*1.04</f>
        <v>1.6640000000000001</v>
      </c>
      <c r="I49" s="59">
        <f t="shared" ref="I49:J51" si="45">H49</f>
        <v>1.6640000000000001</v>
      </c>
      <c r="J49" s="59">
        <f t="shared" si="45"/>
        <v>1.6640000000000001</v>
      </c>
      <c r="K49" s="59">
        <f>J49*1.04</f>
        <v>1.7305600000000003</v>
      </c>
      <c r="L49" s="59">
        <f t="shared" ref="L49:M51" si="46">K49</f>
        <v>1.7305600000000003</v>
      </c>
      <c r="M49" s="59">
        <f t="shared" si="46"/>
        <v>1.7305600000000003</v>
      </c>
      <c r="N49" s="59">
        <f>M49*1.04</f>
        <v>1.7997824000000004</v>
      </c>
      <c r="O49" s="59">
        <f t="shared" ref="O49:P51" si="47">N49</f>
        <v>1.7997824000000004</v>
      </c>
      <c r="P49" s="59">
        <f t="shared" si="47"/>
        <v>1.7997824000000004</v>
      </c>
      <c r="Q49" s="59">
        <f>P49*1.04</f>
        <v>1.8717736960000004</v>
      </c>
      <c r="W49" s="93"/>
      <c r="X49" s="93"/>
      <c r="Y49" s="93"/>
      <c r="Z49" s="93"/>
      <c r="AA49" s="93"/>
      <c r="AB49" s="67"/>
      <c r="AD49" s="67"/>
      <c r="AE49" s="67"/>
      <c r="AF49" s="67"/>
      <c r="AG49" s="41"/>
      <c r="AH49" s="41"/>
    </row>
    <row r="50" spans="2:34" x14ac:dyDescent="0.15">
      <c r="B50" s="34" t="s">
        <v>263</v>
      </c>
      <c r="C50" s="20">
        <v>0.17</v>
      </c>
      <c r="D50" s="20">
        <v>0</v>
      </c>
      <c r="E50" s="20">
        <v>0.13</v>
      </c>
      <c r="F50" s="20">
        <v>0.09</v>
      </c>
      <c r="G50" s="20">
        <v>0.2</v>
      </c>
      <c r="H50" s="59">
        <f>G50*1.04</f>
        <v>0.20800000000000002</v>
      </c>
      <c r="I50" s="59">
        <f t="shared" si="45"/>
        <v>0.20800000000000002</v>
      </c>
      <c r="J50" s="59">
        <f t="shared" si="45"/>
        <v>0.20800000000000002</v>
      </c>
      <c r="K50" s="59">
        <f>J50*1.04</f>
        <v>0.21632000000000004</v>
      </c>
      <c r="L50" s="59">
        <f t="shared" si="46"/>
        <v>0.21632000000000004</v>
      </c>
      <c r="M50" s="59">
        <f t="shared" si="46"/>
        <v>0.21632000000000004</v>
      </c>
      <c r="N50" s="59">
        <f>M50*1.04</f>
        <v>0.22497280000000006</v>
      </c>
      <c r="O50" s="59">
        <f t="shared" si="47"/>
        <v>0.22497280000000006</v>
      </c>
      <c r="P50" s="59">
        <f t="shared" si="47"/>
        <v>0.22497280000000006</v>
      </c>
      <c r="Q50" s="59">
        <f>P50*1.04</f>
        <v>0.23397171200000005</v>
      </c>
      <c r="W50" s="93"/>
      <c r="X50" s="93"/>
      <c r="Y50" s="93"/>
      <c r="Z50" s="93"/>
      <c r="AA50" s="93"/>
      <c r="AB50" s="67"/>
      <c r="AD50" s="67"/>
      <c r="AE50" s="67"/>
      <c r="AF50" s="67"/>
      <c r="AG50" s="41"/>
      <c r="AH50" s="41"/>
    </row>
    <row r="51" spans="2:34" x14ac:dyDescent="0.15">
      <c r="B51" s="34" t="s">
        <v>314</v>
      </c>
      <c r="C51" s="20">
        <v>-0.65</v>
      </c>
      <c r="D51" s="20">
        <v>-0.49</v>
      </c>
      <c r="E51" s="20">
        <v>-0.27</v>
      </c>
      <c r="F51" s="20">
        <v>-10.33</v>
      </c>
      <c r="G51" s="20">
        <v>-1.0900000000000001</v>
      </c>
      <c r="H51" s="59">
        <f>G51*1.04</f>
        <v>-1.1336000000000002</v>
      </c>
      <c r="I51" s="59">
        <f t="shared" si="45"/>
        <v>-1.1336000000000002</v>
      </c>
      <c r="J51" s="59">
        <f t="shared" si="45"/>
        <v>-1.1336000000000002</v>
      </c>
      <c r="K51" s="59">
        <f>J51*1.04</f>
        <v>-1.1789440000000002</v>
      </c>
      <c r="L51" s="59">
        <f t="shared" si="46"/>
        <v>-1.1789440000000002</v>
      </c>
      <c r="M51" s="59">
        <f t="shared" si="46"/>
        <v>-1.1789440000000002</v>
      </c>
      <c r="N51" s="59">
        <f>M51*1.04</f>
        <v>-1.2261017600000004</v>
      </c>
      <c r="O51" s="59">
        <f t="shared" si="47"/>
        <v>-1.2261017600000004</v>
      </c>
      <c r="P51" s="59">
        <f t="shared" si="47"/>
        <v>-1.2261017600000004</v>
      </c>
      <c r="Q51" s="59">
        <f>P51*1.04</f>
        <v>-1.2751458304000005</v>
      </c>
      <c r="W51" s="93"/>
      <c r="X51" s="93"/>
      <c r="Y51" s="93"/>
      <c r="Z51" s="93"/>
      <c r="AA51" s="93"/>
      <c r="AB51" s="67"/>
      <c r="AD51" s="67"/>
      <c r="AE51" s="67"/>
      <c r="AF51" s="67"/>
      <c r="AG51" s="41"/>
      <c r="AH51" s="41"/>
    </row>
    <row r="52" spans="2:34" s="4" customFormat="1" x14ac:dyDescent="0.15">
      <c r="B52" s="44" t="s">
        <v>67</v>
      </c>
      <c r="C52" s="62">
        <f t="shared" ref="C52:G52" si="48">SUM(C47:C51)</f>
        <v>49.080000000000013</v>
      </c>
      <c r="D52" s="62">
        <f t="shared" si="48"/>
        <v>48.620000000000012</v>
      </c>
      <c r="E52" s="62">
        <f t="shared" si="48"/>
        <v>50.200000000000017</v>
      </c>
      <c r="F52" s="62">
        <f t="shared" si="48"/>
        <v>42.190000000000019</v>
      </c>
      <c r="G52" s="62">
        <f t="shared" si="48"/>
        <v>42.90000000000002</v>
      </c>
      <c r="H52" s="58">
        <f t="shared" ref="H52:Q52" si="49">SUM(H47:H51)</f>
        <v>43.638400000000019</v>
      </c>
      <c r="I52" s="58">
        <f t="shared" si="49"/>
        <v>44.376800000000017</v>
      </c>
      <c r="J52" s="58">
        <f t="shared" si="49"/>
        <v>45.115200000000016</v>
      </c>
      <c r="K52" s="58">
        <f t="shared" si="49"/>
        <v>45.883136000000015</v>
      </c>
      <c r="L52" s="58">
        <f t="shared" si="49"/>
        <v>46.651072000000013</v>
      </c>
      <c r="M52" s="58">
        <f t="shared" si="49"/>
        <v>47.419008000000012</v>
      </c>
      <c r="N52" s="58">
        <f t="shared" si="49"/>
        <v>48.217661440000015</v>
      </c>
      <c r="O52" s="58">
        <f t="shared" si="49"/>
        <v>49.016314880000017</v>
      </c>
      <c r="P52" s="58">
        <f t="shared" si="49"/>
        <v>49.81496832000002</v>
      </c>
      <c r="Q52" s="58">
        <f t="shared" si="49"/>
        <v>50.645567897600017</v>
      </c>
    </row>
    <row r="53" spans="2:34" x14ac:dyDescent="0.15">
      <c r="B53" s="34" t="s">
        <v>68</v>
      </c>
      <c r="C53" s="20">
        <v>44.6</v>
      </c>
      <c r="D53" s="20">
        <f t="shared" ref="D53:G53" si="50">SUM(C53:C56)</f>
        <v>46.16</v>
      </c>
      <c r="E53" s="20">
        <f t="shared" si="50"/>
        <v>46.93</v>
      </c>
      <c r="F53" s="20">
        <f t="shared" si="50"/>
        <v>47.849999999999994</v>
      </c>
      <c r="G53" s="20">
        <f t="shared" si="50"/>
        <v>39.199999999999996</v>
      </c>
      <c r="H53" s="59">
        <f t="shared" ref="H53:Q53" si="51">SUM(G53:G56)</f>
        <v>39.419999999999987</v>
      </c>
      <c r="I53" s="59">
        <f t="shared" si="51"/>
        <v>39.648799999999987</v>
      </c>
      <c r="J53" s="59">
        <f t="shared" si="51"/>
        <v>39.877599999999987</v>
      </c>
      <c r="K53" s="59">
        <f t="shared" si="51"/>
        <v>40.106399999999987</v>
      </c>
      <c r="L53" s="59">
        <f t="shared" si="51"/>
        <v>40.344351999999986</v>
      </c>
      <c r="M53" s="59">
        <f t="shared" si="51"/>
        <v>40.582303999999986</v>
      </c>
      <c r="N53" s="59">
        <f t="shared" si="51"/>
        <v>40.820255999999986</v>
      </c>
      <c r="O53" s="59">
        <f t="shared" si="51"/>
        <v>41.067726079999986</v>
      </c>
      <c r="P53" s="59">
        <f t="shared" si="51"/>
        <v>41.315196159999985</v>
      </c>
      <c r="Q53" s="59">
        <f t="shared" si="51"/>
        <v>41.562666239999984</v>
      </c>
      <c r="R53" s="67"/>
    </row>
    <row r="54" spans="2:34" x14ac:dyDescent="0.15">
      <c r="B54" s="34" t="s">
        <v>69</v>
      </c>
      <c r="C54" s="20">
        <v>2.0499999999999998</v>
      </c>
      <c r="D54" s="20">
        <v>1.24</v>
      </c>
      <c r="E54" s="20">
        <v>1.07</v>
      </c>
      <c r="F54" s="20">
        <v>1.59</v>
      </c>
      <c r="G54" s="20">
        <v>1.1499999999999999</v>
      </c>
      <c r="H54" s="59">
        <f>G54*1.04</f>
        <v>1.196</v>
      </c>
      <c r="I54" s="59">
        <f t="shared" ref="I54:J56" si="52">H54</f>
        <v>1.196</v>
      </c>
      <c r="J54" s="59">
        <f t="shared" si="52"/>
        <v>1.196</v>
      </c>
      <c r="K54" s="59">
        <f>J54*1.04</f>
        <v>1.2438400000000001</v>
      </c>
      <c r="L54" s="59">
        <f t="shared" ref="L54:M56" si="53">K54</f>
        <v>1.2438400000000001</v>
      </c>
      <c r="M54" s="59">
        <f t="shared" si="53"/>
        <v>1.2438400000000001</v>
      </c>
      <c r="N54" s="59">
        <f>M54*1.04</f>
        <v>1.2935936000000001</v>
      </c>
      <c r="O54" s="59">
        <f t="shared" ref="O54:P56" si="54">N54</f>
        <v>1.2935936000000001</v>
      </c>
      <c r="P54" s="59">
        <f t="shared" si="54"/>
        <v>1.2935936000000001</v>
      </c>
      <c r="Q54" s="59">
        <f>P54*1.04</f>
        <v>1.3453373440000003</v>
      </c>
      <c r="W54" s="93"/>
      <c r="X54" s="93"/>
      <c r="Y54" s="93"/>
      <c r="Z54" s="93"/>
      <c r="AA54" s="93"/>
      <c r="AB54" s="67"/>
      <c r="AD54" s="67"/>
      <c r="AE54" s="67"/>
      <c r="AF54" s="67"/>
      <c r="AG54" s="41"/>
      <c r="AH54" s="41"/>
    </row>
    <row r="55" spans="2:34" x14ac:dyDescent="0.15">
      <c r="B55" s="34" t="s">
        <v>263</v>
      </c>
      <c r="C55" s="20">
        <v>0.16</v>
      </c>
      <c r="D55" s="20">
        <v>-0.01</v>
      </c>
      <c r="E55" s="20">
        <v>0.12</v>
      </c>
      <c r="F55" s="20">
        <v>0.08</v>
      </c>
      <c r="G55" s="20">
        <v>0.16</v>
      </c>
      <c r="H55" s="59">
        <f>G55*1.04</f>
        <v>0.16640000000000002</v>
      </c>
      <c r="I55" s="59">
        <f t="shared" si="52"/>
        <v>0.16640000000000002</v>
      </c>
      <c r="J55" s="59">
        <f t="shared" si="52"/>
        <v>0.16640000000000002</v>
      </c>
      <c r="K55" s="59">
        <f>J55*1.04</f>
        <v>0.17305600000000002</v>
      </c>
      <c r="L55" s="59">
        <f t="shared" si="53"/>
        <v>0.17305600000000002</v>
      </c>
      <c r="M55" s="59">
        <f t="shared" si="53"/>
        <v>0.17305600000000002</v>
      </c>
      <c r="N55" s="59">
        <f>M55*1.04</f>
        <v>0.17997824000000001</v>
      </c>
      <c r="O55" s="59">
        <f t="shared" si="54"/>
        <v>0.17997824000000001</v>
      </c>
      <c r="P55" s="59">
        <f t="shared" si="54"/>
        <v>0.17997824000000001</v>
      </c>
      <c r="Q55" s="59">
        <f>P55*1.04</f>
        <v>0.18717736960000003</v>
      </c>
      <c r="W55" s="93"/>
      <c r="X55" s="93"/>
      <c r="Y55" s="93"/>
      <c r="Z55" s="93"/>
      <c r="AA55" s="93"/>
      <c r="AB55" s="67"/>
      <c r="AD55" s="67"/>
      <c r="AE55" s="67"/>
      <c r="AF55" s="67"/>
      <c r="AG55" s="41"/>
      <c r="AH55" s="41"/>
    </row>
    <row r="56" spans="2:34" x14ac:dyDescent="0.15">
      <c r="B56" s="34" t="s">
        <v>314</v>
      </c>
      <c r="C56" s="20">
        <v>-0.65</v>
      </c>
      <c r="D56" s="20">
        <v>-0.46</v>
      </c>
      <c r="E56" s="20">
        <v>-0.27</v>
      </c>
      <c r="F56" s="20">
        <v>-10.32</v>
      </c>
      <c r="G56" s="20">
        <v>-1.0900000000000001</v>
      </c>
      <c r="H56" s="59">
        <f>G56*1.04</f>
        <v>-1.1336000000000002</v>
      </c>
      <c r="I56" s="59">
        <f t="shared" si="52"/>
        <v>-1.1336000000000002</v>
      </c>
      <c r="J56" s="59">
        <f t="shared" si="52"/>
        <v>-1.1336000000000002</v>
      </c>
      <c r="K56" s="59">
        <f>J56*1.04</f>
        <v>-1.1789440000000002</v>
      </c>
      <c r="L56" s="59">
        <f t="shared" si="53"/>
        <v>-1.1789440000000002</v>
      </c>
      <c r="M56" s="59">
        <f t="shared" si="53"/>
        <v>-1.1789440000000002</v>
      </c>
      <c r="N56" s="59">
        <f>M56*1.04</f>
        <v>-1.2261017600000004</v>
      </c>
      <c r="O56" s="59">
        <f t="shared" si="54"/>
        <v>-1.2261017600000004</v>
      </c>
      <c r="P56" s="59">
        <f t="shared" si="54"/>
        <v>-1.2261017600000004</v>
      </c>
      <c r="Q56" s="59">
        <f>P56*1.04</f>
        <v>-1.2751458304000005</v>
      </c>
      <c r="W56" s="93"/>
      <c r="X56" s="93"/>
      <c r="Y56" s="93"/>
      <c r="Z56" s="93"/>
      <c r="AA56" s="93"/>
      <c r="AB56" s="67"/>
      <c r="AD56" s="67"/>
      <c r="AE56" s="67"/>
      <c r="AF56" s="67"/>
      <c r="AG56" s="41"/>
      <c r="AH56" s="41"/>
    </row>
    <row r="57" spans="2:34" s="4" customFormat="1" ht="15" thickBot="1" x14ac:dyDescent="0.2">
      <c r="B57" s="44" t="s">
        <v>70</v>
      </c>
      <c r="C57" s="60">
        <f t="shared" ref="C57:G57" si="55">C52-SUM(C53:C56)</f>
        <v>2.9200000000000159</v>
      </c>
      <c r="D57" s="60">
        <f t="shared" si="55"/>
        <v>1.6900000000000119</v>
      </c>
      <c r="E57" s="60">
        <f t="shared" si="55"/>
        <v>2.3500000000000227</v>
      </c>
      <c r="F57" s="60">
        <f t="shared" si="55"/>
        <v>2.9900000000000233</v>
      </c>
      <c r="G57" s="60">
        <f t="shared" si="55"/>
        <v>3.4800000000000324</v>
      </c>
      <c r="H57" s="61">
        <f t="shared" ref="H57:Q57" si="56">H52-SUM(H53:H56)</f>
        <v>3.9896000000000313</v>
      </c>
      <c r="I57" s="61">
        <f t="shared" si="56"/>
        <v>4.4992000000000303</v>
      </c>
      <c r="J57" s="61">
        <f t="shared" si="56"/>
        <v>5.0088000000000292</v>
      </c>
      <c r="K57" s="61">
        <f t="shared" si="56"/>
        <v>5.5387840000000281</v>
      </c>
      <c r="L57" s="61">
        <f t="shared" si="56"/>
        <v>6.068768000000027</v>
      </c>
      <c r="M57" s="61">
        <f t="shared" si="56"/>
        <v>6.5987520000000259</v>
      </c>
      <c r="N57" s="61">
        <f t="shared" si="56"/>
        <v>7.149935360000029</v>
      </c>
      <c r="O57" s="61">
        <f t="shared" si="56"/>
        <v>7.7011187200000322</v>
      </c>
      <c r="P57" s="61">
        <f t="shared" si="56"/>
        <v>8.2523020800000353</v>
      </c>
      <c r="Q57" s="61">
        <f t="shared" si="56"/>
        <v>8.8255327744000311</v>
      </c>
    </row>
    <row r="58" spans="2:34" ht="15" thickTop="1" x14ac:dyDescent="0.15">
      <c r="B58" s="34"/>
      <c r="C58" s="63"/>
      <c r="D58" s="63"/>
      <c r="E58" s="63"/>
      <c r="F58" s="63"/>
      <c r="G58" s="63"/>
      <c r="H58" s="59"/>
      <c r="I58" s="59"/>
      <c r="J58" s="59"/>
      <c r="K58" s="59"/>
      <c r="L58" s="59"/>
      <c r="M58" s="59"/>
      <c r="N58" s="59"/>
      <c r="O58" s="59"/>
      <c r="P58" s="59"/>
      <c r="Q58" s="59"/>
    </row>
    <row r="59" spans="2:34" x14ac:dyDescent="0.15">
      <c r="B59" s="44" t="s">
        <v>250</v>
      </c>
      <c r="C59" s="63"/>
      <c r="D59" s="63"/>
      <c r="E59" s="63"/>
      <c r="F59" s="63"/>
      <c r="G59" s="63"/>
      <c r="H59" s="59"/>
      <c r="I59" s="59"/>
      <c r="J59" s="59"/>
      <c r="K59" s="59"/>
      <c r="L59" s="59"/>
      <c r="M59" s="59"/>
      <c r="N59" s="59"/>
      <c r="O59" s="59"/>
      <c r="P59" s="59"/>
      <c r="Q59" s="59"/>
    </row>
    <row r="60" spans="2:34" x14ac:dyDescent="0.15">
      <c r="B60" s="44" t="s">
        <v>65</v>
      </c>
      <c r="C60" s="57">
        <v>5.1999999999999993</v>
      </c>
      <c r="D60" s="57">
        <f t="shared" ref="D60:G60" si="57">C65</f>
        <v>5.4499999999999993</v>
      </c>
      <c r="E60" s="57">
        <f t="shared" si="57"/>
        <v>8.0799999999999983</v>
      </c>
      <c r="F60" s="57">
        <f t="shared" si="57"/>
        <v>8.77</v>
      </c>
      <c r="G60" s="57">
        <f t="shared" si="57"/>
        <v>9.41</v>
      </c>
      <c r="H60" s="58">
        <f t="shared" ref="H60:Q60" si="58">G65</f>
        <v>7.9500000000000011</v>
      </c>
      <c r="I60" s="58">
        <f t="shared" si="58"/>
        <v>6.4316000000000022</v>
      </c>
      <c r="J60" s="58">
        <f t="shared" si="58"/>
        <v>4.9132000000000016</v>
      </c>
      <c r="K60" s="58">
        <f t="shared" si="58"/>
        <v>3.3948000000000018</v>
      </c>
      <c r="L60" s="58">
        <f t="shared" si="58"/>
        <v>1.8156640000000022</v>
      </c>
      <c r="M60" s="58">
        <f t="shared" si="58"/>
        <v>0.23652800000000207</v>
      </c>
      <c r="N60" s="58">
        <f t="shared" si="58"/>
        <v>-1.342607999999998</v>
      </c>
      <c r="O60" s="58">
        <f t="shared" si="58"/>
        <v>-2.9849094399999982</v>
      </c>
      <c r="P60" s="58">
        <f t="shared" si="58"/>
        <v>-4.627210879999998</v>
      </c>
      <c r="Q60" s="58">
        <f t="shared" si="58"/>
        <v>-6.2695123199999987</v>
      </c>
    </row>
    <row r="61" spans="2:34" x14ac:dyDescent="0.15">
      <c r="B61" s="34" t="s">
        <v>313</v>
      </c>
      <c r="C61" s="20">
        <v>0</v>
      </c>
      <c r="D61" s="20">
        <v>0</v>
      </c>
      <c r="E61" s="20">
        <v>0.05</v>
      </c>
      <c r="F61" s="20">
        <v>0</v>
      </c>
      <c r="G61" s="20">
        <v>0</v>
      </c>
      <c r="H61" s="59"/>
      <c r="I61" s="59"/>
      <c r="J61" s="59"/>
      <c r="K61" s="59"/>
      <c r="L61" s="59"/>
      <c r="M61" s="59"/>
      <c r="N61" s="59"/>
      <c r="O61" s="59"/>
      <c r="P61" s="59"/>
      <c r="Q61" s="59"/>
    </row>
    <row r="62" spans="2:34" x14ac:dyDescent="0.15">
      <c r="B62" s="34" t="s">
        <v>66</v>
      </c>
      <c r="C62" s="20">
        <v>0.6</v>
      </c>
      <c r="D62" s="20">
        <v>2.68</v>
      </c>
      <c r="E62" s="20">
        <v>0.95</v>
      </c>
      <c r="F62" s="20">
        <v>3.43</v>
      </c>
      <c r="G62" s="20">
        <v>1.47</v>
      </c>
      <c r="H62" s="59">
        <f>G62*1.04</f>
        <v>1.5287999999999999</v>
      </c>
      <c r="I62" s="59">
        <f t="shared" ref="I62:J64" si="59">H62</f>
        <v>1.5287999999999999</v>
      </c>
      <c r="J62" s="59">
        <f t="shared" si="59"/>
        <v>1.5287999999999999</v>
      </c>
      <c r="K62" s="59">
        <f>J62*1.04</f>
        <v>1.589952</v>
      </c>
      <c r="L62" s="59">
        <f t="shared" ref="L62:M64" si="60">K62</f>
        <v>1.589952</v>
      </c>
      <c r="M62" s="59">
        <f t="shared" si="60"/>
        <v>1.589952</v>
      </c>
      <c r="N62" s="59">
        <f>M62*1.04</f>
        <v>1.65355008</v>
      </c>
      <c r="O62" s="59">
        <f t="shared" ref="O62:P64" si="61">N62</f>
        <v>1.65355008</v>
      </c>
      <c r="P62" s="59">
        <f t="shared" si="61"/>
        <v>1.65355008</v>
      </c>
      <c r="Q62" s="59">
        <f>P62*1.04</f>
        <v>1.7196920832</v>
      </c>
    </row>
    <row r="63" spans="2:34" x14ac:dyDescent="0.15">
      <c r="B63" s="34" t="s">
        <v>263</v>
      </c>
      <c r="C63" s="20">
        <v>-0.02</v>
      </c>
      <c r="D63" s="20">
        <v>0.03</v>
      </c>
      <c r="E63" s="20">
        <v>0.06</v>
      </c>
      <c r="F63" s="20">
        <v>0.01</v>
      </c>
      <c r="G63" s="20">
        <v>0.01</v>
      </c>
      <c r="H63" s="59">
        <f>G63*1.04</f>
        <v>1.0400000000000001E-2</v>
      </c>
      <c r="I63" s="59">
        <f t="shared" si="59"/>
        <v>1.0400000000000001E-2</v>
      </c>
      <c r="J63" s="59">
        <f t="shared" si="59"/>
        <v>1.0400000000000001E-2</v>
      </c>
      <c r="K63" s="59">
        <f>J63*1.04</f>
        <v>1.0816000000000001E-2</v>
      </c>
      <c r="L63" s="59">
        <f t="shared" si="60"/>
        <v>1.0816000000000001E-2</v>
      </c>
      <c r="M63" s="59">
        <f t="shared" si="60"/>
        <v>1.0816000000000001E-2</v>
      </c>
      <c r="N63" s="59">
        <f>M63*1.04</f>
        <v>1.1248640000000001E-2</v>
      </c>
      <c r="O63" s="59">
        <f t="shared" si="61"/>
        <v>1.1248640000000001E-2</v>
      </c>
      <c r="P63" s="59">
        <f t="shared" si="61"/>
        <v>1.1248640000000001E-2</v>
      </c>
      <c r="Q63" s="59">
        <f>P63*1.04</f>
        <v>1.1698585600000002E-2</v>
      </c>
    </row>
    <row r="64" spans="2:34" x14ac:dyDescent="0.15">
      <c r="B64" s="34" t="s">
        <v>314</v>
      </c>
      <c r="C64" s="20">
        <v>-0.33</v>
      </c>
      <c r="D64" s="20">
        <v>-0.08</v>
      </c>
      <c r="E64" s="20">
        <v>-0.37</v>
      </c>
      <c r="F64" s="20">
        <v>-2.8</v>
      </c>
      <c r="G64" s="20">
        <v>-2.94</v>
      </c>
      <c r="H64" s="59">
        <f>G64*1.04</f>
        <v>-3.0575999999999999</v>
      </c>
      <c r="I64" s="59">
        <f t="shared" si="59"/>
        <v>-3.0575999999999999</v>
      </c>
      <c r="J64" s="59">
        <f t="shared" si="59"/>
        <v>-3.0575999999999999</v>
      </c>
      <c r="K64" s="59">
        <f>J64*1.04</f>
        <v>-3.1799040000000001</v>
      </c>
      <c r="L64" s="59">
        <f t="shared" si="60"/>
        <v>-3.1799040000000001</v>
      </c>
      <c r="M64" s="59">
        <f t="shared" si="60"/>
        <v>-3.1799040000000001</v>
      </c>
      <c r="N64" s="59">
        <f>M64*1.04</f>
        <v>-3.3071001600000001</v>
      </c>
      <c r="O64" s="59">
        <f t="shared" si="61"/>
        <v>-3.3071001600000001</v>
      </c>
      <c r="P64" s="59">
        <f t="shared" si="61"/>
        <v>-3.3071001600000001</v>
      </c>
      <c r="Q64" s="59">
        <f>P64*1.04</f>
        <v>-3.4393841664</v>
      </c>
    </row>
    <row r="65" spans="2:34" s="4" customFormat="1" x14ac:dyDescent="0.15">
      <c r="B65" s="44" t="s">
        <v>67</v>
      </c>
      <c r="C65" s="62">
        <f t="shared" ref="C65:G65" si="62">SUM(C60:C64)</f>
        <v>5.4499999999999993</v>
      </c>
      <c r="D65" s="62">
        <f t="shared" si="62"/>
        <v>8.0799999999999983</v>
      </c>
      <c r="E65" s="62">
        <f t="shared" si="62"/>
        <v>8.77</v>
      </c>
      <c r="F65" s="62">
        <f t="shared" si="62"/>
        <v>9.41</v>
      </c>
      <c r="G65" s="62">
        <f t="shared" si="62"/>
        <v>7.9500000000000011</v>
      </c>
      <c r="H65" s="58">
        <f t="shared" ref="H65" si="63">SUM(H60:H64)</f>
        <v>6.4316000000000022</v>
      </c>
      <c r="I65" s="58">
        <f t="shared" ref="I65" si="64">SUM(I60:I64)</f>
        <v>4.9132000000000016</v>
      </c>
      <c r="J65" s="58">
        <f t="shared" ref="J65" si="65">SUM(J60:J64)</f>
        <v>3.3948000000000018</v>
      </c>
      <c r="K65" s="58">
        <f t="shared" ref="K65" si="66">SUM(K60:K64)</f>
        <v>1.8156640000000022</v>
      </c>
      <c r="L65" s="58">
        <f t="shared" ref="L65" si="67">SUM(L60:L64)</f>
        <v>0.23652800000000207</v>
      </c>
      <c r="M65" s="58">
        <f t="shared" ref="M65" si="68">SUM(M60:M64)</f>
        <v>-1.342607999999998</v>
      </c>
      <c r="N65" s="58">
        <f t="shared" ref="N65" si="69">SUM(N60:N64)</f>
        <v>-2.9849094399999982</v>
      </c>
      <c r="O65" s="58">
        <f t="shared" ref="O65" si="70">SUM(O60:O64)</f>
        <v>-4.627210879999998</v>
      </c>
      <c r="P65" s="58">
        <f t="shared" ref="P65" si="71">SUM(P60:P64)</f>
        <v>-6.2695123199999987</v>
      </c>
      <c r="Q65" s="58">
        <f t="shared" ref="Q65" si="72">SUM(Q60:Q64)</f>
        <v>-7.9775058175999991</v>
      </c>
    </row>
    <row r="66" spans="2:34" x14ac:dyDescent="0.15">
      <c r="B66" s="34" t="s">
        <v>68</v>
      </c>
      <c r="C66" s="20">
        <v>2.8</v>
      </c>
      <c r="D66" s="20">
        <f t="shared" ref="D66:G66" si="73">SUM(C66:C69)</f>
        <v>-5.7800000000000011</v>
      </c>
      <c r="E66" s="20">
        <f t="shared" si="73"/>
        <v>-8.1599999999999984</v>
      </c>
      <c r="F66" s="20">
        <f t="shared" si="73"/>
        <v>-9.14</v>
      </c>
      <c r="G66" s="20">
        <f t="shared" si="73"/>
        <v>-12.21</v>
      </c>
      <c r="H66" s="59">
        <f t="shared" ref="H66:Q66" si="74">SUM(G66:G69)</f>
        <v>-10.89</v>
      </c>
      <c r="I66" s="59">
        <f t="shared" si="74"/>
        <v>-9.517199999999999</v>
      </c>
      <c r="J66" s="59">
        <f t="shared" si="74"/>
        <v>-8.1443999999999974</v>
      </c>
      <c r="K66" s="59">
        <f t="shared" si="74"/>
        <v>-6.7715999999999967</v>
      </c>
      <c r="L66" s="59">
        <f t="shared" si="74"/>
        <v>-5.3438879999999962</v>
      </c>
      <c r="M66" s="59">
        <f t="shared" si="74"/>
        <v>-3.9161759999999957</v>
      </c>
      <c r="N66" s="59">
        <f t="shared" si="74"/>
        <v>-2.4884639999999951</v>
      </c>
      <c r="O66" s="59">
        <f t="shared" si="74"/>
        <v>-1.0036435199999945</v>
      </c>
      <c r="P66" s="59">
        <f t="shared" si="74"/>
        <v>0.48117696000000615</v>
      </c>
      <c r="Q66" s="59">
        <f t="shared" si="74"/>
        <v>1.9659974400000069</v>
      </c>
    </row>
    <row r="67" spans="2:34" x14ac:dyDescent="0.15">
      <c r="B67" s="34" t="s">
        <v>69</v>
      </c>
      <c r="C67" s="20">
        <v>0.91</v>
      </c>
      <c r="D67" s="20">
        <v>1.21</v>
      </c>
      <c r="E67" s="20">
        <v>1.33</v>
      </c>
      <c r="F67" s="20">
        <v>1.33</v>
      </c>
      <c r="G67" s="20">
        <v>1.3</v>
      </c>
      <c r="H67" s="59">
        <f>G67*1.04</f>
        <v>1.3520000000000001</v>
      </c>
      <c r="I67" s="59">
        <f t="shared" ref="I67:J69" si="75">H67</f>
        <v>1.3520000000000001</v>
      </c>
      <c r="J67" s="59">
        <f t="shared" si="75"/>
        <v>1.3520000000000001</v>
      </c>
      <c r="K67" s="59">
        <f>J67*1.04</f>
        <v>1.4060800000000002</v>
      </c>
      <c r="L67" s="59">
        <f t="shared" ref="L67:M69" si="76">K67</f>
        <v>1.4060800000000002</v>
      </c>
      <c r="M67" s="59">
        <f t="shared" si="76"/>
        <v>1.4060800000000002</v>
      </c>
      <c r="N67" s="59">
        <f>M67*1.04</f>
        <v>1.4623232000000004</v>
      </c>
      <c r="O67" s="59">
        <f t="shared" ref="O67:P69" si="77">N67</f>
        <v>1.4623232000000004</v>
      </c>
      <c r="P67" s="59">
        <f t="shared" si="77"/>
        <v>1.4623232000000004</v>
      </c>
      <c r="Q67" s="59">
        <f>P67*1.04</f>
        <v>1.5208161280000005</v>
      </c>
    </row>
    <row r="68" spans="2:34" x14ac:dyDescent="0.15">
      <c r="B68" s="34" t="s">
        <v>263</v>
      </c>
      <c r="C68" s="20">
        <v>-0.02</v>
      </c>
      <c r="D68" s="20">
        <v>0.02</v>
      </c>
      <c r="E68" s="20">
        <v>0.06</v>
      </c>
      <c r="F68" s="20">
        <v>0.01</v>
      </c>
      <c r="G68" s="20">
        <v>0.01</v>
      </c>
      <c r="H68" s="59">
        <f>G68*1.04</f>
        <v>1.0400000000000001E-2</v>
      </c>
      <c r="I68" s="59">
        <f t="shared" si="75"/>
        <v>1.0400000000000001E-2</v>
      </c>
      <c r="J68" s="59">
        <f t="shared" si="75"/>
        <v>1.0400000000000001E-2</v>
      </c>
      <c r="K68" s="59">
        <f>J68*1.04</f>
        <v>1.0816000000000001E-2</v>
      </c>
      <c r="L68" s="59">
        <f t="shared" si="76"/>
        <v>1.0816000000000001E-2</v>
      </c>
      <c r="M68" s="59">
        <f t="shared" si="76"/>
        <v>1.0816000000000001E-2</v>
      </c>
      <c r="N68" s="59">
        <f>M68*1.04</f>
        <v>1.1248640000000001E-2</v>
      </c>
      <c r="O68" s="59">
        <f t="shared" si="77"/>
        <v>1.1248640000000001E-2</v>
      </c>
      <c r="P68" s="59">
        <f t="shared" si="77"/>
        <v>1.1248640000000001E-2</v>
      </c>
      <c r="Q68" s="59">
        <f>P68*1.04</f>
        <v>1.1698585600000002E-2</v>
      </c>
      <c r="R68" s="67"/>
      <c r="S68" s="67"/>
      <c r="T68" s="67"/>
    </row>
    <row r="69" spans="2:34" x14ac:dyDescent="0.15">
      <c r="B69" s="34" t="s">
        <v>314</v>
      </c>
      <c r="C69" s="20">
        <f t="shared" ref="C69:G70" si="78">C64-SUM(C65:C68)</f>
        <v>-9.4700000000000006</v>
      </c>
      <c r="D69" s="20">
        <f t="shared" si="78"/>
        <v>-3.6099999999999972</v>
      </c>
      <c r="E69" s="20">
        <f t="shared" si="78"/>
        <v>-2.3700000000000014</v>
      </c>
      <c r="F69" s="20">
        <f t="shared" si="78"/>
        <v>-4.4099999999999993</v>
      </c>
      <c r="G69" s="20">
        <f t="shared" si="78"/>
        <v>1.0000000000000231E-2</v>
      </c>
      <c r="H69" s="59">
        <f>G69*1.04</f>
        <v>1.0400000000000241E-2</v>
      </c>
      <c r="I69" s="59">
        <f t="shared" si="75"/>
        <v>1.0400000000000241E-2</v>
      </c>
      <c r="J69" s="59">
        <f t="shared" si="75"/>
        <v>1.0400000000000241E-2</v>
      </c>
      <c r="K69" s="59">
        <f>J69*1.04</f>
        <v>1.0816000000000251E-2</v>
      </c>
      <c r="L69" s="59">
        <f t="shared" si="76"/>
        <v>1.0816000000000251E-2</v>
      </c>
      <c r="M69" s="59">
        <f t="shared" si="76"/>
        <v>1.0816000000000251E-2</v>
      </c>
      <c r="N69" s="59">
        <f>M69*1.04</f>
        <v>1.1248640000000261E-2</v>
      </c>
      <c r="O69" s="59">
        <f t="shared" si="77"/>
        <v>1.1248640000000261E-2</v>
      </c>
      <c r="P69" s="59">
        <f t="shared" si="77"/>
        <v>1.1248640000000261E-2</v>
      </c>
      <c r="Q69" s="59">
        <f>P69*1.04</f>
        <v>1.1698585600000273E-2</v>
      </c>
    </row>
    <row r="70" spans="2:34" ht="15" thickBot="1" x14ac:dyDescent="0.2">
      <c r="B70" s="44" t="s">
        <v>70</v>
      </c>
      <c r="C70" s="242">
        <f t="shared" si="78"/>
        <v>11.23</v>
      </c>
      <c r="D70" s="60">
        <f t="shared" si="78"/>
        <v>16.239999999999995</v>
      </c>
      <c r="E70" s="60">
        <f t="shared" si="78"/>
        <v>17.91</v>
      </c>
      <c r="F70" s="60">
        <f t="shared" si="78"/>
        <v>21.62</v>
      </c>
      <c r="G70" s="60">
        <f t="shared" si="78"/>
        <v>18.840000000000003</v>
      </c>
      <c r="H70" s="61">
        <f t="shared" ref="H70:Q70" si="79">H65-SUM(H66:H69)</f>
        <v>15.948800000000002</v>
      </c>
      <c r="I70" s="61">
        <f t="shared" si="79"/>
        <v>13.057599999999999</v>
      </c>
      <c r="J70" s="61">
        <f t="shared" si="79"/>
        <v>10.166399999999999</v>
      </c>
      <c r="K70" s="61">
        <f t="shared" si="79"/>
        <v>7.1595519999999979</v>
      </c>
      <c r="L70" s="61">
        <f t="shared" si="79"/>
        <v>4.1527039999999982</v>
      </c>
      <c r="M70" s="61">
        <f t="shared" si="79"/>
        <v>1.1458559999999971</v>
      </c>
      <c r="N70" s="61">
        <f t="shared" si="79"/>
        <v>-1.9812659200000038</v>
      </c>
      <c r="O70" s="61">
        <f t="shared" si="79"/>
        <v>-5.1083878400000042</v>
      </c>
      <c r="P70" s="61">
        <f t="shared" si="79"/>
        <v>-8.2355097600000065</v>
      </c>
      <c r="Q70" s="61">
        <f t="shared" si="79"/>
        <v>-11.487716556800008</v>
      </c>
    </row>
    <row r="71" spans="2:34" ht="15" thickTop="1" x14ac:dyDescent="0.15">
      <c r="B71" s="44"/>
      <c r="C71" s="63"/>
      <c r="D71" s="63"/>
      <c r="E71" s="63"/>
      <c r="F71" s="63"/>
      <c r="G71" s="63"/>
      <c r="H71" s="59"/>
      <c r="I71" s="59"/>
      <c r="J71" s="59"/>
      <c r="K71" s="59"/>
      <c r="L71" s="59"/>
      <c r="M71" s="59"/>
      <c r="N71" s="59"/>
      <c r="O71" s="59"/>
      <c r="P71" s="59"/>
      <c r="Q71" s="59"/>
    </row>
    <row r="72" spans="2:34" x14ac:dyDescent="0.15">
      <c r="B72" s="44" t="s">
        <v>72</v>
      </c>
      <c r="C72" s="63"/>
      <c r="D72" s="63"/>
      <c r="E72" s="63"/>
      <c r="F72" s="63"/>
      <c r="G72" s="63"/>
      <c r="H72" s="59"/>
      <c r="I72" s="59"/>
      <c r="J72" s="59"/>
      <c r="K72" s="59"/>
      <c r="L72" s="59"/>
      <c r="M72" s="59"/>
      <c r="N72" s="59"/>
      <c r="O72" s="59"/>
      <c r="P72" s="59"/>
      <c r="Q72" s="59"/>
    </row>
    <row r="73" spans="2:34" s="4" customFormat="1" x14ac:dyDescent="0.15">
      <c r="B73" s="44" t="s">
        <v>65</v>
      </c>
      <c r="C73" s="57">
        <v>21.89</v>
      </c>
      <c r="D73" s="57">
        <f t="shared" ref="D73:G73" si="80">SUM(C77)</f>
        <v>21.69</v>
      </c>
      <c r="E73" s="57">
        <f t="shared" si="80"/>
        <v>21.62</v>
      </c>
      <c r="F73" s="57">
        <f t="shared" si="80"/>
        <v>22.200000000000003</v>
      </c>
      <c r="G73" s="57">
        <f t="shared" si="80"/>
        <v>16.150000000000002</v>
      </c>
      <c r="H73" s="58">
        <f t="shared" ref="H73:Q73" si="81">G77</f>
        <v>17.239999999999998</v>
      </c>
      <c r="I73" s="58">
        <f t="shared" si="81"/>
        <v>18.3736</v>
      </c>
      <c r="J73" s="58">
        <f t="shared" si="81"/>
        <v>19.507200000000001</v>
      </c>
      <c r="K73" s="58">
        <f t="shared" si="81"/>
        <v>20.640800000000002</v>
      </c>
      <c r="L73" s="58">
        <f t="shared" si="81"/>
        <v>21.819744000000004</v>
      </c>
      <c r="M73" s="58">
        <f t="shared" si="81"/>
        <v>22.998688000000005</v>
      </c>
      <c r="N73" s="58">
        <f t="shared" si="81"/>
        <v>24.177632000000006</v>
      </c>
      <c r="O73" s="58">
        <f t="shared" si="81"/>
        <v>25.403733760000001</v>
      </c>
      <c r="P73" s="58">
        <f t="shared" si="81"/>
        <v>26.62983552</v>
      </c>
      <c r="Q73" s="58">
        <f t="shared" si="81"/>
        <v>27.855937279999999</v>
      </c>
    </row>
    <row r="74" spans="2:34" s="4" customFormat="1" x14ac:dyDescent="0.15">
      <c r="B74" s="34" t="s">
        <v>66</v>
      </c>
      <c r="C74" s="20">
        <v>0.33</v>
      </c>
      <c r="D74" s="20">
        <v>0.34</v>
      </c>
      <c r="E74" s="20">
        <v>0.86</v>
      </c>
      <c r="F74" s="20">
        <v>3.15</v>
      </c>
      <c r="G74" s="20">
        <v>1.4</v>
      </c>
      <c r="H74" s="59">
        <f>G74*1.04</f>
        <v>1.456</v>
      </c>
      <c r="I74" s="59">
        <f t="shared" ref="I74:J76" si="82">H74</f>
        <v>1.456</v>
      </c>
      <c r="J74" s="59">
        <f t="shared" si="82"/>
        <v>1.456</v>
      </c>
      <c r="K74" s="59">
        <f>J74*1.04</f>
        <v>1.51424</v>
      </c>
      <c r="L74" s="59">
        <f t="shared" ref="L74:M76" si="83">K74</f>
        <v>1.51424</v>
      </c>
      <c r="M74" s="59">
        <f t="shared" si="83"/>
        <v>1.51424</v>
      </c>
      <c r="N74" s="59">
        <f>M74*1.04</f>
        <v>1.5748096</v>
      </c>
      <c r="O74" s="59">
        <f t="shared" ref="O74:P76" si="84">N74</f>
        <v>1.5748096</v>
      </c>
      <c r="P74" s="59">
        <f t="shared" si="84"/>
        <v>1.5748096</v>
      </c>
      <c r="Q74" s="59">
        <f>P74*1.04</f>
        <v>1.637801984</v>
      </c>
    </row>
    <row r="75" spans="2:34" s="4" customFormat="1" x14ac:dyDescent="0.15">
      <c r="B75" s="34" t="s">
        <v>263</v>
      </c>
      <c r="C75" s="20">
        <v>0.01</v>
      </c>
      <c r="D75" s="20">
        <v>0.02</v>
      </c>
      <c r="E75" s="20">
        <v>0.05</v>
      </c>
      <c r="F75" s="20">
        <v>0.03</v>
      </c>
      <c r="G75" s="20">
        <v>0.08</v>
      </c>
      <c r="H75" s="59">
        <f>G75*1.04</f>
        <v>8.320000000000001E-2</v>
      </c>
      <c r="I75" s="59">
        <f t="shared" si="82"/>
        <v>8.320000000000001E-2</v>
      </c>
      <c r="J75" s="59">
        <f t="shared" si="82"/>
        <v>8.320000000000001E-2</v>
      </c>
      <c r="K75" s="59">
        <f>J75*1.04</f>
        <v>8.6528000000000008E-2</v>
      </c>
      <c r="L75" s="59">
        <f t="shared" si="83"/>
        <v>8.6528000000000008E-2</v>
      </c>
      <c r="M75" s="59">
        <f t="shared" si="83"/>
        <v>8.6528000000000008E-2</v>
      </c>
      <c r="N75" s="59">
        <f>M75*1.04</f>
        <v>8.9989120000000006E-2</v>
      </c>
      <c r="O75" s="59">
        <f t="shared" si="84"/>
        <v>8.9989120000000006E-2</v>
      </c>
      <c r="P75" s="59">
        <f t="shared" si="84"/>
        <v>8.9989120000000006E-2</v>
      </c>
      <c r="Q75" s="59">
        <f>P75*1.04</f>
        <v>9.3588684800000016E-2</v>
      </c>
    </row>
    <row r="76" spans="2:34" s="4" customFormat="1" x14ac:dyDescent="0.15">
      <c r="B76" s="34" t="s">
        <v>314</v>
      </c>
      <c r="C76" s="20">
        <v>-0.54</v>
      </c>
      <c r="D76" s="20">
        <v>-0.43</v>
      </c>
      <c r="E76" s="20">
        <v>-0.33</v>
      </c>
      <c r="F76" s="20">
        <v>-9.23</v>
      </c>
      <c r="G76" s="20">
        <v>-0.39</v>
      </c>
      <c r="H76" s="59">
        <f>G76*1.04</f>
        <v>-0.40560000000000002</v>
      </c>
      <c r="I76" s="59">
        <f t="shared" si="82"/>
        <v>-0.40560000000000002</v>
      </c>
      <c r="J76" s="59">
        <f t="shared" si="82"/>
        <v>-0.40560000000000002</v>
      </c>
      <c r="K76" s="59">
        <f>J76*1.04</f>
        <v>-0.42182400000000003</v>
      </c>
      <c r="L76" s="59">
        <f t="shared" si="83"/>
        <v>-0.42182400000000003</v>
      </c>
      <c r="M76" s="59">
        <f t="shared" si="83"/>
        <v>-0.42182400000000003</v>
      </c>
      <c r="N76" s="59">
        <f>M76*1.04</f>
        <v>-0.43869696000000002</v>
      </c>
      <c r="O76" s="59">
        <f t="shared" si="84"/>
        <v>-0.43869696000000002</v>
      </c>
      <c r="P76" s="59">
        <f t="shared" si="84"/>
        <v>-0.43869696000000002</v>
      </c>
      <c r="Q76" s="59">
        <f>P76*1.04</f>
        <v>-0.45624483840000002</v>
      </c>
    </row>
    <row r="77" spans="2:34" s="4" customFormat="1" x14ac:dyDescent="0.15">
      <c r="B77" s="44" t="s">
        <v>67</v>
      </c>
      <c r="C77" s="62">
        <f>SUM(C73:C76)</f>
        <v>21.69</v>
      </c>
      <c r="D77" s="62">
        <f t="shared" ref="D77:G77" si="85">SUM(D73:D76)</f>
        <v>21.62</v>
      </c>
      <c r="E77" s="62">
        <f t="shared" si="85"/>
        <v>22.200000000000003</v>
      </c>
      <c r="F77" s="62">
        <f t="shared" si="85"/>
        <v>16.150000000000002</v>
      </c>
      <c r="G77" s="62">
        <f t="shared" si="85"/>
        <v>17.239999999999998</v>
      </c>
      <c r="H77" s="58">
        <f t="shared" ref="H77:Q77" si="86">SUM(H73:H76)</f>
        <v>18.3736</v>
      </c>
      <c r="I77" s="58">
        <f t="shared" si="86"/>
        <v>19.507200000000001</v>
      </c>
      <c r="J77" s="58">
        <f t="shared" si="86"/>
        <v>20.640800000000002</v>
      </c>
      <c r="K77" s="58">
        <f t="shared" si="86"/>
        <v>21.819744000000004</v>
      </c>
      <c r="L77" s="58">
        <f t="shared" si="86"/>
        <v>22.998688000000005</v>
      </c>
      <c r="M77" s="58">
        <f t="shared" si="86"/>
        <v>24.177632000000006</v>
      </c>
      <c r="N77" s="58">
        <f t="shared" si="86"/>
        <v>25.403733760000001</v>
      </c>
      <c r="O77" s="58">
        <f t="shared" si="86"/>
        <v>26.62983552</v>
      </c>
      <c r="P77" s="58">
        <f t="shared" si="86"/>
        <v>27.855937279999999</v>
      </c>
      <c r="Q77" s="58">
        <f t="shared" si="86"/>
        <v>29.131083110399999</v>
      </c>
      <c r="W77" s="91"/>
      <c r="X77" s="91"/>
      <c r="Y77" s="91"/>
      <c r="Z77" s="91"/>
      <c r="AA77" s="91"/>
      <c r="AB77" s="258"/>
      <c r="AD77" s="258"/>
      <c r="AE77" s="258"/>
      <c r="AF77" s="258"/>
      <c r="AG77" s="43"/>
      <c r="AH77" s="43"/>
    </row>
    <row r="78" spans="2:34" x14ac:dyDescent="0.15">
      <c r="B78" s="34" t="s">
        <v>68</v>
      </c>
      <c r="C78" s="20">
        <v>15.690000000000001</v>
      </c>
      <c r="D78" s="20">
        <f t="shared" ref="D78:G78" si="87">SUM(C78:C81)</f>
        <v>17.330000000000002</v>
      </c>
      <c r="E78" s="20">
        <f t="shared" si="87"/>
        <v>18.900000000000006</v>
      </c>
      <c r="F78" s="20">
        <f t="shared" si="87"/>
        <v>20.240000000000009</v>
      </c>
      <c r="G78" s="20">
        <f t="shared" si="87"/>
        <v>12.380000000000006</v>
      </c>
      <c r="H78" s="59">
        <f t="shared" ref="H78:Q78" si="88">SUM(G78:G81)</f>
        <v>13.180000000000007</v>
      </c>
      <c r="I78" s="59">
        <f t="shared" si="88"/>
        <v>14.012000000000008</v>
      </c>
      <c r="J78" s="59">
        <f t="shared" si="88"/>
        <v>14.844000000000008</v>
      </c>
      <c r="K78" s="59">
        <f t="shared" si="88"/>
        <v>15.676000000000009</v>
      </c>
      <c r="L78" s="59">
        <f t="shared" si="88"/>
        <v>16.541280000000008</v>
      </c>
      <c r="M78" s="59">
        <f t="shared" si="88"/>
        <v>17.406560000000006</v>
      </c>
      <c r="N78" s="59">
        <f t="shared" si="88"/>
        <v>18.271840000000005</v>
      </c>
      <c r="O78" s="59">
        <f t="shared" si="88"/>
        <v>19.171731200000004</v>
      </c>
      <c r="P78" s="59">
        <f t="shared" si="88"/>
        <v>20.071622400000003</v>
      </c>
      <c r="Q78" s="59">
        <f t="shared" si="88"/>
        <v>20.971513600000002</v>
      </c>
      <c r="W78" s="93"/>
      <c r="X78" s="93"/>
      <c r="Y78" s="93"/>
      <c r="Z78" s="93"/>
      <c r="AA78" s="93"/>
      <c r="AB78" s="67"/>
      <c r="AD78" s="67"/>
      <c r="AE78" s="67"/>
      <c r="AF78" s="67"/>
      <c r="AG78" s="41"/>
      <c r="AH78" s="41"/>
    </row>
    <row r="79" spans="2:34" x14ac:dyDescent="0.15">
      <c r="B79" s="34" t="s">
        <v>69</v>
      </c>
      <c r="C79" s="20">
        <v>2.16</v>
      </c>
      <c r="D79" s="20">
        <v>1.89</v>
      </c>
      <c r="E79" s="20">
        <v>1.6</v>
      </c>
      <c r="F79" s="20">
        <v>1.33</v>
      </c>
      <c r="G79" s="20">
        <v>1.1399999999999999</v>
      </c>
      <c r="H79" s="59">
        <f>G79*1.04</f>
        <v>1.1856</v>
      </c>
      <c r="I79" s="59">
        <f t="shared" ref="I79:J81" si="89">H79</f>
        <v>1.1856</v>
      </c>
      <c r="J79" s="59">
        <f t="shared" si="89"/>
        <v>1.1856</v>
      </c>
      <c r="K79" s="59">
        <f>J79*1.04</f>
        <v>1.2330240000000001</v>
      </c>
      <c r="L79" s="59">
        <f t="shared" ref="L79:M81" si="90">K79</f>
        <v>1.2330240000000001</v>
      </c>
      <c r="M79" s="59">
        <f t="shared" si="90"/>
        <v>1.2330240000000001</v>
      </c>
      <c r="N79" s="59">
        <f>M79*1.04</f>
        <v>1.2823449600000001</v>
      </c>
      <c r="O79" s="59">
        <f t="shared" ref="O79:P81" si="91">N79</f>
        <v>1.2823449600000001</v>
      </c>
      <c r="P79" s="59">
        <f t="shared" si="91"/>
        <v>1.2823449600000001</v>
      </c>
      <c r="Q79" s="59">
        <f>P79*1.04</f>
        <v>1.3336387584000002</v>
      </c>
      <c r="W79" s="93"/>
      <c r="X79" s="93"/>
      <c r="Y79" s="93"/>
      <c r="Z79" s="93"/>
      <c r="AA79" s="93"/>
      <c r="AB79" s="67"/>
      <c r="AD79" s="67"/>
      <c r="AE79" s="67"/>
      <c r="AF79" s="67"/>
      <c r="AG79" s="41"/>
      <c r="AH79" s="41"/>
    </row>
    <row r="80" spans="2:34" s="4" customFormat="1" x14ac:dyDescent="0.15">
      <c r="B80" s="34" t="s">
        <v>263</v>
      </c>
      <c r="C80" s="20">
        <v>0.01</v>
      </c>
      <c r="D80" s="20">
        <v>0.01</v>
      </c>
      <c r="E80" s="20">
        <v>0.05</v>
      </c>
      <c r="F80" s="20">
        <v>0.02</v>
      </c>
      <c r="G80" s="20">
        <v>0.05</v>
      </c>
      <c r="H80" s="59">
        <f>G80*1.04</f>
        <v>5.2000000000000005E-2</v>
      </c>
      <c r="I80" s="59">
        <f t="shared" si="89"/>
        <v>5.2000000000000005E-2</v>
      </c>
      <c r="J80" s="59">
        <f t="shared" si="89"/>
        <v>5.2000000000000005E-2</v>
      </c>
      <c r="K80" s="59">
        <f>J80*1.04</f>
        <v>5.408000000000001E-2</v>
      </c>
      <c r="L80" s="59">
        <f t="shared" si="90"/>
        <v>5.408000000000001E-2</v>
      </c>
      <c r="M80" s="59">
        <f t="shared" si="90"/>
        <v>5.408000000000001E-2</v>
      </c>
      <c r="N80" s="59">
        <f>M80*1.04</f>
        <v>5.6243200000000014E-2</v>
      </c>
      <c r="O80" s="59">
        <f t="shared" si="91"/>
        <v>5.6243200000000014E-2</v>
      </c>
      <c r="P80" s="59">
        <f t="shared" si="91"/>
        <v>5.6243200000000014E-2</v>
      </c>
      <c r="Q80" s="59">
        <f>P80*1.04</f>
        <v>5.8492928000000013E-2</v>
      </c>
    </row>
    <row r="81" spans="2:23" s="4" customFormat="1" x14ac:dyDescent="0.15">
      <c r="B81" s="34" t="s">
        <v>314</v>
      </c>
      <c r="C81" s="20">
        <v>-0.53</v>
      </c>
      <c r="D81" s="20">
        <v>-0.33</v>
      </c>
      <c r="E81" s="20">
        <v>-0.31</v>
      </c>
      <c r="F81" s="20">
        <v>-9.2100000000000009</v>
      </c>
      <c r="G81" s="20">
        <v>-0.39</v>
      </c>
      <c r="H81" s="59">
        <f>G81*1.04</f>
        <v>-0.40560000000000002</v>
      </c>
      <c r="I81" s="59">
        <f t="shared" si="89"/>
        <v>-0.40560000000000002</v>
      </c>
      <c r="J81" s="59">
        <f t="shared" si="89"/>
        <v>-0.40560000000000002</v>
      </c>
      <c r="K81" s="59">
        <f>J81*1.04</f>
        <v>-0.42182400000000003</v>
      </c>
      <c r="L81" s="59">
        <f t="shared" si="90"/>
        <v>-0.42182400000000003</v>
      </c>
      <c r="M81" s="59">
        <f t="shared" si="90"/>
        <v>-0.42182400000000003</v>
      </c>
      <c r="N81" s="59">
        <f>M81*1.04</f>
        <v>-0.43869696000000002</v>
      </c>
      <c r="O81" s="59">
        <f t="shared" si="91"/>
        <v>-0.43869696000000002</v>
      </c>
      <c r="P81" s="59">
        <f t="shared" si="91"/>
        <v>-0.43869696000000002</v>
      </c>
      <c r="Q81" s="59">
        <f>P81*1.04</f>
        <v>-0.45624483840000002</v>
      </c>
      <c r="R81" s="258"/>
      <c r="S81" s="258"/>
      <c r="T81" s="258"/>
      <c r="U81" s="258"/>
      <c r="V81" s="258"/>
      <c r="W81" s="258"/>
    </row>
    <row r="82" spans="2:23" s="4" customFormat="1" ht="15" thickBot="1" x14ac:dyDescent="0.2">
      <c r="B82" s="44" t="s">
        <v>70</v>
      </c>
      <c r="C82" s="60">
        <f t="shared" ref="C82:G82" si="92">C77-SUM(C78:C81)</f>
        <v>4.3599999999999994</v>
      </c>
      <c r="D82" s="60">
        <f t="shared" si="92"/>
        <v>2.7199999999999953</v>
      </c>
      <c r="E82" s="60">
        <f t="shared" si="92"/>
        <v>1.9599999999999937</v>
      </c>
      <c r="F82" s="60">
        <f t="shared" si="92"/>
        <v>3.769999999999996</v>
      </c>
      <c r="G82" s="60">
        <f t="shared" si="92"/>
        <v>4.0599999999999916</v>
      </c>
      <c r="H82" s="61">
        <f t="shared" ref="H82:Q82" si="93">H77-SUM(H78:H81)</f>
        <v>4.3615999999999921</v>
      </c>
      <c r="I82" s="61">
        <f t="shared" si="93"/>
        <v>4.6631999999999927</v>
      </c>
      <c r="J82" s="61">
        <f t="shared" si="93"/>
        <v>4.9647999999999932</v>
      </c>
      <c r="K82" s="61">
        <f t="shared" si="93"/>
        <v>5.278463999999996</v>
      </c>
      <c r="L82" s="61">
        <f t="shared" si="93"/>
        <v>5.5921279999999989</v>
      </c>
      <c r="M82" s="61">
        <f t="shared" si="93"/>
        <v>5.9057920000000017</v>
      </c>
      <c r="N82" s="61">
        <f t="shared" si="93"/>
        <v>6.232002559999998</v>
      </c>
      <c r="O82" s="61">
        <f t="shared" si="93"/>
        <v>6.5582131199999978</v>
      </c>
      <c r="P82" s="61">
        <f t="shared" si="93"/>
        <v>6.8844236799999976</v>
      </c>
      <c r="Q82" s="61">
        <f t="shared" si="93"/>
        <v>7.2236826623999981</v>
      </c>
    </row>
    <row r="83" spans="2:23" ht="15" thickTop="1" x14ac:dyDescent="0.15">
      <c r="B83" s="34"/>
      <c r="C83" s="260"/>
      <c r="D83" s="260"/>
      <c r="E83" s="260"/>
      <c r="F83" s="260"/>
      <c r="G83" s="260"/>
      <c r="H83" s="59"/>
      <c r="I83" s="59"/>
      <c r="J83" s="59"/>
      <c r="K83" s="59"/>
      <c r="L83" s="59"/>
      <c r="M83" s="59"/>
      <c r="N83" s="59"/>
      <c r="O83" s="59"/>
      <c r="P83" s="59"/>
      <c r="Q83" s="59"/>
    </row>
    <row r="84" spans="2:23" x14ac:dyDescent="0.15">
      <c r="B84" s="44" t="s">
        <v>317</v>
      </c>
      <c r="C84" s="63"/>
      <c r="D84" s="63"/>
      <c r="E84" s="63"/>
      <c r="F84" s="63"/>
      <c r="G84" s="63"/>
      <c r="H84" s="59"/>
      <c r="I84" s="59"/>
      <c r="J84" s="59"/>
      <c r="K84" s="59"/>
      <c r="L84" s="59"/>
      <c r="M84" s="59"/>
      <c r="N84" s="59"/>
      <c r="O84" s="59"/>
      <c r="P84" s="59"/>
      <c r="Q84" s="59"/>
    </row>
    <row r="85" spans="2:23" s="4" customFormat="1" x14ac:dyDescent="0.15">
      <c r="B85" s="44" t="s">
        <v>65</v>
      </c>
      <c r="C85" s="57">
        <v>3.86</v>
      </c>
      <c r="D85" s="57">
        <f t="shared" ref="D85:G85" si="94">C86</f>
        <v>3.86</v>
      </c>
      <c r="E85" s="57">
        <f t="shared" si="94"/>
        <v>3.86</v>
      </c>
      <c r="F85" s="57">
        <f t="shared" si="94"/>
        <v>3.86</v>
      </c>
      <c r="G85" s="57">
        <f t="shared" si="94"/>
        <v>3.86</v>
      </c>
      <c r="H85" s="58">
        <f t="shared" ref="H85:Q85" si="95">G86</f>
        <v>3.86</v>
      </c>
      <c r="I85" s="58">
        <f t="shared" si="95"/>
        <v>3.86</v>
      </c>
      <c r="J85" s="58">
        <f t="shared" si="95"/>
        <v>3.86</v>
      </c>
      <c r="K85" s="58">
        <f t="shared" si="95"/>
        <v>3.86</v>
      </c>
      <c r="L85" s="58">
        <f t="shared" si="95"/>
        <v>3.86</v>
      </c>
      <c r="M85" s="58">
        <f t="shared" si="95"/>
        <v>3.86</v>
      </c>
      <c r="N85" s="58">
        <f t="shared" si="95"/>
        <v>3.86</v>
      </c>
      <c r="O85" s="58">
        <f t="shared" si="95"/>
        <v>3.86</v>
      </c>
      <c r="P85" s="58">
        <f t="shared" si="95"/>
        <v>3.86</v>
      </c>
      <c r="Q85" s="58">
        <f t="shared" si="95"/>
        <v>3.86</v>
      </c>
    </row>
    <row r="86" spans="2:23" s="4" customFormat="1" x14ac:dyDescent="0.15">
      <c r="B86" s="44" t="s">
        <v>67</v>
      </c>
      <c r="C86" s="62">
        <v>3.86</v>
      </c>
      <c r="D86" s="62">
        <v>3.86</v>
      </c>
      <c r="E86" s="62">
        <v>3.86</v>
      </c>
      <c r="F86" s="62">
        <v>3.86</v>
      </c>
      <c r="G86" s="62">
        <v>3.86</v>
      </c>
      <c r="H86" s="59">
        <f t="shared" ref="H86:Q86" si="96">SUM(H85)</f>
        <v>3.86</v>
      </c>
      <c r="I86" s="59">
        <f t="shared" si="96"/>
        <v>3.86</v>
      </c>
      <c r="J86" s="59">
        <f t="shared" si="96"/>
        <v>3.86</v>
      </c>
      <c r="K86" s="59">
        <f t="shared" si="96"/>
        <v>3.86</v>
      </c>
      <c r="L86" s="59">
        <f t="shared" si="96"/>
        <v>3.86</v>
      </c>
      <c r="M86" s="59">
        <f t="shared" si="96"/>
        <v>3.86</v>
      </c>
      <c r="N86" s="59">
        <f t="shared" si="96"/>
        <v>3.86</v>
      </c>
      <c r="O86" s="59">
        <f t="shared" si="96"/>
        <v>3.86</v>
      </c>
      <c r="P86" s="59">
        <f t="shared" si="96"/>
        <v>3.86</v>
      </c>
      <c r="Q86" s="59">
        <f t="shared" si="96"/>
        <v>3.86</v>
      </c>
    </row>
    <row r="87" spans="2:23" s="4" customFormat="1" x14ac:dyDescent="0.15">
      <c r="B87" s="34" t="s">
        <v>68</v>
      </c>
      <c r="C87" s="20">
        <v>3.11</v>
      </c>
      <c r="D87" s="20">
        <f t="shared" ref="D87:G87" si="97">SUM(C87:C88)</f>
        <v>3.15</v>
      </c>
      <c r="E87" s="20">
        <f t="shared" si="97"/>
        <v>3.19</v>
      </c>
      <c r="F87" s="20">
        <f t="shared" si="97"/>
        <v>3.23</v>
      </c>
      <c r="G87" s="20">
        <f t="shared" si="97"/>
        <v>3.27</v>
      </c>
      <c r="H87" s="58">
        <f t="shared" ref="H87:Q87" si="98">SUM(G87:G88)</f>
        <v>3.31</v>
      </c>
      <c r="I87" s="58">
        <f t="shared" si="98"/>
        <v>3.35</v>
      </c>
      <c r="J87" s="58">
        <f t="shared" si="98"/>
        <v>3.39</v>
      </c>
      <c r="K87" s="58">
        <f t="shared" si="98"/>
        <v>3.43</v>
      </c>
      <c r="L87" s="58">
        <f t="shared" si="98"/>
        <v>3.47</v>
      </c>
      <c r="M87" s="58">
        <f t="shared" si="98"/>
        <v>3.5100000000000002</v>
      </c>
      <c r="N87" s="58">
        <f t="shared" si="98"/>
        <v>3.5500000000000003</v>
      </c>
      <c r="O87" s="58">
        <f t="shared" si="98"/>
        <v>3.5900000000000003</v>
      </c>
      <c r="P87" s="58">
        <f t="shared" si="98"/>
        <v>3.6300000000000003</v>
      </c>
      <c r="Q87" s="58">
        <f t="shared" si="98"/>
        <v>3.6700000000000004</v>
      </c>
    </row>
    <row r="88" spans="2:23" s="4" customFormat="1" x14ac:dyDescent="0.15">
      <c r="B88" s="34" t="s">
        <v>69</v>
      </c>
      <c r="C88" s="20">
        <v>0.04</v>
      </c>
      <c r="D88" s="20">
        <v>0.04</v>
      </c>
      <c r="E88" s="20">
        <v>0.04</v>
      </c>
      <c r="F88" s="20">
        <v>0.04</v>
      </c>
      <c r="G88" s="20">
        <v>0.04</v>
      </c>
      <c r="H88" s="59">
        <f t="shared" ref="H88:Q88" si="99">G88</f>
        <v>0.04</v>
      </c>
      <c r="I88" s="59">
        <f t="shared" si="99"/>
        <v>0.04</v>
      </c>
      <c r="J88" s="59">
        <f t="shared" si="99"/>
        <v>0.04</v>
      </c>
      <c r="K88" s="59">
        <f t="shared" si="99"/>
        <v>0.04</v>
      </c>
      <c r="L88" s="59">
        <f t="shared" si="99"/>
        <v>0.04</v>
      </c>
      <c r="M88" s="59">
        <f t="shared" si="99"/>
        <v>0.04</v>
      </c>
      <c r="N88" s="59">
        <f t="shared" si="99"/>
        <v>0.04</v>
      </c>
      <c r="O88" s="59">
        <f t="shared" si="99"/>
        <v>0.04</v>
      </c>
      <c r="P88" s="59">
        <f t="shared" si="99"/>
        <v>0.04</v>
      </c>
      <c r="Q88" s="59">
        <f t="shared" si="99"/>
        <v>0.04</v>
      </c>
    </row>
    <row r="89" spans="2:23" s="4" customFormat="1" ht="15" thickBot="1" x14ac:dyDescent="0.2">
      <c r="B89" s="44" t="s">
        <v>70</v>
      </c>
      <c r="C89" s="60">
        <f t="shared" ref="C89:G89" si="100">C86-SUM(C87:C88)</f>
        <v>0.71</v>
      </c>
      <c r="D89" s="60">
        <f t="shared" si="100"/>
        <v>0.66999999999999993</v>
      </c>
      <c r="E89" s="60">
        <f t="shared" si="100"/>
        <v>0.62999999999999989</v>
      </c>
      <c r="F89" s="60">
        <f t="shared" si="100"/>
        <v>0.58999999999999986</v>
      </c>
      <c r="G89" s="60">
        <f t="shared" si="100"/>
        <v>0.54999999999999982</v>
      </c>
      <c r="H89" s="61">
        <f t="shared" ref="H89:Q89" si="101">H86-SUM(H87:H88)</f>
        <v>0.50999999999999979</v>
      </c>
      <c r="I89" s="61">
        <f t="shared" si="101"/>
        <v>0.46999999999999975</v>
      </c>
      <c r="J89" s="61">
        <f t="shared" si="101"/>
        <v>0.42999999999999972</v>
      </c>
      <c r="K89" s="61">
        <f t="shared" si="101"/>
        <v>0.38999999999999968</v>
      </c>
      <c r="L89" s="61">
        <f t="shared" si="101"/>
        <v>0.34999999999999964</v>
      </c>
      <c r="M89" s="61">
        <f t="shared" si="101"/>
        <v>0.30999999999999961</v>
      </c>
      <c r="N89" s="61">
        <f t="shared" si="101"/>
        <v>0.26999999999999957</v>
      </c>
      <c r="O89" s="61">
        <f t="shared" si="101"/>
        <v>0.22999999999999954</v>
      </c>
      <c r="P89" s="61">
        <f t="shared" si="101"/>
        <v>0.1899999999999995</v>
      </c>
      <c r="Q89" s="61">
        <f t="shared" si="101"/>
        <v>0.14999999999999947</v>
      </c>
    </row>
    <row r="90" spans="2:23" ht="15" thickTop="1" x14ac:dyDescent="0.15">
      <c r="B90" s="34"/>
      <c r="C90" s="63"/>
      <c r="D90" s="63"/>
      <c r="E90" s="63"/>
      <c r="F90" s="63"/>
      <c r="G90" s="63"/>
      <c r="H90" s="59"/>
      <c r="I90" s="59"/>
      <c r="J90" s="59"/>
      <c r="K90" s="59"/>
      <c r="L90" s="59"/>
      <c r="M90" s="59"/>
      <c r="N90" s="59"/>
      <c r="O90" s="59"/>
      <c r="P90" s="59"/>
      <c r="Q90" s="59"/>
    </row>
    <row r="91" spans="2:23" x14ac:dyDescent="0.15">
      <c r="B91" s="44" t="s">
        <v>318</v>
      </c>
      <c r="C91" s="63"/>
      <c r="D91" s="63"/>
      <c r="E91" s="63"/>
      <c r="F91" s="63"/>
      <c r="G91" s="63"/>
      <c r="H91" s="59"/>
      <c r="I91" s="59"/>
      <c r="J91" s="59"/>
      <c r="K91" s="59"/>
      <c r="L91" s="59"/>
      <c r="M91" s="59"/>
      <c r="N91" s="59"/>
      <c r="O91" s="59"/>
      <c r="P91" s="59"/>
      <c r="Q91" s="59"/>
    </row>
    <row r="92" spans="2:23" s="4" customFormat="1" x14ac:dyDescent="0.15">
      <c r="B92" s="44" t="s">
        <v>65</v>
      </c>
      <c r="C92" s="57">
        <v>4.68</v>
      </c>
      <c r="D92" s="57">
        <f t="shared" ref="D92:G92" si="102">C97</f>
        <v>4.7399999999999993</v>
      </c>
      <c r="E92" s="57">
        <f t="shared" si="102"/>
        <v>4.7399999999999993</v>
      </c>
      <c r="F92" s="57">
        <f t="shared" si="102"/>
        <v>10.83</v>
      </c>
      <c r="G92" s="57">
        <f t="shared" si="102"/>
        <v>15.41</v>
      </c>
      <c r="H92" s="58">
        <f t="shared" ref="H92:Q92" si="103">G97</f>
        <v>15.52</v>
      </c>
      <c r="I92" s="58">
        <f t="shared" si="103"/>
        <v>15.769600000000001</v>
      </c>
      <c r="J92" s="58">
        <f t="shared" si="103"/>
        <v>16.019200000000001</v>
      </c>
      <c r="K92" s="58">
        <f t="shared" si="103"/>
        <v>16.268799999999999</v>
      </c>
      <c r="L92" s="58">
        <f t="shared" si="103"/>
        <v>16.528383999999999</v>
      </c>
      <c r="M92" s="58">
        <f t="shared" si="103"/>
        <v>16.787967999999999</v>
      </c>
      <c r="N92" s="58">
        <f t="shared" si="103"/>
        <v>17.047552</v>
      </c>
      <c r="O92" s="58">
        <f t="shared" si="103"/>
        <v>17.317519359999999</v>
      </c>
      <c r="P92" s="58">
        <f t="shared" si="103"/>
        <v>17.587486719999998</v>
      </c>
      <c r="Q92" s="58">
        <f t="shared" si="103"/>
        <v>17.857454079999997</v>
      </c>
    </row>
    <row r="93" spans="2:23" s="4" customFormat="1" x14ac:dyDescent="0.15">
      <c r="B93" s="34" t="s">
        <v>313</v>
      </c>
      <c r="C93" s="20">
        <v>0</v>
      </c>
      <c r="D93" s="20">
        <v>0</v>
      </c>
      <c r="E93" s="20">
        <v>7.0000000000000007E-2</v>
      </c>
      <c r="F93" s="20">
        <v>0</v>
      </c>
      <c r="G93" s="20">
        <v>0</v>
      </c>
      <c r="H93" s="59"/>
      <c r="I93" s="59"/>
      <c r="J93" s="59"/>
      <c r="K93" s="59"/>
      <c r="L93" s="59"/>
      <c r="M93" s="59"/>
      <c r="N93" s="59"/>
      <c r="O93" s="59"/>
      <c r="P93" s="59"/>
      <c r="Q93" s="59"/>
    </row>
    <row r="94" spans="2:23" s="4" customFormat="1" x14ac:dyDescent="0.15">
      <c r="B94" s="34" t="s">
        <v>66</v>
      </c>
      <c r="C94" s="20">
        <v>0</v>
      </c>
      <c r="D94" s="20">
        <v>0</v>
      </c>
      <c r="E94" s="20">
        <v>5.95</v>
      </c>
      <c r="F94" s="20">
        <v>4.5199999999999996</v>
      </c>
      <c r="G94" s="20">
        <v>0.09</v>
      </c>
      <c r="H94" s="59">
        <f>G94*1.04</f>
        <v>9.3600000000000003E-2</v>
      </c>
      <c r="I94" s="59">
        <f t="shared" ref="I94:J96" si="104">H94</f>
        <v>9.3600000000000003E-2</v>
      </c>
      <c r="J94" s="59">
        <f t="shared" si="104"/>
        <v>9.3600000000000003E-2</v>
      </c>
      <c r="K94" s="59">
        <f>J94*1.04</f>
        <v>9.7344E-2</v>
      </c>
      <c r="L94" s="59">
        <f t="shared" ref="L94:M96" si="105">K94</f>
        <v>9.7344E-2</v>
      </c>
      <c r="M94" s="59">
        <f t="shared" si="105"/>
        <v>9.7344E-2</v>
      </c>
      <c r="N94" s="59">
        <f>M94*1.04</f>
        <v>0.10123776000000001</v>
      </c>
      <c r="O94" s="59">
        <f t="shared" ref="O94:P96" si="106">N94</f>
        <v>0.10123776000000001</v>
      </c>
      <c r="P94" s="59">
        <f t="shared" si="106"/>
        <v>0.10123776000000001</v>
      </c>
      <c r="Q94" s="59">
        <f>P94*1.04</f>
        <v>0.10528727040000001</v>
      </c>
    </row>
    <row r="95" spans="2:23" s="4" customFormat="1" x14ac:dyDescent="0.15">
      <c r="B95" s="34" t="s">
        <v>263</v>
      </c>
      <c r="C95" s="20">
        <v>0.06</v>
      </c>
      <c r="D95" s="20">
        <v>0</v>
      </c>
      <c r="E95" s="20">
        <v>7.0000000000000007E-2</v>
      </c>
      <c r="F95" s="20">
        <v>0.06</v>
      </c>
      <c r="G95" s="20">
        <v>0.15</v>
      </c>
      <c r="H95" s="59">
        <f>G95*1.04</f>
        <v>0.156</v>
      </c>
      <c r="I95" s="59">
        <f t="shared" si="104"/>
        <v>0.156</v>
      </c>
      <c r="J95" s="59">
        <f t="shared" si="104"/>
        <v>0.156</v>
      </c>
      <c r="K95" s="59">
        <f>J95*1.04</f>
        <v>0.16224</v>
      </c>
      <c r="L95" s="59">
        <f t="shared" si="105"/>
        <v>0.16224</v>
      </c>
      <c r="M95" s="59">
        <f t="shared" si="105"/>
        <v>0.16224</v>
      </c>
      <c r="N95" s="59">
        <f>M95*1.04</f>
        <v>0.16872960000000001</v>
      </c>
      <c r="O95" s="59">
        <f t="shared" si="106"/>
        <v>0.16872960000000001</v>
      </c>
      <c r="P95" s="59">
        <f t="shared" si="106"/>
        <v>0.16872960000000001</v>
      </c>
      <c r="Q95" s="59">
        <f>P95*1.04</f>
        <v>0.17547878400000003</v>
      </c>
    </row>
    <row r="96" spans="2:23" s="4" customFormat="1" x14ac:dyDescent="0.15">
      <c r="B96" s="34" t="s">
        <v>314</v>
      </c>
      <c r="C96" s="20">
        <v>0</v>
      </c>
      <c r="D96" s="20">
        <v>0</v>
      </c>
      <c r="E96" s="20">
        <v>0</v>
      </c>
      <c r="F96" s="20">
        <v>0</v>
      </c>
      <c r="G96" s="20">
        <v>-0.13</v>
      </c>
      <c r="H96" s="59">
        <f>G96*1.04</f>
        <v>-0.13520000000000001</v>
      </c>
      <c r="I96" s="59">
        <f t="shared" si="104"/>
        <v>-0.13520000000000001</v>
      </c>
      <c r="J96" s="59">
        <f t="shared" si="104"/>
        <v>-0.13520000000000001</v>
      </c>
      <c r="K96" s="59">
        <f>J96*1.04</f>
        <v>-0.14060800000000001</v>
      </c>
      <c r="L96" s="59">
        <f t="shared" si="105"/>
        <v>-0.14060800000000001</v>
      </c>
      <c r="M96" s="59">
        <f t="shared" si="105"/>
        <v>-0.14060800000000001</v>
      </c>
      <c r="N96" s="59">
        <f>M96*1.04</f>
        <v>-0.14623232000000003</v>
      </c>
      <c r="O96" s="59">
        <f t="shared" si="106"/>
        <v>-0.14623232000000003</v>
      </c>
      <c r="P96" s="59">
        <f t="shared" si="106"/>
        <v>-0.14623232000000003</v>
      </c>
      <c r="Q96" s="59">
        <f>P96*1.04</f>
        <v>-0.15208161280000004</v>
      </c>
    </row>
    <row r="97" spans="2:34" s="4" customFormat="1" x14ac:dyDescent="0.15">
      <c r="B97" s="44" t="s">
        <v>67</v>
      </c>
      <c r="C97" s="62">
        <f t="shared" ref="C97:G97" si="107">SUM(C92:C96)</f>
        <v>4.7399999999999993</v>
      </c>
      <c r="D97" s="62">
        <f t="shared" si="107"/>
        <v>4.7399999999999993</v>
      </c>
      <c r="E97" s="62">
        <f t="shared" si="107"/>
        <v>10.83</v>
      </c>
      <c r="F97" s="62">
        <f t="shared" si="107"/>
        <v>15.41</v>
      </c>
      <c r="G97" s="62">
        <f t="shared" si="107"/>
        <v>15.52</v>
      </c>
      <c r="H97" s="58">
        <f t="shared" ref="H97:Q97" si="108">SUM(H92:H95)</f>
        <v>15.769600000000001</v>
      </c>
      <c r="I97" s="58">
        <f t="shared" si="108"/>
        <v>16.019200000000001</v>
      </c>
      <c r="J97" s="58">
        <f t="shared" si="108"/>
        <v>16.268799999999999</v>
      </c>
      <c r="K97" s="58">
        <f t="shared" si="108"/>
        <v>16.528383999999999</v>
      </c>
      <c r="L97" s="58">
        <f t="shared" si="108"/>
        <v>16.787967999999999</v>
      </c>
      <c r="M97" s="58">
        <f t="shared" si="108"/>
        <v>17.047552</v>
      </c>
      <c r="N97" s="58">
        <f t="shared" si="108"/>
        <v>17.317519359999999</v>
      </c>
      <c r="O97" s="58">
        <f t="shared" si="108"/>
        <v>17.587486719999998</v>
      </c>
      <c r="P97" s="58">
        <f t="shared" si="108"/>
        <v>17.857454079999997</v>
      </c>
      <c r="Q97" s="58">
        <f t="shared" si="108"/>
        <v>18.138220134399997</v>
      </c>
    </row>
    <row r="98" spans="2:34" s="4" customFormat="1" x14ac:dyDescent="0.15">
      <c r="B98" s="34" t="s">
        <v>68</v>
      </c>
      <c r="C98" s="20">
        <v>3.68</v>
      </c>
      <c r="D98" s="20">
        <f t="shared" ref="D98:G98" si="109">SUM(C98:C100)</f>
        <v>3.95</v>
      </c>
      <c r="E98" s="20">
        <f t="shared" si="109"/>
        <v>4.2300000000000004</v>
      </c>
      <c r="F98" s="20">
        <f t="shared" si="109"/>
        <v>5.0600000000000005</v>
      </c>
      <c r="G98" s="20">
        <f t="shared" si="109"/>
        <v>7.1000000000000005</v>
      </c>
      <c r="H98" s="59">
        <f t="shared" ref="H98:Q98" si="110">SUM(G98:G100)</f>
        <v>9.42</v>
      </c>
      <c r="I98" s="59">
        <f t="shared" si="110"/>
        <v>11.832800000000001</v>
      </c>
      <c r="J98" s="59">
        <f t="shared" si="110"/>
        <v>14.245600000000001</v>
      </c>
      <c r="K98" s="59">
        <f t="shared" si="110"/>
        <v>16.6584</v>
      </c>
      <c r="L98" s="59">
        <f t="shared" si="110"/>
        <v>19.167712000000002</v>
      </c>
      <c r="M98" s="59">
        <f t="shared" si="110"/>
        <v>21.677024000000003</v>
      </c>
      <c r="N98" s="59">
        <f t="shared" si="110"/>
        <v>24.186336000000004</v>
      </c>
      <c r="O98" s="59">
        <f t="shared" si="110"/>
        <v>26.796020480000003</v>
      </c>
      <c r="P98" s="59">
        <f t="shared" si="110"/>
        <v>29.405704960000001</v>
      </c>
      <c r="Q98" s="59">
        <f t="shared" si="110"/>
        <v>32.01538944</v>
      </c>
      <c r="W98" s="91"/>
      <c r="X98" s="91"/>
      <c r="Y98" s="91"/>
      <c r="Z98" s="91"/>
      <c r="AA98" s="91"/>
      <c r="AB98" s="258"/>
      <c r="AD98" s="258"/>
      <c r="AE98" s="258"/>
      <c r="AF98" s="258"/>
      <c r="AG98" s="43"/>
      <c r="AH98" s="43"/>
    </row>
    <row r="99" spans="2:34" x14ac:dyDescent="0.15">
      <c r="B99" s="34" t="s">
        <v>69</v>
      </c>
      <c r="C99" s="20">
        <v>0.27</v>
      </c>
      <c r="D99" s="20">
        <v>0.28000000000000003</v>
      </c>
      <c r="E99" s="20">
        <v>0.76</v>
      </c>
      <c r="F99" s="20">
        <v>1.99</v>
      </c>
      <c r="G99" s="20">
        <v>2.23</v>
      </c>
      <c r="H99" s="59">
        <f>G99*1.04</f>
        <v>2.3191999999999999</v>
      </c>
      <c r="I99" s="59">
        <f>H99</f>
        <v>2.3191999999999999</v>
      </c>
      <c r="J99" s="59">
        <f>I99</f>
        <v>2.3191999999999999</v>
      </c>
      <c r="K99" s="59">
        <f>J99*1.04</f>
        <v>2.4119679999999999</v>
      </c>
      <c r="L99" s="59">
        <f>K99</f>
        <v>2.4119679999999999</v>
      </c>
      <c r="M99" s="59">
        <f>L99</f>
        <v>2.4119679999999999</v>
      </c>
      <c r="N99" s="59">
        <f>M99*1.04</f>
        <v>2.5084467199999998</v>
      </c>
      <c r="O99" s="59">
        <f>N99</f>
        <v>2.5084467199999998</v>
      </c>
      <c r="P99" s="59">
        <f>O99</f>
        <v>2.5084467199999998</v>
      </c>
      <c r="Q99" s="59">
        <f>P99*1.04</f>
        <v>2.6087845887999999</v>
      </c>
      <c r="W99" s="93"/>
      <c r="X99" s="93"/>
      <c r="Y99" s="93"/>
      <c r="Z99" s="93"/>
      <c r="AA99" s="93"/>
      <c r="AB99" s="67"/>
      <c r="AD99" s="67"/>
      <c r="AE99" s="67"/>
      <c r="AF99" s="67"/>
      <c r="AG99" s="41"/>
      <c r="AH99" s="41"/>
    </row>
    <row r="100" spans="2:34" x14ac:dyDescent="0.15">
      <c r="B100" s="34" t="s">
        <v>263</v>
      </c>
      <c r="C100" s="20">
        <v>0</v>
      </c>
      <c r="D100" s="20">
        <v>0</v>
      </c>
      <c r="E100" s="20">
        <v>7.0000000000000007E-2</v>
      </c>
      <c r="F100" s="20">
        <v>0.05</v>
      </c>
      <c r="G100" s="20">
        <v>0.09</v>
      </c>
      <c r="H100" s="59">
        <f>G100*1.04</f>
        <v>9.3600000000000003E-2</v>
      </c>
      <c r="I100" s="59">
        <f>H100</f>
        <v>9.3600000000000003E-2</v>
      </c>
      <c r="J100" s="59">
        <f>I100</f>
        <v>9.3600000000000003E-2</v>
      </c>
      <c r="K100" s="59">
        <f>J100*1.04</f>
        <v>9.7344E-2</v>
      </c>
      <c r="L100" s="59">
        <f>K100</f>
        <v>9.7344E-2</v>
      </c>
      <c r="M100" s="59">
        <f>L100</f>
        <v>9.7344E-2</v>
      </c>
      <c r="N100" s="59">
        <f>M100*1.04</f>
        <v>0.10123776000000001</v>
      </c>
      <c r="O100" s="59">
        <f>N100</f>
        <v>0.10123776000000001</v>
      </c>
      <c r="P100" s="59">
        <f>O100</f>
        <v>0.10123776000000001</v>
      </c>
      <c r="Q100" s="59">
        <f>P100*1.04</f>
        <v>0.10528727040000001</v>
      </c>
      <c r="W100" s="93"/>
      <c r="X100" s="93"/>
      <c r="Y100" s="93"/>
      <c r="Z100" s="93"/>
      <c r="AA100" s="93"/>
      <c r="AB100" s="67"/>
      <c r="AD100" s="67"/>
      <c r="AE100" s="67"/>
      <c r="AF100" s="67"/>
      <c r="AG100" s="41"/>
      <c r="AH100" s="41"/>
    </row>
    <row r="101" spans="2:34" s="4" customFormat="1" ht="15" thickBot="1" x14ac:dyDescent="0.2">
      <c r="B101" s="44" t="s">
        <v>70</v>
      </c>
      <c r="C101" s="60">
        <f t="shared" ref="C101:G101" si="111">C97-SUM(C98:C100)</f>
        <v>0.78999999999999915</v>
      </c>
      <c r="D101" s="60">
        <f t="shared" si="111"/>
        <v>0.5099999999999989</v>
      </c>
      <c r="E101" s="60">
        <f t="shared" si="111"/>
        <v>5.77</v>
      </c>
      <c r="F101" s="60">
        <f t="shared" si="111"/>
        <v>8.3099999999999987</v>
      </c>
      <c r="G101" s="60">
        <f t="shared" si="111"/>
        <v>6.1</v>
      </c>
      <c r="H101" s="61">
        <f t="shared" ref="H101:Q101" si="112">H97-SUM(H98:H100)</f>
        <v>3.9367999999999999</v>
      </c>
      <c r="I101" s="61">
        <f t="shared" si="112"/>
        <v>1.7736000000000001</v>
      </c>
      <c r="J101" s="61">
        <f t="shared" si="112"/>
        <v>-0.3896000000000015</v>
      </c>
      <c r="K101" s="61">
        <f t="shared" si="112"/>
        <v>-2.6393280000000026</v>
      </c>
      <c r="L101" s="61">
        <f t="shared" si="112"/>
        <v>-4.8890560000000036</v>
      </c>
      <c r="M101" s="61">
        <f t="shared" si="112"/>
        <v>-7.1387840000000047</v>
      </c>
      <c r="N101" s="61">
        <f t="shared" si="112"/>
        <v>-9.4785011200000042</v>
      </c>
      <c r="O101" s="61">
        <f t="shared" si="112"/>
        <v>-11.818218240000004</v>
      </c>
      <c r="P101" s="61">
        <f t="shared" si="112"/>
        <v>-14.157935360000003</v>
      </c>
      <c r="Q101" s="61">
        <f t="shared" si="112"/>
        <v>-16.5912411648</v>
      </c>
    </row>
    <row r="102" spans="2:34" ht="15" thickTop="1" x14ac:dyDescent="0.15">
      <c r="B102" s="34"/>
      <c r="C102" s="63"/>
      <c r="D102" s="63"/>
      <c r="E102" s="63"/>
      <c r="F102" s="63"/>
      <c r="G102" s="63"/>
      <c r="H102" s="59"/>
      <c r="I102" s="59"/>
      <c r="J102" s="59"/>
      <c r="K102" s="59"/>
      <c r="L102" s="59"/>
      <c r="M102" s="59"/>
      <c r="N102" s="59"/>
      <c r="O102" s="59"/>
      <c r="P102" s="59"/>
      <c r="Q102" s="59"/>
    </row>
    <row r="103" spans="2:34" x14ac:dyDescent="0.15">
      <c r="B103" s="44" t="s">
        <v>264</v>
      </c>
      <c r="C103" s="63"/>
      <c r="D103" s="63"/>
      <c r="E103" s="63"/>
      <c r="F103" s="63"/>
      <c r="G103" s="63"/>
      <c r="H103" s="59"/>
      <c r="I103" s="59"/>
      <c r="J103" s="59"/>
      <c r="K103" s="59"/>
      <c r="L103" s="59"/>
      <c r="M103" s="59"/>
      <c r="N103" s="59"/>
      <c r="O103" s="59"/>
      <c r="P103" s="59"/>
      <c r="Q103" s="59"/>
    </row>
    <row r="104" spans="2:34" s="4" customFormat="1" x14ac:dyDescent="0.15">
      <c r="B104" s="44" t="s">
        <v>65</v>
      </c>
      <c r="C104" s="57">
        <v>1.0399999999999998</v>
      </c>
      <c r="D104" s="57">
        <f t="shared" ref="D104:G104" si="113">C108</f>
        <v>1.1299999999999999</v>
      </c>
      <c r="E104" s="57">
        <f t="shared" si="113"/>
        <v>0.97999999999999987</v>
      </c>
      <c r="F104" s="57">
        <f t="shared" si="113"/>
        <v>0.80999999999999983</v>
      </c>
      <c r="G104" s="57">
        <f t="shared" si="113"/>
        <v>0.80999999999999983</v>
      </c>
      <c r="H104" s="58">
        <f t="shared" ref="H104:Q104" si="114">G108</f>
        <v>0.80999999999999983</v>
      </c>
      <c r="I104" s="58">
        <f t="shared" si="114"/>
        <v>0.80999999999999983</v>
      </c>
      <c r="J104" s="58">
        <f t="shared" si="114"/>
        <v>0.80999999999999983</v>
      </c>
      <c r="K104" s="58">
        <f t="shared" si="114"/>
        <v>0.80999999999999983</v>
      </c>
      <c r="L104" s="58">
        <f t="shared" si="114"/>
        <v>0.80999999999999983</v>
      </c>
      <c r="M104" s="58">
        <f t="shared" si="114"/>
        <v>0.80999999999999983</v>
      </c>
      <c r="N104" s="58">
        <f t="shared" si="114"/>
        <v>0.80999999999999983</v>
      </c>
      <c r="O104" s="58">
        <f t="shared" si="114"/>
        <v>0.80999999999999983</v>
      </c>
      <c r="P104" s="58">
        <f t="shared" si="114"/>
        <v>0.80999999999999983</v>
      </c>
      <c r="Q104" s="58">
        <f t="shared" si="114"/>
        <v>0.80999999999999983</v>
      </c>
    </row>
    <row r="105" spans="2:34" s="4" customFormat="1" x14ac:dyDescent="0.15">
      <c r="B105" s="34" t="s">
        <v>66</v>
      </c>
      <c r="C105" s="20">
        <v>0.23</v>
      </c>
      <c r="D105" s="20">
        <v>0</v>
      </c>
      <c r="E105" s="20">
        <v>0</v>
      </c>
      <c r="F105" s="20">
        <v>0</v>
      </c>
      <c r="G105" s="20">
        <v>0</v>
      </c>
      <c r="H105" s="59">
        <f>G105*1.04</f>
        <v>0</v>
      </c>
      <c r="I105" s="59">
        <f t="shared" ref="I105:J107" si="115">H105</f>
        <v>0</v>
      </c>
      <c r="J105" s="59">
        <f t="shared" si="115"/>
        <v>0</v>
      </c>
      <c r="K105" s="59">
        <f>J105*1.04</f>
        <v>0</v>
      </c>
      <c r="L105" s="59">
        <f t="shared" ref="L105:M107" si="116">K105</f>
        <v>0</v>
      </c>
      <c r="M105" s="59">
        <f t="shared" si="116"/>
        <v>0</v>
      </c>
      <c r="N105" s="59">
        <f>M105*1.04</f>
        <v>0</v>
      </c>
      <c r="O105" s="59">
        <f t="shared" ref="O105:P107" si="117">N105</f>
        <v>0</v>
      </c>
      <c r="P105" s="59">
        <f t="shared" si="117"/>
        <v>0</v>
      </c>
      <c r="Q105" s="59">
        <f>P105*1.04</f>
        <v>0</v>
      </c>
    </row>
    <row r="106" spans="2:34" s="4" customFormat="1" x14ac:dyDescent="0.15">
      <c r="B106" s="34" t="s">
        <v>263</v>
      </c>
      <c r="C106" s="20">
        <v>0.05</v>
      </c>
      <c r="D106" s="20">
        <v>0</v>
      </c>
      <c r="E106" s="20">
        <v>0</v>
      </c>
      <c r="F106" s="20">
        <v>0</v>
      </c>
      <c r="G106" s="20">
        <v>0</v>
      </c>
      <c r="H106" s="59">
        <f>G106*1.04</f>
        <v>0</v>
      </c>
      <c r="I106" s="59">
        <f t="shared" si="115"/>
        <v>0</v>
      </c>
      <c r="J106" s="59">
        <f t="shared" si="115"/>
        <v>0</v>
      </c>
      <c r="K106" s="59">
        <f>J106*1.04</f>
        <v>0</v>
      </c>
      <c r="L106" s="59">
        <f t="shared" si="116"/>
        <v>0</v>
      </c>
      <c r="M106" s="59">
        <f t="shared" si="116"/>
        <v>0</v>
      </c>
      <c r="N106" s="59">
        <f>M106*1.04</f>
        <v>0</v>
      </c>
      <c r="O106" s="59">
        <f t="shared" si="117"/>
        <v>0</v>
      </c>
      <c r="P106" s="59">
        <f t="shared" si="117"/>
        <v>0</v>
      </c>
      <c r="Q106" s="59">
        <f>P106*1.04</f>
        <v>0</v>
      </c>
    </row>
    <row r="107" spans="2:34" s="4" customFormat="1" x14ac:dyDescent="0.15">
      <c r="B107" s="34" t="s">
        <v>314</v>
      </c>
      <c r="C107" s="20">
        <v>-0.19</v>
      </c>
      <c r="D107" s="20">
        <v>-0.15</v>
      </c>
      <c r="E107" s="20">
        <v>-0.17</v>
      </c>
      <c r="F107" s="20">
        <v>0</v>
      </c>
      <c r="G107" s="20">
        <v>0</v>
      </c>
      <c r="H107" s="59">
        <f>G107*1.04</f>
        <v>0</v>
      </c>
      <c r="I107" s="59">
        <f t="shared" si="115"/>
        <v>0</v>
      </c>
      <c r="J107" s="59">
        <f t="shared" si="115"/>
        <v>0</v>
      </c>
      <c r="K107" s="59">
        <f>J107*1.04</f>
        <v>0</v>
      </c>
      <c r="L107" s="59">
        <f t="shared" si="116"/>
        <v>0</v>
      </c>
      <c r="M107" s="59">
        <f t="shared" si="116"/>
        <v>0</v>
      </c>
      <c r="N107" s="59">
        <f>M107*1.04</f>
        <v>0</v>
      </c>
      <c r="O107" s="59">
        <f t="shared" si="117"/>
        <v>0</v>
      </c>
      <c r="P107" s="59">
        <f t="shared" si="117"/>
        <v>0</v>
      </c>
      <c r="Q107" s="59">
        <f>P107*1.04</f>
        <v>0</v>
      </c>
    </row>
    <row r="108" spans="2:34" s="4" customFormat="1" x14ac:dyDescent="0.15">
      <c r="B108" s="44" t="s">
        <v>67</v>
      </c>
      <c r="C108" s="62">
        <f t="shared" ref="C108:G108" si="118">SUM(C104:C107)</f>
        <v>1.1299999999999999</v>
      </c>
      <c r="D108" s="62">
        <f t="shared" si="118"/>
        <v>0.97999999999999987</v>
      </c>
      <c r="E108" s="62">
        <f t="shared" si="118"/>
        <v>0.80999999999999983</v>
      </c>
      <c r="F108" s="62">
        <f t="shared" si="118"/>
        <v>0.80999999999999983</v>
      </c>
      <c r="G108" s="62">
        <f t="shared" si="118"/>
        <v>0.80999999999999983</v>
      </c>
      <c r="H108" s="58">
        <f t="shared" ref="H108:Q108" si="119">SUM(H104:H107)</f>
        <v>0.80999999999999983</v>
      </c>
      <c r="I108" s="58">
        <f t="shared" si="119"/>
        <v>0.80999999999999983</v>
      </c>
      <c r="J108" s="58">
        <f t="shared" si="119"/>
        <v>0.80999999999999983</v>
      </c>
      <c r="K108" s="58">
        <f t="shared" si="119"/>
        <v>0.80999999999999983</v>
      </c>
      <c r="L108" s="58">
        <f t="shared" si="119"/>
        <v>0.80999999999999983</v>
      </c>
      <c r="M108" s="58">
        <f t="shared" si="119"/>
        <v>0.80999999999999983</v>
      </c>
      <c r="N108" s="58">
        <f t="shared" si="119"/>
        <v>0.80999999999999983</v>
      </c>
      <c r="O108" s="58">
        <f t="shared" si="119"/>
        <v>0.80999999999999983</v>
      </c>
      <c r="P108" s="58">
        <f t="shared" si="119"/>
        <v>0.80999999999999983</v>
      </c>
      <c r="Q108" s="58">
        <f t="shared" si="119"/>
        <v>0.80999999999999983</v>
      </c>
    </row>
    <row r="109" spans="2:34" x14ac:dyDescent="0.15">
      <c r="B109" s="34" t="s">
        <v>68</v>
      </c>
      <c r="C109" s="20">
        <v>0.96000000000000008</v>
      </c>
      <c r="D109" s="20">
        <f t="shared" ref="D109:G109" si="120">SUM(C109:C112)</f>
        <v>0.90000000000000013</v>
      </c>
      <c r="E109" s="20">
        <f t="shared" si="120"/>
        <v>0.82000000000000017</v>
      </c>
      <c r="F109" s="20">
        <f t="shared" si="120"/>
        <v>0.70000000000000018</v>
      </c>
      <c r="G109" s="20">
        <f t="shared" si="120"/>
        <v>0.70000000000000018</v>
      </c>
      <c r="H109" s="59">
        <f t="shared" ref="H109:Q109" si="121">SUM(G109:G112)</f>
        <v>0.70000000000000018</v>
      </c>
      <c r="I109" s="59">
        <f t="shared" si="121"/>
        <v>0.70000000000000018</v>
      </c>
      <c r="J109" s="59">
        <f t="shared" si="121"/>
        <v>0.70000000000000018</v>
      </c>
      <c r="K109" s="59">
        <f t="shared" si="121"/>
        <v>0.70000000000000018</v>
      </c>
      <c r="L109" s="59">
        <f t="shared" si="121"/>
        <v>0.70000000000000018</v>
      </c>
      <c r="M109" s="59">
        <f t="shared" si="121"/>
        <v>0.70000000000000018</v>
      </c>
      <c r="N109" s="59">
        <f t="shared" si="121"/>
        <v>0.70000000000000018</v>
      </c>
      <c r="O109" s="59">
        <f t="shared" si="121"/>
        <v>0.70000000000000018</v>
      </c>
      <c r="P109" s="59">
        <f t="shared" si="121"/>
        <v>0.70000000000000018</v>
      </c>
      <c r="Q109" s="59">
        <f t="shared" si="121"/>
        <v>0.70000000000000018</v>
      </c>
      <c r="W109" s="93"/>
      <c r="X109" s="93"/>
      <c r="Y109" s="93"/>
      <c r="Z109" s="93"/>
      <c r="AA109" s="93"/>
      <c r="AB109" s="67"/>
      <c r="AD109" s="67"/>
      <c r="AE109" s="67"/>
      <c r="AF109" s="67"/>
      <c r="AG109" s="41"/>
      <c r="AH109" s="41"/>
    </row>
    <row r="110" spans="2:34" x14ac:dyDescent="0.15">
      <c r="B110" s="34" t="s">
        <v>69</v>
      </c>
      <c r="C110" s="20">
        <v>0.08</v>
      </c>
      <c r="D110" s="20">
        <v>7.0000000000000007E-2</v>
      </c>
      <c r="E110" s="20">
        <v>0.05</v>
      </c>
      <c r="F110" s="20">
        <v>0</v>
      </c>
      <c r="G110" s="20">
        <v>0</v>
      </c>
      <c r="H110" s="59">
        <f>G110*1.04</f>
        <v>0</v>
      </c>
      <c r="I110" s="59">
        <f t="shared" ref="I110:J112" si="122">H110</f>
        <v>0</v>
      </c>
      <c r="J110" s="59">
        <f t="shared" si="122"/>
        <v>0</v>
      </c>
      <c r="K110" s="59">
        <f>J110*1.04</f>
        <v>0</v>
      </c>
      <c r="L110" s="59">
        <f t="shared" ref="L110:M112" si="123">K110</f>
        <v>0</v>
      </c>
      <c r="M110" s="59">
        <f t="shared" si="123"/>
        <v>0</v>
      </c>
      <c r="N110" s="59">
        <f>M110*1.04</f>
        <v>0</v>
      </c>
      <c r="O110" s="59">
        <f t="shared" ref="O110:P112" si="124">N110</f>
        <v>0</v>
      </c>
      <c r="P110" s="59">
        <f t="shared" si="124"/>
        <v>0</v>
      </c>
      <c r="Q110" s="59">
        <f>P110*1.04</f>
        <v>0</v>
      </c>
      <c r="W110" s="93"/>
      <c r="X110" s="93"/>
      <c r="Y110" s="93"/>
      <c r="Z110" s="93"/>
      <c r="AA110" s="93"/>
      <c r="AB110" s="67"/>
      <c r="AD110" s="67"/>
      <c r="AE110" s="67"/>
      <c r="AF110" s="67"/>
      <c r="AG110" s="41"/>
      <c r="AH110" s="41"/>
    </row>
    <row r="111" spans="2:34" x14ac:dyDescent="0.15">
      <c r="B111" s="34" t="s">
        <v>263</v>
      </c>
      <c r="C111" s="20">
        <v>0.05</v>
      </c>
      <c r="D111" s="20">
        <v>0</v>
      </c>
      <c r="E111" s="20">
        <v>0</v>
      </c>
      <c r="F111" s="20">
        <v>0</v>
      </c>
      <c r="G111" s="20">
        <v>0</v>
      </c>
      <c r="H111" s="59">
        <f>G111*1.04</f>
        <v>0</v>
      </c>
      <c r="I111" s="59">
        <f t="shared" si="122"/>
        <v>0</v>
      </c>
      <c r="J111" s="59">
        <f t="shared" si="122"/>
        <v>0</v>
      </c>
      <c r="K111" s="59">
        <f>J111*1.04</f>
        <v>0</v>
      </c>
      <c r="L111" s="59">
        <f t="shared" si="123"/>
        <v>0</v>
      </c>
      <c r="M111" s="59">
        <f t="shared" si="123"/>
        <v>0</v>
      </c>
      <c r="N111" s="59">
        <f>M111*1.04</f>
        <v>0</v>
      </c>
      <c r="O111" s="59">
        <f t="shared" si="124"/>
        <v>0</v>
      </c>
      <c r="P111" s="59">
        <f t="shared" si="124"/>
        <v>0</v>
      </c>
      <c r="Q111" s="59">
        <f>P111*1.04</f>
        <v>0</v>
      </c>
      <c r="W111" s="93"/>
      <c r="X111" s="93"/>
      <c r="Y111" s="93"/>
      <c r="Z111" s="93"/>
      <c r="AA111" s="93"/>
      <c r="AB111" s="67"/>
      <c r="AD111" s="67"/>
      <c r="AE111" s="67"/>
      <c r="AF111" s="67"/>
      <c r="AG111" s="41"/>
      <c r="AH111" s="41"/>
    </row>
    <row r="112" spans="2:34" x14ac:dyDescent="0.15">
      <c r="B112" s="34" t="s">
        <v>314</v>
      </c>
      <c r="C112" s="20">
        <v>-0.19</v>
      </c>
      <c r="D112" s="20">
        <v>-0.15</v>
      </c>
      <c r="E112" s="20">
        <v>-0.17</v>
      </c>
      <c r="F112" s="20">
        <v>0</v>
      </c>
      <c r="G112" s="20">
        <v>0</v>
      </c>
      <c r="H112" s="59">
        <f>G112*1.04</f>
        <v>0</v>
      </c>
      <c r="I112" s="59">
        <f t="shared" si="122"/>
        <v>0</v>
      </c>
      <c r="J112" s="59">
        <f t="shared" si="122"/>
        <v>0</v>
      </c>
      <c r="K112" s="59">
        <f>J112*1.04</f>
        <v>0</v>
      </c>
      <c r="L112" s="59">
        <f t="shared" si="123"/>
        <v>0</v>
      </c>
      <c r="M112" s="59">
        <f t="shared" si="123"/>
        <v>0</v>
      </c>
      <c r="N112" s="59">
        <f>M112*1.04</f>
        <v>0</v>
      </c>
      <c r="O112" s="59">
        <f t="shared" si="124"/>
        <v>0</v>
      </c>
      <c r="P112" s="59">
        <f t="shared" si="124"/>
        <v>0</v>
      </c>
      <c r="Q112" s="59">
        <f>P112*1.04</f>
        <v>0</v>
      </c>
    </row>
    <row r="113" spans="1:34" s="4" customFormat="1" ht="15" thickBot="1" x14ac:dyDescent="0.2">
      <c r="B113" s="44" t="s">
        <v>70</v>
      </c>
      <c r="C113" s="60">
        <f t="shared" ref="C113:G113" si="125">C108-SUM(C109:C112)</f>
        <v>0.22999999999999976</v>
      </c>
      <c r="D113" s="60">
        <f t="shared" si="125"/>
        <v>0.1599999999999997</v>
      </c>
      <c r="E113" s="60">
        <f t="shared" si="125"/>
        <v>0.10999999999999965</v>
      </c>
      <c r="F113" s="60">
        <f t="shared" si="125"/>
        <v>0.10999999999999965</v>
      </c>
      <c r="G113" s="60">
        <f t="shared" si="125"/>
        <v>0.10999999999999965</v>
      </c>
      <c r="H113" s="61">
        <f t="shared" ref="H113:Q113" si="126">H108-SUM(H109:H112)</f>
        <v>0.10999999999999965</v>
      </c>
      <c r="I113" s="61">
        <f t="shared" si="126"/>
        <v>0.10999999999999965</v>
      </c>
      <c r="J113" s="61">
        <f t="shared" si="126"/>
        <v>0.10999999999999965</v>
      </c>
      <c r="K113" s="61">
        <f t="shared" si="126"/>
        <v>0.10999999999999965</v>
      </c>
      <c r="L113" s="61">
        <f t="shared" si="126"/>
        <v>0.10999999999999965</v>
      </c>
      <c r="M113" s="61">
        <f t="shared" si="126"/>
        <v>0.10999999999999965</v>
      </c>
      <c r="N113" s="61">
        <f t="shared" si="126"/>
        <v>0.10999999999999965</v>
      </c>
      <c r="O113" s="61">
        <f t="shared" si="126"/>
        <v>0.10999999999999965</v>
      </c>
      <c r="P113" s="61">
        <f t="shared" si="126"/>
        <v>0.10999999999999965</v>
      </c>
      <c r="Q113" s="61">
        <f t="shared" si="126"/>
        <v>0.10999999999999965</v>
      </c>
    </row>
    <row r="114" spans="1:34" ht="15" thickTop="1" x14ac:dyDescent="0.15">
      <c r="B114" s="34"/>
      <c r="C114" s="63"/>
      <c r="D114" s="63"/>
      <c r="E114" s="63"/>
      <c r="F114" s="63"/>
      <c r="G114" s="63"/>
      <c r="H114" s="59"/>
      <c r="I114" s="59"/>
      <c r="J114" s="59"/>
      <c r="K114" s="59"/>
      <c r="L114" s="59"/>
      <c r="M114" s="59"/>
      <c r="N114" s="59"/>
      <c r="O114" s="59"/>
      <c r="P114" s="59"/>
      <c r="Q114" s="59"/>
    </row>
    <row r="115" spans="1:34" x14ac:dyDescent="0.15">
      <c r="B115" s="34"/>
      <c r="C115" s="63"/>
      <c r="D115" s="63"/>
      <c r="E115" s="63"/>
      <c r="F115" s="63"/>
      <c r="G115" s="63"/>
      <c r="H115" s="59"/>
      <c r="I115" s="59"/>
      <c r="J115" s="59"/>
      <c r="K115" s="59"/>
      <c r="L115" s="59"/>
      <c r="M115" s="59"/>
      <c r="N115" s="59"/>
      <c r="O115" s="59"/>
      <c r="P115" s="59"/>
      <c r="Q115" s="59"/>
    </row>
    <row r="116" spans="1:34" s="4" customFormat="1" ht="15" thickBot="1" x14ac:dyDescent="0.2">
      <c r="B116" s="44" t="s">
        <v>91</v>
      </c>
      <c r="C116" s="65">
        <f t="shared" ref="C116:Q116" si="127">SUM(C19,C32,C44,C57,C70,C82,C89,C101,C113)</f>
        <v>56.760000000000026</v>
      </c>
      <c r="D116" s="65">
        <f t="shared" si="127"/>
        <v>69.140000000000015</v>
      </c>
      <c r="E116" s="65">
        <f t="shared" si="127"/>
        <v>73.990000000000009</v>
      </c>
      <c r="F116" s="65">
        <f t="shared" si="127"/>
        <v>76.090000000000018</v>
      </c>
      <c r="G116" s="65">
        <f t="shared" si="127"/>
        <v>72.61999999999999</v>
      </c>
      <c r="H116" s="61">
        <f t="shared" si="127"/>
        <v>69.14800000000001</v>
      </c>
      <c r="I116" s="61">
        <f t="shared" si="127"/>
        <v>65.676000000000002</v>
      </c>
      <c r="J116" s="61">
        <f t="shared" si="127"/>
        <v>62.204000000000001</v>
      </c>
      <c r="K116" s="61">
        <f t="shared" si="127"/>
        <v>58.594719999999995</v>
      </c>
      <c r="L116" s="61">
        <f t="shared" si="127"/>
        <v>54.985439999999997</v>
      </c>
      <c r="M116" s="61">
        <f t="shared" si="127"/>
        <v>51.376159999999999</v>
      </c>
      <c r="N116" s="61">
        <f t="shared" si="127"/>
        <v>47.624108800000002</v>
      </c>
      <c r="O116" s="61">
        <f t="shared" si="127"/>
        <v>43.872057600000005</v>
      </c>
      <c r="P116" s="61">
        <f t="shared" si="127"/>
        <v>40.120006400000037</v>
      </c>
      <c r="Q116" s="61">
        <f t="shared" si="127"/>
        <v>36.219473152000035</v>
      </c>
    </row>
    <row r="117" spans="1:34" s="4" customFormat="1" x14ac:dyDescent="0.15">
      <c r="B117" s="44"/>
      <c r="D117" s="259"/>
      <c r="E117" s="259"/>
      <c r="F117" s="259"/>
      <c r="G117" s="259"/>
      <c r="H117" s="259"/>
      <c r="I117" s="259"/>
      <c r="J117" s="259"/>
      <c r="K117" s="259"/>
      <c r="L117" s="259"/>
      <c r="M117" s="259"/>
      <c r="N117" s="259"/>
      <c r="O117" s="259"/>
      <c r="P117" s="259"/>
      <c r="Q117" s="259"/>
    </row>
    <row r="118" spans="1:34" s="4" customFormat="1" x14ac:dyDescent="0.15">
      <c r="B118" s="524" t="s">
        <v>212</v>
      </c>
      <c r="C118" s="524"/>
      <c r="D118" s="524"/>
      <c r="E118" s="524"/>
      <c r="F118" s="524"/>
      <c r="G118" s="524"/>
      <c r="H118" s="524"/>
      <c r="I118" s="524"/>
      <c r="J118" s="524"/>
      <c r="K118" s="524"/>
      <c r="L118" s="524"/>
      <c r="M118" s="524"/>
      <c r="N118" s="524"/>
      <c r="O118" s="524"/>
      <c r="P118" s="524"/>
      <c r="Q118" s="524"/>
    </row>
    <row r="119" spans="1:34" x14ac:dyDescent="0.15">
      <c r="A119" s="4"/>
      <c r="B119" s="44" t="s">
        <v>312</v>
      </c>
      <c r="C119" s="4"/>
      <c r="D119" s="63"/>
      <c r="E119" s="63"/>
      <c r="F119" s="63"/>
      <c r="G119" s="63"/>
      <c r="H119" s="59"/>
      <c r="I119" s="59"/>
      <c r="J119" s="59"/>
      <c r="K119" s="59"/>
      <c r="L119" s="59"/>
      <c r="M119" s="59"/>
      <c r="N119" s="59"/>
      <c r="O119" s="59"/>
      <c r="P119" s="59"/>
      <c r="Q119" s="59"/>
    </row>
    <row r="120" spans="1:34" s="4" customFormat="1" x14ac:dyDescent="0.15">
      <c r="B120" s="44" t="s">
        <v>65</v>
      </c>
      <c r="C120" s="57">
        <v>28.02</v>
      </c>
      <c r="D120" s="57">
        <f t="shared" ref="D120:G120" si="128">C125</f>
        <v>26.99</v>
      </c>
      <c r="E120" s="57">
        <f t="shared" si="128"/>
        <v>32.339999999999996</v>
      </c>
      <c r="F120" s="57">
        <f t="shared" si="128"/>
        <v>59.509999999999991</v>
      </c>
      <c r="G120" s="57">
        <f t="shared" si="128"/>
        <v>65.169999999999987</v>
      </c>
      <c r="H120" s="58">
        <f t="shared" ref="H120:Q120" si="129">G125</f>
        <v>71.119999999999976</v>
      </c>
      <c r="I120" s="58">
        <f t="shared" si="129"/>
        <v>77.307999999999979</v>
      </c>
      <c r="J120" s="58">
        <f t="shared" si="129"/>
        <v>83.495999999999967</v>
      </c>
      <c r="K120" s="58">
        <f t="shared" si="129"/>
        <v>89.683999999999955</v>
      </c>
      <c r="L120" s="58">
        <f t="shared" si="129"/>
        <v>96.119519999999966</v>
      </c>
      <c r="M120" s="58">
        <f t="shared" si="129"/>
        <v>102.55503999999998</v>
      </c>
      <c r="N120" s="58">
        <f t="shared" si="129"/>
        <v>108.99055999999999</v>
      </c>
      <c r="O120" s="58">
        <f t="shared" si="129"/>
        <v>115.68350079999999</v>
      </c>
      <c r="P120" s="58">
        <f t="shared" si="129"/>
        <v>122.37644159999999</v>
      </c>
      <c r="Q120" s="58">
        <f t="shared" si="129"/>
        <v>129.06938239999999</v>
      </c>
    </row>
    <row r="121" spans="1:34" s="4" customFormat="1" x14ac:dyDescent="0.15">
      <c r="B121" s="34" t="s">
        <v>313</v>
      </c>
      <c r="C121" s="20">
        <v>0</v>
      </c>
      <c r="D121" s="20">
        <v>0</v>
      </c>
      <c r="E121" s="20">
        <v>13.7</v>
      </c>
      <c r="F121" s="20">
        <v>0</v>
      </c>
      <c r="G121" s="20">
        <v>0</v>
      </c>
      <c r="H121" s="58"/>
      <c r="I121" s="58"/>
      <c r="J121" s="58"/>
      <c r="K121" s="58"/>
      <c r="L121" s="58"/>
      <c r="M121" s="58"/>
      <c r="N121" s="58"/>
      <c r="O121" s="58"/>
      <c r="P121" s="58"/>
      <c r="Q121" s="58"/>
    </row>
    <row r="122" spans="1:34" x14ac:dyDescent="0.15">
      <c r="A122" s="4"/>
      <c r="B122" s="34" t="s">
        <v>66</v>
      </c>
      <c r="C122" s="20">
        <v>1.63</v>
      </c>
      <c r="D122" s="20">
        <v>5.81</v>
      </c>
      <c r="E122" s="20">
        <v>11.29</v>
      </c>
      <c r="F122" s="20">
        <v>10.130000000000001</v>
      </c>
      <c r="G122" s="20">
        <v>7.83</v>
      </c>
      <c r="H122" s="59">
        <f>G122*1.04</f>
        <v>8.1432000000000002</v>
      </c>
      <c r="I122" s="59">
        <f t="shared" ref="I122:J124" si="130">H122</f>
        <v>8.1432000000000002</v>
      </c>
      <c r="J122" s="59">
        <f t="shared" si="130"/>
        <v>8.1432000000000002</v>
      </c>
      <c r="K122" s="59">
        <f>J122*1.04</f>
        <v>8.468928</v>
      </c>
      <c r="L122" s="59">
        <f t="shared" ref="L122:M124" si="131">K122</f>
        <v>8.468928</v>
      </c>
      <c r="M122" s="59">
        <f t="shared" si="131"/>
        <v>8.468928</v>
      </c>
      <c r="N122" s="59">
        <f>M122*1.04</f>
        <v>8.8076851200000004</v>
      </c>
      <c r="O122" s="59">
        <f t="shared" ref="O122:P124" si="132">N122</f>
        <v>8.8076851200000004</v>
      </c>
      <c r="P122" s="59">
        <f t="shared" si="132"/>
        <v>8.8076851200000004</v>
      </c>
      <c r="Q122" s="59">
        <f>P122*1.04</f>
        <v>9.1599925247999998</v>
      </c>
      <c r="W122" s="93"/>
      <c r="X122" s="93"/>
      <c r="Y122" s="93"/>
      <c r="Z122" s="93"/>
      <c r="AA122" s="93"/>
      <c r="AB122" s="67"/>
      <c r="AD122" s="67"/>
      <c r="AE122" s="67"/>
      <c r="AF122" s="67"/>
      <c r="AG122" s="41"/>
      <c r="AH122" s="41"/>
    </row>
    <row r="123" spans="1:34" x14ac:dyDescent="0.15">
      <c r="A123" s="4"/>
      <c r="B123" s="34" t="s">
        <v>263</v>
      </c>
      <c r="C123" s="20">
        <v>0.5</v>
      </c>
      <c r="D123" s="20">
        <v>0.21</v>
      </c>
      <c r="E123" s="20">
        <v>2.1800000000000002</v>
      </c>
      <c r="F123" s="20">
        <v>1.06</v>
      </c>
      <c r="G123" s="20">
        <v>1.77</v>
      </c>
      <c r="H123" s="59">
        <f>G123*1.04</f>
        <v>1.8408</v>
      </c>
      <c r="I123" s="59">
        <f t="shared" si="130"/>
        <v>1.8408</v>
      </c>
      <c r="J123" s="59">
        <f t="shared" si="130"/>
        <v>1.8408</v>
      </c>
      <c r="K123" s="59">
        <f>J123*1.04</f>
        <v>1.9144320000000001</v>
      </c>
      <c r="L123" s="59">
        <f t="shared" si="131"/>
        <v>1.9144320000000001</v>
      </c>
      <c r="M123" s="59">
        <f t="shared" si="131"/>
        <v>1.9144320000000001</v>
      </c>
      <c r="N123" s="59">
        <f>M123*1.04</f>
        <v>1.9910092800000001</v>
      </c>
      <c r="O123" s="59">
        <f t="shared" si="132"/>
        <v>1.9910092800000001</v>
      </c>
      <c r="P123" s="59">
        <f t="shared" si="132"/>
        <v>1.9910092800000001</v>
      </c>
      <c r="Q123" s="59">
        <f>P123*1.04</f>
        <v>2.0706496512000001</v>
      </c>
      <c r="W123" s="93"/>
      <c r="X123" s="93"/>
      <c r="Y123" s="93"/>
      <c r="Z123" s="93"/>
      <c r="AA123" s="93"/>
      <c r="AB123" s="67"/>
      <c r="AD123" s="67"/>
      <c r="AE123" s="67"/>
      <c r="AF123" s="67"/>
      <c r="AG123" s="41"/>
      <c r="AH123" s="41"/>
    </row>
    <row r="124" spans="1:34" x14ac:dyDescent="0.15">
      <c r="A124" s="4"/>
      <c r="B124" s="34" t="s">
        <v>314</v>
      </c>
      <c r="C124" s="20">
        <v>-3.16</v>
      </c>
      <c r="D124" s="20">
        <v>-0.67</v>
      </c>
      <c r="E124" s="20">
        <v>0</v>
      </c>
      <c r="F124" s="20">
        <v>-5.53</v>
      </c>
      <c r="G124" s="20">
        <v>-3.65</v>
      </c>
      <c r="H124" s="59">
        <f>G124*1.04</f>
        <v>-3.7959999999999998</v>
      </c>
      <c r="I124" s="59">
        <f t="shared" si="130"/>
        <v>-3.7959999999999998</v>
      </c>
      <c r="J124" s="59">
        <f t="shared" si="130"/>
        <v>-3.7959999999999998</v>
      </c>
      <c r="K124" s="59">
        <f>J124*1.04</f>
        <v>-3.9478399999999998</v>
      </c>
      <c r="L124" s="59">
        <f t="shared" si="131"/>
        <v>-3.9478399999999998</v>
      </c>
      <c r="M124" s="59">
        <f t="shared" si="131"/>
        <v>-3.9478399999999998</v>
      </c>
      <c r="N124" s="59">
        <f>M124*1.04</f>
        <v>-4.1057535999999999</v>
      </c>
      <c r="O124" s="59">
        <f t="shared" si="132"/>
        <v>-4.1057535999999999</v>
      </c>
      <c r="P124" s="59">
        <f t="shared" si="132"/>
        <v>-4.1057535999999999</v>
      </c>
      <c r="Q124" s="59">
        <f>P124*1.04</f>
        <v>-4.2699837440000001</v>
      </c>
      <c r="W124" s="93"/>
      <c r="X124" s="93"/>
      <c r="Y124" s="93"/>
      <c r="Z124" s="93"/>
      <c r="AA124" s="93"/>
      <c r="AB124" s="67"/>
      <c r="AD124" s="67"/>
      <c r="AE124" s="67"/>
      <c r="AF124" s="67"/>
      <c r="AG124" s="41"/>
      <c r="AH124" s="41"/>
    </row>
    <row r="125" spans="1:34" s="4" customFormat="1" x14ac:dyDescent="0.15">
      <c r="B125" s="44" t="s">
        <v>67</v>
      </c>
      <c r="C125" s="62">
        <f t="shared" ref="C125:G125" si="133">SUM(C120:C124)</f>
        <v>26.99</v>
      </c>
      <c r="D125" s="62">
        <f t="shared" si="133"/>
        <v>32.339999999999996</v>
      </c>
      <c r="E125" s="62">
        <f t="shared" si="133"/>
        <v>59.509999999999991</v>
      </c>
      <c r="F125" s="62">
        <f t="shared" si="133"/>
        <v>65.169999999999987</v>
      </c>
      <c r="G125" s="62">
        <f t="shared" si="133"/>
        <v>71.119999999999976</v>
      </c>
      <c r="H125" s="58">
        <f t="shared" ref="H125:Q125" si="134">SUM(H120:H124)</f>
        <v>77.307999999999979</v>
      </c>
      <c r="I125" s="58">
        <f t="shared" si="134"/>
        <v>83.495999999999967</v>
      </c>
      <c r="J125" s="58">
        <f t="shared" si="134"/>
        <v>89.683999999999955</v>
      </c>
      <c r="K125" s="58">
        <f t="shared" si="134"/>
        <v>96.119519999999966</v>
      </c>
      <c r="L125" s="58">
        <f t="shared" si="134"/>
        <v>102.55503999999998</v>
      </c>
      <c r="M125" s="58">
        <f t="shared" si="134"/>
        <v>108.99055999999999</v>
      </c>
      <c r="N125" s="58">
        <f t="shared" si="134"/>
        <v>115.68350079999999</v>
      </c>
      <c r="O125" s="58">
        <f t="shared" si="134"/>
        <v>122.37644159999999</v>
      </c>
      <c r="P125" s="58">
        <f t="shared" si="134"/>
        <v>129.06938239999999</v>
      </c>
      <c r="Q125" s="58">
        <f t="shared" si="134"/>
        <v>136.030040832</v>
      </c>
      <c r="W125" s="91"/>
      <c r="X125" s="91"/>
      <c r="Y125" s="91"/>
      <c r="Z125" s="91"/>
      <c r="AA125" s="91"/>
      <c r="AB125" s="258"/>
      <c r="AD125" s="258"/>
      <c r="AE125" s="258"/>
      <c r="AF125" s="258"/>
      <c r="AG125" s="43"/>
      <c r="AH125" s="43"/>
    </row>
    <row r="126" spans="1:34" x14ac:dyDescent="0.15">
      <c r="A126" s="4"/>
      <c r="B126" s="34" t="s">
        <v>68</v>
      </c>
      <c r="C126" s="20">
        <v>8.1100000000000012</v>
      </c>
      <c r="D126" s="20">
        <f t="shared" ref="D126:Q126" si="135">SUM(C126:C129)</f>
        <v>15.560000000000002</v>
      </c>
      <c r="E126" s="20">
        <f t="shared" si="135"/>
        <v>20.970000000000002</v>
      </c>
      <c r="F126" s="20">
        <f t="shared" si="135"/>
        <v>29.93</v>
      </c>
      <c r="G126" s="20">
        <f t="shared" si="135"/>
        <v>36.270000000000003</v>
      </c>
      <c r="H126" s="59">
        <f t="shared" si="135"/>
        <v>46.57</v>
      </c>
      <c r="I126" s="59">
        <f t="shared" si="135"/>
        <v>57.282000000000004</v>
      </c>
      <c r="J126" s="59">
        <f t="shared" si="135"/>
        <v>67.994</v>
      </c>
      <c r="K126" s="59">
        <f t="shared" si="135"/>
        <v>78.706000000000003</v>
      </c>
      <c r="L126" s="59">
        <f t="shared" si="135"/>
        <v>89.84648</v>
      </c>
      <c r="M126" s="59">
        <f t="shared" si="135"/>
        <v>100.98696</v>
      </c>
      <c r="N126" s="59">
        <f t="shared" si="135"/>
        <v>112.12743999999999</v>
      </c>
      <c r="O126" s="59">
        <f t="shared" si="135"/>
        <v>123.71353919999999</v>
      </c>
      <c r="P126" s="59">
        <f t="shared" si="135"/>
        <v>135.29963839999999</v>
      </c>
      <c r="Q126" s="59">
        <f t="shared" si="135"/>
        <v>146.8857376</v>
      </c>
      <c r="W126" s="93"/>
      <c r="X126" s="93"/>
      <c r="Y126" s="93"/>
      <c r="Z126" s="93"/>
      <c r="AA126" s="93"/>
      <c r="AB126" s="67"/>
      <c r="AD126" s="67"/>
      <c r="AE126" s="67"/>
      <c r="AF126" s="67"/>
      <c r="AG126" s="41"/>
      <c r="AH126" s="41"/>
    </row>
    <row r="127" spans="1:34" x14ac:dyDescent="0.15">
      <c r="A127" s="4"/>
      <c r="B127" s="34" t="s">
        <v>69</v>
      </c>
      <c r="C127" s="20">
        <v>8.49</v>
      </c>
      <c r="D127" s="20">
        <v>5.99</v>
      </c>
      <c r="E127" s="20">
        <v>7.92</v>
      </c>
      <c r="F127" s="20">
        <v>10.75</v>
      </c>
      <c r="G127" s="20">
        <v>12.06</v>
      </c>
      <c r="H127" s="59">
        <f>G127*1.04</f>
        <v>12.542400000000001</v>
      </c>
      <c r="I127" s="59">
        <f t="shared" ref="I127:J129" si="136">H127</f>
        <v>12.542400000000001</v>
      </c>
      <c r="J127" s="59">
        <f t="shared" si="136"/>
        <v>12.542400000000001</v>
      </c>
      <c r="K127" s="59">
        <f>J127*1.04</f>
        <v>13.044096000000001</v>
      </c>
      <c r="L127" s="59">
        <f t="shared" ref="L127:M129" si="137">K127</f>
        <v>13.044096000000001</v>
      </c>
      <c r="M127" s="59">
        <f t="shared" si="137"/>
        <v>13.044096000000001</v>
      </c>
      <c r="N127" s="59">
        <f>M127*1.04</f>
        <v>13.565859840000002</v>
      </c>
      <c r="O127" s="59">
        <f t="shared" ref="O127:P129" si="138">N127</f>
        <v>13.565859840000002</v>
      </c>
      <c r="P127" s="59">
        <f t="shared" si="138"/>
        <v>13.565859840000002</v>
      </c>
      <c r="Q127" s="59">
        <f>P127*1.04</f>
        <v>14.108494233600002</v>
      </c>
      <c r="W127" s="93"/>
      <c r="X127" s="93"/>
      <c r="Y127" s="93"/>
      <c r="Z127" s="93"/>
      <c r="AA127" s="93"/>
      <c r="AB127" s="67"/>
      <c r="AD127" s="67"/>
      <c r="AE127" s="67"/>
      <c r="AF127" s="67"/>
      <c r="AG127" s="41"/>
      <c r="AH127" s="41"/>
    </row>
    <row r="128" spans="1:34" x14ac:dyDescent="0.15">
      <c r="A128" s="4"/>
      <c r="B128" s="34" t="s">
        <v>263</v>
      </c>
      <c r="C128" s="20">
        <v>0.16</v>
      </c>
      <c r="D128" s="20">
        <v>0.09</v>
      </c>
      <c r="E128" s="20">
        <v>1.04</v>
      </c>
      <c r="F128" s="20">
        <v>0.89</v>
      </c>
      <c r="G128" s="20">
        <v>1.26</v>
      </c>
      <c r="H128" s="59">
        <f>G128*1.04</f>
        <v>1.3104</v>
      </c>
      <c r="I128" s="59">
        <f t="shared" si="136"/>
        <v>1.3104</v>
      </c>
      <c r="J128" s="59">
        <f t="shared" si="136"/>
        <v>1.3104</v>
      </c>
      <c r="K128" s="59">
        <f>J128*1.04</f>
        <v>1.362816</v>
      </c>
      <c r="L128" s="59">
        <f t="shared" si="137"/>
        <v>1.362816</v>
      </c>
      <c r="M128" s="59">
        <f t="shared" si="137"/>
        <v>1.362816</v>
      </c>
      <c r="N128" s="59">
        <f>M128*1.04</f>
        <v>1.41732864</v>
      </c>
      <c r="O128" s="59">
        <f t="shared" si="138"/>
        <v>1.41732864</v>
      </c>
      <c r="P128" s="59">
        <f t="shared" si="138"/>
        <v>1.41732864</v>
      </c>
      <c r="Q128" s="59">
        <f>P128*1.04</f>
        <v>1.4740217856000002</v>
      </c>
      <c r="W128" s="93"/>
      <c r="X128" s="93"/>
      <c r="Y128" s="93"/>
      <c r="Z128" s="93"/>
      <c r="AA128" s="93"/>
      <c r="AB128" s="67"/>
      <c r="AD128" s="67"/>
      <c r="AE128" s="67"/>
      <c r="AF128" s="67"/>
      <c r="AG128" s="41"/>
      <c r="AH128" s="41"/>
    </row>
    <row r="129" spans="2:34" s="4" customFormat="1" x14ac:dyDescent="0.15">
      <c r="B129" s="34" t="s">
        <v>314</v>
      </c>
      <c r="C129" s="20">
        <v>-1.2</v>
      </c>
      <c r="D129" s="20">
        <v>-0.67</v>
      </c>
      <c r="E129" s="20">
        <v>0</v>
      </c>
      <c r="F129" s="20">
        <v>-5.3</v>
      </c>
      <c r="G129" s="20">
        <v>-3.02</v>
      </c>
      <c r="H129" s="59">
        <f>G129*1.04</f>
        <v>-3.1408</v>
      </c>
      <c r="I129" s="59">
        <f t="shared" si="136"/>
        <v>-3.1408</v>
      </c>
      <c r="J129" s="59">
        <f t="shared" si="136"/>
        <v>-3.1408</v>
      </c>
      <c r="K129" s="59">
        <f>J129*1.04</f>
        <v>-3.266432</v>
      </c>
      <c r="L129" s="59">
        <f t="shared" si="137"/>
        <v>-3.266432</v>
      </c>
      <c r="M129" s="59">
        <f t="shared" si="137"/>
        <v>-3.266432</v>
      </c>
      <c r="N129" s="59">
        <f>M129*1.04</f>
        <v>-3.3970892800000003</v>
      </c>
      <c r="O129" s="59">
        <f t="shared" si="138"/>
        <v>-3.3970892800000003</v>
      </c>
      <c r="P129" s="59">
        <f t="shared" si="138"/>
        <v>-3.3970892800000003</v>
      </c>
      <c r="Q129" s="59">
        <f>P129*1.04</f>
        <v>-3.5329728512000003</v>
      </c>
    </row>
    <row r="130" spans="2:34" s="4" customFormat="1" ht="15" thickBot="1" x14ac:dyDescent="0.2">
      <c r="B130" s="44" t="s">
        <v>70</v>
      </c>
      <c r="C130" s="60">
        <f t="shared" ref="C130:Q130" si="139">C125-SUM(C126:C129)</f>
        <v>11.429999999999996</v>
      </c>
      <c r="D130" s="60">
        <f t="shared" si="139"/>
        <v>11.369999999999994</v>
      </c>
      <c r="E130" s="60">
        <f t="shared" si="139"/>
        <v>29.579999999999991</v>
      </c>
      <c r="F130" s="60">
        <f t="shared" si="139"/>
        <v>28.899999999999984</v>
      </c>
      <c r="G130" s="60">
        <f t="shared" si="139"/>
        <v>24.549999999999976</v>
      </c>
      <c r="H130" s="61">
        <f t="shared" si="139"/>
        <v>20.025999999999975</v>
      </c>
      <c r="I130" s="61">
        <f t="shared" si="139"/>
        <v>15.501999999999967</v>
      </c>
      <c r="J130" s="61">
        <f t="shared" si="139"/>
        <v>10.977999999999952</v>
      </c>
      <c r="K130" s="61">
        <f t="shared" si="139"/>
        <v>6.2730399999999662</v>
      </c>
      <c r="L130" s="61">
        <f t="shared" si="139"/>
        <v>1.5680799999999806</v>
      </c>
      <c r="M130" s="61">
        <f t="shared" si="139"/>
        <v>-3.136880000000005</v>
      </c>
      <c r="N130" s="61">
        <f t="shared" si="139"/>
        <v>-8.0300383999999951</v>
      </c>
      <c r="O130" s="61">
        <f t="shared" si="139"/>
        <v>-12.923196799999999</v>
      </c>
      <c r="P130" s="61">
        <f t="shared" si="139"/>
        <v>-17.816355200000004</v>
      </c>
      <c r="Q130" s="61">
        <f t="shared" si="139"/>
        <v>-22.905239935999987</v>
      </c>
    </row>
    <row r="131" spans="2:34" s="4" customFormat="1" ht="15" thickTop="1" x14ac:dyDescent="0.15">
      <c r="B131" s="44"/>
      <c r="C131" s="165"/>
      <c r="D131" s="165"/>
      <c r="E131" s="165"/>
      <c r="F131" s="165"/>
      <c r="G131" s="165"/>
      <c r="H131" s="59"/>
      <c r="I131" s="59"/>
      <c r="J131" s="59"/>
      <c r="K131" s="59"/>
      <c r="L131" s="59"/>
      <c r="M131" s="59"/>
      <c r="N131" s="59"/>
      <c r="O131" s="59"/>
      <c r="P131" s="59"/>
      <c r="Q131" s="59"/>
    </row>
    <row r="132" spans="2:34" s="4" customFormat="1" x14ac:dyDescent="0.15">
      <c r="B132" s="44"/>
      <c r="C132" s="165"/>
      <c r="D132" s="165"/>
      <c r="E132" s="165"/>
      <c r="F132" s="165"/>
      <c r="G132" s="165"/>
      <c r="H132" s="59"/>
      <c r="I132" s="59"/>
      <c r="J132" s="59"/>
      <c r="K132" s="59"/>
      <c r="L132" s="59"/>
      <c r="M132" s="59"/>
      <c r="N132" s="59"/>
      <c r="O132" s="59"/>
      <c r="P132" s="59"/>
      <c r="Q132" s="59"/>
    </row>
    <row r="133" spans="2:34" s="4" customFormat="1" ht="15" thickBot="1" x14ac:dyDescent="0.2">
      <c r="B133" s="4" t="s">
        <v>213</v>
      </c>
      <c r="C133" s="167">
        <f t="shared" ref="C133:Q133" si="140">C130</f>
        <v>11.429999999999996</v>
      </c>
      <c r="D133" s="65">
        <f t="shared" si="140"/>
        <v>11.369999999999994</v>
      </c>
      <c r="E133" s="65">
        <f t="shared" si="140"/>
        <v>29.579999999999991</v>
      </c>
      <c r="F133" s="65">
        <f t="shared" si="140"/>
        <v>28.899999999999984</v>
      </c>
      <c r="G133" s="65">
        <f t="shared" si="140"/>
        <v>24.549999999999976</v>
      </c>
      <c r="H133" s="61">
        <f t="shared" si="140"/>
        <v>20.025999999999975</v>
      </c>
      <c r="I133" s="61">
        <f t="shared" si="140"/>
        <v>15.501999999999967</v>
      </c>
      <c r="J133" s="61">
        <f t="shared" si="140"/>
        <v>10.977999999999952</v>
      </c>
      <c r="K133" s="61">
        <f t="shared" si="140"/>
        <v>6.2730399999999662</v>
      </c>
      <c r="L133" s="61">
        <f t="shared" si="140"/>
        <v>1.5680799999999806</v>
      </c>
      <c r="M133" s="61">
        <f t="shared" si="140"/>
        <v>-3.136880000000005</v>
      </c>
      <c r="N133" s="61">
        <f t="shared" si="140"/>
        <v>-8.0300383999999951</v>
      </c>
      <c r="O133" s="61">
        <f t="shared" si="140"/>
        <v>-12.923196799999999</v>
      </c>
      <c r="P133" s="61">
        <f t="shared" si="140"/>
        <v>-17.816355200000004</v>
      </c>
      <c r="Q133" s="61">
        <f t="shared" si="140"/>
        <v>-22.905239935999987</v>
      </c>
    </row>
    <row r="134" spans="2:34" x14ac:dyDescent="0.15">
      <c r="B134" s="34"/>
      <c r="D134" s="260"/>
      <c r="E134" s="260"/>
      <c r="F134" s="260"/>
      <c r="G134" s="260"/>
      <c r="H134" s="259"/>
      <c r="I134" s="259"/>
      <c r="J134" s="259"/>
      <c r="K134" s="259"/>
      <c r="L134" s="259"/>
      <c r="M134" s="259"/>
      <c r="N134" s="259"/>
      <c r="O134" s="259"/>
      <c r="P134" s="259"/>
      <c r="Q134" s="259"/>
    </row>
    <row r="135" spans="2:34" ht="16" x14ac:dyDescent="0.2">
      <c r="B135" s="522" t="s">
        <v>94</v>
      </c>
      <c r="C135" s="522"/>
      <c r="D135" s="522"/>
      <c r="E135" s="522"/>
      <c r="F135" s="522"/>
      <c r="G135" s="522"/>
      <c r="H135" s="522"/>
      <c r="I135" s="522"/>
      <c r="J135" s="522"/>
      <c r="K135" s="522"/>
      <c r="L135" s="522"/>
      <c r="M135" s="522"/>
      <c r="N135" s="522"/>
      <c r="O135" s="522"/>
      <c r="P135" s="522"/>
      <c r="Q135" s="522"/>
    </row>
    <row r="136" spans="2:34" x14ac:dyDescent="0.15">
      <c r="B136" s="44" t="s">
        <v>252</v>
      </c>
      <c r="C136" s="4"/>
      <c r="D136" s="63"/>
      <c r="E136" s="63"/>
      <c r="F136" s="63"/>
      <c r="G136" s="63"/>
      <c r="H136" s="59"/>
      <c r="I136" s="59"/>
      <c r="J136" s="59"/>
      <c r="K136" s="59"/>
      <c r="L136" s="59"/>
      <c r="M136" s="59"/>
      <c r="N136" s="59"/>
      <c r="O136" s="59"/>
      <c r="P136" s="59"/>
      <c r="Q136" s="59"/>
    </row>
    <row r="137" spans="2:34" s="4" customFormat="1" x14ac:dyDescent="0.15">
      <c r="B137" s="44" t="s">
        <v>65</v>
      </c>
      <c r="C137" s="57">
        <v>38.119999999999997</v>
      </c>
      <c r="D137" s="57">
        <f t="shared" ref="D137:G137" si="141">C141</f>
        <v>11.659999999999997</v>
      </c>
      <c r="E137" s="57">
        <f t="shared" si="141"/>
        <v>16.339999999999996</v>
      </c>
      <c r="F137" s="57">
        <f t="shared" si="141"/>
        <v>17.369999999999994</v>
      </c>
      <c r="G137" s="57">
        <f t="shared" si="141"/>
        <v>36.779999999999994</v>
      </c>
      <c r="H137" s="58">
        <f t="shared" ref="H137:Q137" si="142">G141</f>
        <v>41.069999999999986</v>
      </c>
      <c r="I137" s="58">
        <f t="shared" si="142"/>
        <v>45.531599999999983</v>
      </c>
      <c r="J137" s="58">
        <f t="shared" si="142"/>
        <v>49.993199999999987</v>
      </c>
      <c r="K137" s="58">
        <f t="shared" si="142"/>
        <v>54.454799999999992</v>
      </c>
      <c r="L137" s="58">
        <f t="shared" si="142"/>
        <v>59.094863999999994</v>
      </c>
      <c r="M137" s="58">
        <f t="shared" si="142"/>
        <v>63.734927999999989</v>
      </c>
      <c r="N137" s="58">
        <f t="shared" si="142"/>
        <v>68.374991999999992</v>
      </c>
      <c r="O137" s="58">
        <f t="shared" si="142"/>
        <v>73.200658559999994</v>
      </c>
      <c r="P137" s="58">
        <f t="shared" si="142"/>
        <v>78.026325119999996</v>
      </c>
      <c r="Q137" s="58">
        <f t="shared" si="142"/>
        <v>82.851991679999998</v>
      </c>
    </row>
    <row r="138" spans="2:34" x14ac:dyDescent="0.15">
      <c r="B138" s="34" t="s">
        <v>66</v>
      </c>
      <c r="C138" s="20">
        <v>3.96</v>
      </c>
      <c r="D138" s="20">
        <v>4.4800000000000004</v>
      </c>
      <c r="E138" s="20">
        <v>0.9</v>
      </c>
      <c r="F138" s="20">
        <v>19.29</v>
      </c>
      <c r="G138" s="20">
        <v>12.95</v>
      </c>
      <c r="H138" s="59">
        <f>G138*1.04</f>
        <v>13.468</v>
      </c>
      <c r="I138" s="59">
        <f t="shared" ref="I138:J140" si="143">H138</f>
        <v>13.468</v>
      </c>
      <c r="J138" s="59">
        <f t="shared" si="143"/>
        <v>13.468</v>
      </c>
      <c r="K138" s="59">
        <f>J138*1.04</f>
        <v>14.00672</v>
      </c>
      <c r="L138" s="59">
        <f t="shared" ref="L138:M140" si="144">K138</f>
        <v>14.00672</v>
      </c>
      <c r="M138" s="59">
        <f t="shared" si="144"/>
        <v>14.00672</v>
      </c>
      <c r="N138" s="59">
        <f>M138*1.04</f>
        <v>14.566988800000001</v>
      </c>
      <c r="O138" s="59">
        <f t="shared" ref="O138:P140" si="145">N138</f>
        <v>14.566988800000001</v>
      </c>
      <c r="P138" s="59">
        <f t="shared" si="145"/>
        <v>14.566988800000001</v>
      </c>
      <c r="Q138" s="59">
        <f>P138*1.04</f>
        <v>15.149668352000001</v>
      </c>
      <c r="W138" s="93"/>
      <c r="X138" s="93"/>
      <c r="Y138" s="93"/>
      <c r="Z138" s="93"/>
      <c r="AA138" s="93"/>
      <c r="AB138" s="67"/>
      <c r="AD138" s="67"/>
      <c r="AE138" s="67"/>
      <c r="AF138" s="67"/>
      <c r="AG138" s="41"/>
      <c r="AH138" s="41"/>
    </row>
    <row r="139" spans="2:34" x14ac:dyDescent="0.15">
      <c r="B139" s="34" t="s">
        <v>263</v>
      </c>
      <c r="C139" s="20">
        <v>0.01</v>
      </c>
      <c r="D139" s="20">
        <v>0.25</v>
      </c>
      <c r="E139" s="20">
        <v>0.13</v>
      </c>
      <c r="F139" s="20">
        <v>0.12</v>
      </c>
      <c r="G139" s="20">
        <v>-0.02</v>
      </c>
      <c r="H139" s="59">
        <f>G139*1.04</f>
        <v>-2.0800000000000003E-2</v>
      </c>
      <c r="I139" s="59">
        <f t="shared" si="143"/>
        <v>-2.0800000000000003E-2</v>
      </c>
      <c r="J139" s="59">
        <f t="shared" si="143"/>
        <v>-2.0800000000000003E-2</v>
      </c>
      <c r="K139" s="59">
        <f>J139*1.04</f>
        <v>-2.1632000000000002E-2</v>
      </c>
      <c r="L139" s="59">
        <f t="shared" si="144"/>
        <v>-2.1632000000000002E-2</v>
      </c>
      <c r="M139" s="59">
        <f t="shared" si="144"/>
        <v>-2.1632000000000002E-2</v>
      </c>
      <c r="N139" s="59">
        <f>M139*1.04</f>
        <v>-2.2497280000000001E-2</v>
      </c>
      <c r="O139" s="59">
        <f t="shared" si="145"/>
        <v>-2.2497280000000001E-2</v>
      </c>
      <c r="P139" s="59">
        <f t="shared" si="145"/>
        <v>-2.2497280000000001E-2</v>
      </c>
      <c r="Q139" s="59">
        <f>P139*1.04</f>
        <v>-2.3397171200000004E-2</v>
      </c>
      <c r="W139" s="93"/>
      <c r="X139" s="93"/>
      <c r="Y139" s="93"/>
      <c r="Z139" s="93"/>
      <c r="AA139" s="93"/>
      <c r="AB139" s="67"/>
      <c r="AD139" s="67"/>
      <c r="AE139" s="67"/>
      <c r="AF139" s="67"/>
      <c r="AG139" s="41"/>
      <c r="AH139" s="41"/>
    </row>
    <row r="140" spans="2:34" x14ac:dyDescent="0.15">
      <c r="B140" s="34" t="s">
        <v>314</v>
      </c>
      <c r="C140" s="20">
        <v>-30.43</v>
      </c>
      <c r="D140" s="20">
        <v>-0.05</v>
      </c>
      <c r="E140" s="20">
        <v>0</v>
      </c>
      <c r="F140" s="20">
        <v>0</v>
      </c>
      <c r="G140" s="20">
        <v>-8.64</v>
      </c>
      <c r="H140" s="59">
        <f>G140*1.04</f>
        <v>-8.9856000000000016</v>
      </c>
      <c r="I140" s="59">
        <f t="shared" si="143"/>
        <v>-8.9856000000000016</v>
      </c>
      <c r="J140" s="59">
        <f t="shared" si="143"/>
        <v>-8.9856000000000016</v>
      </c>
      <c r="K140" s="59">
        <f>J140*1.04</f>
        <v>-9.3450240000000022</v>
      </c>
      <c r="L140" s="59">
        <f t="shared" si="144"/>
        <v>-9.3450240000000022</v>
      </c>
      <c r="M140" s="59">
        <f t="shared" si="144"/>
        <v>-9.3450240000000022</v>
      </c>
      <c r="N140" s="59">
        <f>M140*1.04</f>
        <v>-9.7188249600000027</v>
      </c>
      <c r="O140" s="59">
        <f t="shared" si="145"/>
        <v>-9.7188249600000027</v>
      </c>
      <c r="P140" s="59">
        <f t="shared" si="145"/>
        <v>-9.7188249600000027</v>
      </c>
      <c r="Q140" s="59">
        <f>P140*1.04</f>
        <v>-10.107577958400004</v>
      </c>
      <c r="W140" s="93"/>
      <c r="X140" s="93"/>
      <c r="Y140" s="93"/>
      <c r="Z140" s="93"/>
      <c r="AA140" s="93"/>
      <c r="AB140" s="67"/>
      <c r="AD140" s="67"/>
      <c r="AE140" s="67"/>
      <c r="AF140" s="67"/>
      <c r="AG140" s="41"/>
      <c r="AH140" s="41"/>
    </row>
    <row r="141" spans="2:34" s="4" customFormat="1" x14ac:dyDescent="0.15">
      <c r="B141" s="44" t="s">
        <v>67</v>
      </c>
      <c r="C141" s="62">
        <f t="shared" ref="C141:Q141" si="146">SUM(C137:C140)</f>
        <v>11.659999999999997</v>
      </c>
      <c r="D141" s="62">
        <f t="shared" si="146"/>
        <v>16.339999999999996</v>
      </c>
      <c r="E141" s="62">
        <f t="shared" si="146"/>
        <v>17.369999999999994</v>
      </c>
      <c r="F141" s="62">
        <f t="shared" si="146"/>
        <v>36.779999999999994</v>
      </c>
      <c r="G141" s="62">
        <f t="shared" si="146"/>
        <v>41.069999999999986</v>
      </c>
      <c r="H141" s="58">
        <f t="shared" si="146"/>
        <v>45.531599999999983</v>
      </c>
      <c r="I141" s="58">
        <f t="shared" si="146"/>
        <v>49.993199999999987</v>
      </c>
      <c r="J141" s="58">
        <f t="shared" si="146"/>
        <v>54.454799999999992</v>
      </c>
      <c r="K141" s="58">
        <f t="shared" si="146"/>
        <v>59.094863999999994</v>
      </c>
      <c r="L141" s="58">
        <f t="shared" si="146"/>
        <v>63.734927999999989</v>
      </c>
      <c r="M141" s="58">
        <f t="shared" si="146"/>
        <v>68.374991999999992</v>
      </c>
      <c r="N141" s="58">
        <f t="shared" si="146"/>
        <v>73.200658559999994</v>
      </c>
      <c r="O141" s="58">
        <f t="shared" si="146"/>
        <v>78.026325119999996</v>
      </c>
      <c r="P141" s="58">
        <f t="shared" si="146"/>
        <v>82.851991679999998</v>
      </c>
      <c r="Q141" s="58">
        <f t="shared" si="146"/>
        <v>87.870684902400001</v>
      </c>
      <c r="W141" s="91"/>
      <c r="X141" s="91"/>
      <c r="Y141" s="91"/>
      <c r="Z141" s="91"/>
      <c r="AA141" s="91"/>
      <c r="AB141" s="258"/>
      <c r="AD141" s="258"/>
      <c r="AE141" s="258"/>
      <c r="AF141" s="258"/>
      <c r="AG141" s="43"/>
      <c r="AH141" s="43"/>
    </row>
    <row r="142" spans="2:34" x14ac:dyDescent="0.15">
      <c r="B142" s="34" t="s">
        <v>68</v>
      </c>
      <c r="C142" s="20">
        <v>34.99</v>
      </c>
      <c r="D142" s="20">
        <f t="shared" ref="D142:Q142" si="147">SUM(C142:C145)</f>
        <v>8.9900000000000091</v>
      </c>
      <c r="E142" s="20">
        <f t="shared" si="147"/>
        <v>13.500000000000009</v>
      </c>
      <c r="F142" s="20">
        <f t="shared" si="147"/>
        <v>16.640000000000008</v>
      </c>
      <c r="G142" s="20">
        <f t="shared" si="147"/>
        <v>27.47000000000001</v>
      </c>
      <c r="H142" s="59">
        <f t="shared" si="147"/>
        <v>31.180000000000014</v>
      </c>
      <c r="I142" s="59">
        <f t="shared" si="147"/>
        <v>35.038400000000017</v>
      </c>
      <c r="J142" s="59">
        <f t="shared" si="147"/>
        <v>38.89680000000002</v>
      </c>
      <c r="K142" s="59">
        <f t="shared" si="147"/>
        <v>42.755200000000023</v>
      </c>
      <c r="L142" s="59">
        <f t="shared" si="147"/>
        <v>46.76793600000002</v>
      </c>
      <c r="M142" s="59">
        <f t="shared" si="147"/>
        <v>50.780672000000017</v>
      </c>
      <c r="N142" s="59">
        <f t="shared" si="147"/>
        <v>54.793408000000021</v>
      </c>
      <c r="O142" s="59">
        <f t="shared" si="147"/>
        <v>58.966653440000037</v>
      </c>
      <c r="P142" s="59">
        <f t="shared" si="147"/>
        <v>63.139898880000054</v>
      </c>
      <c r="Q142" s="59">
        <f t="shared" si="147"/>
        <v>67.313144320000063</v>
      </c>
    </row>
    <row r="143" spans="2:34" s="4" customFormat="1" x14ac:dyDescent="0.15">
      <c r="B143" s="34" t="s">
        <v>69</v>
      </c>
      <c r="C143" s="20">
        <v>4.16</v>
      </c>
      <c r="D143" s="20">
        <v>4.57</v>
      </c>
      <c r="E143" s="20">
        <v>3</v>
      </c>
      <c r="F143" s="20">
        <v>10.73</v>
      </c>
      <c r="G143" s="20">
        <v>12.39</v>
      </c>
      <c r="H143" s="59">
        <f>G143*1.04</f>
        <v>12.8856</v>
      </c>
      <c r="I143" s="59">
        <f t="shared" ref="I143:J145" si="148">H143</f>
        <v>12.8856</v>
      </c>
      <c r="J143" s="59">
        <f t="shared" si="148"/>
        <v>12.8856</v>
      </c>
      <c r="K143" s="59">
        <f>J143*1.04</f>
        <v>13.401024000000001</v>
      </c>
      <c r="L143" s="59">
        <f t="shared" ref="L143:M145" si="149">K143</f>
        <v>13.401024000000001</v>
      </c>
      <c r="M143" s="59">
        <f t="shared" si="149"/>
        <v>13.401024000000001</v>
      </c>
      <c r="N143" s="59">
        <f>M143*1.04</f>
        <v>13.937064960000003</v>
      </c>
      <c r="O143" s="59">
        <f t="shared" ref="O143:P145" si="150">N143</f>
        <v>13.937064960000003</v>
      </c>
      <c r="P143" s="59">
        <f t="shared" si="150"/>
        <v>13.937064960000003</v>
      </c>
      <c r="Q143" s="59">
        <f>P143*1.04</f>
        <v>14.494547558400003</v>
      </c>
    </row>
    <row r="144" spans="2:34" s="4" customFormat="1" x14ac:dyDescent="0.15">
      <c r="B144" s="34" t="s">
        <v>263</v>
      </c>
      <c r="C144" s="20">
        <v>0.27</v>
      </c>
      <c r="D144" s="20">
        <v>-0.01</v>
      </c>
      <c r="E144" s="20">
        <v>0.14000000000000001</v>
      </c>
      <c r="F144" s="20">
        <v>0.1</v>
      </c>
      <c r="G144" s="20">
        <v>-7.0000000000000007E-2</v>
      </c>
      <c r="H144" s="59">
        <f>G144*1.04</f>
        <v>-7.2800000000000004E-2</v>
      </c>
      <c r="I144" s="59">
        <f t="shared" si="148"/>
        <v>-7.2800000000000004E-2</v>
      </c>
      <c r="J144" s="59">
        <f t="shared" si="148"/>
        <v>-7.2800000000000004E-2</v>
      </c>
      <c r="K144" s="59">
        <f>J144*1.04</f>
        <v>-7.5712000000000002E-2</v>
      </c>
      <c r="L144" s="59">
        <f t="shared" si="149"/>
        <v>-7.5712000000000002E-2</v>
      </c>
      <c r="M144" s="59">
        <f t="shared" si="149"/>
        <v>-7.5712000000000002E-2</v>
      </c>
      <c r="N144" s="59">
        <f>M144*1.04</f>
        <v>-7.8740480000000002E-2</v>
      </c>
      <c r="O144" s="59">
        <f t="shared" si="150"/>
        <v>-7.8740480000000002E-2</v>
      </c>
      <c r="P144" s="59">
        <f t="shared" si="150"/>
        <v>-7.8740480000000002E-2</v>
      </c>
      <c r="Q144" s="59">
        <f>P144*1.04</f>
        <v>-8.1890099200000011E-2</v>
      </c>
    </row>
    <row r="145" spans="1:34" x14ac:dyDescent="0.15">
      <c r="B145" s="34" t="s">
        <v>314</v>
      </c>
      <c r="C145" s="20">
        <v>-30.43</v>
      </c>
      <c r="D145" s="20">
        <v>-0.05</v>
      </c>
      <c r="E145" s="20">
        <v>0</v>
      </c>
      <c r="F145" s="20">
        <v>0</v>
      </c>
      <c r="G145" s="20">
        <v>-8.61</v>
      </c>
      <c r="H145" s="59">
        <f>G145*1.04</f>
        <v>-8.9543999999999997</v>
      </c>
      <c r="I145" s="59">
        <f t="shared" si="148"/>
        <v>-8.9543999999999997</v>
      </c>
      <c r="J145" s="59">
        <f t="shared" si="148"/>
        <v>-8.9543999999999997</v>
      </c>
      <c r="K145" s="59">
        <f>J145*1.04</f>
        <v>-9.312576</v>
      </c>
      <c r="L145" s="59">
        <f t="shared" si="149"/>
        <v>-9.312576</v>
      </c>
      <c r="M145" s="59">
        <f t="shared" si="149"/>
        <v>-9.312576</v>
      </c>
      <c r="N145" s="59">
        <f>M145*1.04</f>
        <v>-9.6850790399999998</v>
      </c>
      <c r="O145" s="59">
        <f t="shared" si="150"/>
        <v>-9.6850790399999998</v>
      </c>
      <c r="P145" s="59">
        <f t="shared" si="150"/>
        <v>-9.6850790399999998</v>
      </c>
      <c r="Q145" s="59">
        <f>P145*1.04</f>
        <v>-10.0724822016</v>
      </c>
      <c r="W145" s="93"/>
      <c r="X145" s="93"/>
      <c r="Y145" s="93"/>
      <c r="Z145" s="93"/>
      <c r="AA145" s="93"/>
      <c r="AB145" s="93"/>
    </row>
    <row r="146" spans="1:34" s="4" customFormat="1" ht="15" thickBot="1" x14ac:dyDescent="0.2">
      <c r="B146" s="44" t="s">
        <v>70</v>
      </c>
      <c r="C146" s="60">
        <f t="shared" ref="C146:Q146" si="151">C141-SUM(C142:C145)</f>
        <v>2.6699999999999875</v>
      </c>
      <c r="D146" s="60">
        <f t="shared" si="151"/>
        <v>2.8399999999999874</v>
      </c>
      <c r="E146" s="60">
        <f t="shared" si="151"/>
        <v>0.72999999999998622</v>
      </c>
      <c r="F146" s="60">
        <f t="shared" si="151"/>
        <v>9.3099999999999845</v>
      </c>
      <c r="G146" s="60">
        <f t="shared" si="151"/>
        <v>9.8899999999999721</v>
      </c>
      <c r="H146" s="61">
        <f t="shared" si="151"/>
        <v>10.493199999999966</v>
      </c>
      <c r="I146" s="61">
        <f t="shared" si="151"/>
        <v>11.096399999999967</v>
      </c>
      <c r="J146" s="61">
        <f t="shared" si="151"/>
        <v>11.699599999999968</v>
      </c>
      <c r="K146" s="61">
        <f t="shared" si="151"/>
        <v>12.326927999999974</v>
      </c>
      <c r="L146" s="61">
        <f t="shared" si="151"/>
        <v>12.954255999999972</v>
      </c>
      <c r="M146" s="61">
        <f t="shared" si="151"/>
        <v>13.581583999999971</v>
      </c>
      <c r="N146" s="61">
        <f t="shared" si="151"/>
        <v>14.234005119999956</v>
      </c>
      <c r="O146" s="61">
        <f t="shared" si="151"/>
        <v>14.886426239999942</v>
      </c>
      <c r="P146" s="61">
        <f t="shared" si="151"/>
        <v>15.538847359999934</v>
      </c>
      <c r="Q146" s="61">
        <f t="shared" si="151"/>
        <v>16.217365324799928</v>
      </c>
      <c r="AD146" s="67"/>
      <c r="AE146" s="67"/>
      <c r="AF146" s="67"/>
    </row>
    <row r="147" spans="1:34" ht="15" thickTop="1" x14ac:dyDescent="0.15">
      <c r="B147" s="34"/>
      <c r="C147" s="63"/>
      <c r="D147" s="63"/>
      <c r="E147" s="63"/>
      <c r="F147" s="63"/>
      <c r="G147" s="63"/>
      <c r="H147" s="59"/>
      <c r="I147" s="59"/>
      <c r="J147" s="59"/>
      <c r="K147" s="59"/>
      <c r="L147" s="59"/>
      <c r="M147" s="59"/>
      <c r="N147" s="59"/>
      <c r="O147" s="59"/>
      <c r="P147" s="59"/>
      <c r="Q147" s="59"/>
    </row>
    <row r="148" spans="1:34" s="4" customFormat="1" x14ac:dyDescent="0.15">
      <c r="A148" s="2"/>
      <c r="B148" s="44" t="s">
        <v>315</v>
      </c>
      <c r="H148" s="192"/>
      <c r="I148" s="39"/>
      <c r="J148" s="39"/>
      <c r="K148" s="39"/>
      <c r="L148" s="39"/>
      <c r="M148" s="39"/>
      <c r="N148" s="39"/>
      <c r="O148" s="39"/>
      <c r="P148" s="39"/>
      <c r="Q148" s="39"/>
    </row>
    <row r="149" spans="1:34" s="4" customFormat="1" x14ac:dyDescent="0.15">
      <c r="A149" s="2"/>
      <c r="B149" s="44" t="s">
        <v>65</v>
      </c>
      <c r="C149" s="57">
        <v>16.149999999999999</v>
      </c>
      <c r="D149" s="57">
        <f t="shared" ref="D149:G149" si="152">C152</f>
        <v>15.759999999999998</v>
      </c>
      <c r="E149" s="57">
        <f t="shared" si="152"/>
        <v>16.099999999999998</v>
      </c>
      <c r="F149" s="57">
        <f t="shared" si="152"/>
        <v>44.019999999999996</v>
      </c>
      <c r="G149" s="57">
        <f t="shared" si="152"/>
        <v>50.459999999999994</v>
      </c>
      <c r="H149" s="58">
        <f t="shared" ref="H149:Q149" si="153">G152</f>
        <v>51.36999999999999</v>
      </c>
      <c r="I149" s="58">
        <f t="shared" si="153"/>
        <v>52.316399999999987</v>
      </c>
      <c r="J149" s="58">
        <f t="shared" si="153"/>
        <v>53.262799999999984</v>
      </c>
      <c r="K149" s="58">
        <f t="shared" si="153"/>
        <v>54.209199999999981</v>
      </c>
      <c r="L149" s="58">
        <f t="shared" si="153"/>
        <v>55.193455999999983</v>
      </c>
      <c r="M149" s="58">
        <f t="shared" si="153"/>
        <v>56.177711999999985</v>
      </c>
      <c r="N149" s="58">
        <f t="shared" si="153"/>
        <v>57.161967999999987</v>
      </c>
      <c r="O149" s="58">
        <f t="shared" si="153"/>
        <v>58.185594239999986</v>
      </c>
      <c r="P149" s="58">
        <f t="shared" si="153"/>
        <v>59.209220479999985</v>
      </c>
      <c r="Q149" s="58">
        <f t="shared" si="153"/>
        <v>60.232846719999984</v>
      </c>
    </row>
    <row r="150" spans="1:34" s="4" customFormat="1" x14ac:dyDescent="0.15">
      <c r="A150" s="2"/>
      <c r="B150" s="34" t="s">
        <v>313</v>
      </c>
      <c r="C150" s="20">
        <v>0</v>
      </c>
      <c r="D150" s="20">
        <v>0</v>
      </c>
      <c r="E150" s="20">
        <v>26.23</v>
      </c>
      <c r="F150" s="20">
        <v>5.8</v>
      </c>
      <c r="G150" s="20">
        <v>0</v>
      </c>
      <c r="H150" s="59">
        <f>G150*1.04</f>
        <v>0</v>
      </c>
      <c r="I150" s="59">
        <f>H150</f>
        <v>0</v>
      </c>
      <c r="J150" s="59">
        <f>I150</f>
        <v>0</v>
      </c>
      <c r="K150" s="59">
        <f>J150*1.04</f>
        <v>0</v>
      </c>
      <c r="L150" s="59">
        <f>K150</f>
        <v>0</v>
      </c>
      <c r="M150" s="59">
        <f>L150</f>
        <v>0</v>
      </c>
      <c r="N150" s="59">
        <f>M150*1.04</f>
        <v>0</v>
      </c>
      <c r="O150" s="59">
        <f>N150</f>
        <v>0</v>
      </c>
      <c r="P150" s="59">
        <f>O150</f>
        <v>0</v>
      </c>
      <c r="Q150" s="59">
        <f>P150*1.04</f>
        <v>0</v>
      </c>
    </row>
    <row r="151" spans="1:34" s="4" customFormat="1" x14ac:dyDescent="0.15">
      <c r="A151" s="2"/>
      <c r="B151" s="34" t="s">
        <v>263</v>
      </c>
      <c r="C151" s="20">
        <v>-0.39</v>
      </c>
      <c r="D151" s="20">
        <v>0.34</v>
      </c>
      <c r="E151" s="20">
        <v>1.69</v>
      </c>
      <c r="F151" s="20">
        <v>0.64</v>
      </c>
      <c r="G151" s="20">
        <v>0.91</v>
      </c>
      <c r="H151" s="59">
        <f>G151*1.04</f>
        <v>0.94640000000000002</v>
      </c>
      <c r="I151" s="59">
        <f>H151</f>
        <v>0.94640000000000002</v>
      </c>
      <c r="J151" s="59">
        <f>I151</f>
        <v>0.94640000000000002</v>
      </c>
      <c r="K151" s="59">
        <f>J151*1.04</f>
        <v>0.98425600000000002</v>
      </c>
      <c r="L151" s="59">
        <f>K151</f>
        <v>0.98425600000000002</v>
      </c>
      <c r="M151" s="59">
        <f>L151</f>
        <v>0.98425600000000002</v>
      </c>
      <c r="N151" s="59">
        <f>M151*1.04</f>
        <v>1.02362624</v>
      </c>
      <c r="O151" s="59">
        <f>N151</f>
        <v>1.02362624</v>
      </c>
      <c r="P151" s="59">
        <f>O151</f>
        <v>1.02362624</v>
      </c>
      <c r="Q151" s="59">
        <f>P151*1.04</f>
        <v>1.0645712896000001</v>
      </c>
    </row>
    <row r="152" spans="1:34" s="4" customFormat="1" x14ac:dyDescent="0.15">
      <c r="B152" s="44" t="s">
        <v>67</v>
      </c>
      <c r="C152" s="62">
        <f t="shared" ref="C152:G152" si="154">SUM(C149:C151)</f>
        <v>15.759999999999998</v>
      </c>
      <c r="D152" s="62">
        <f t="shared" si="154"/>
        <v>16.099999999999998</v>
      </c>
      <c r="E152" s="62">
        <f t="shared" si="154"/>
        <v>44.019999999999996</v>
      </c>
      <c r="F152" s="62">
        <f t="shared" si="154"/>
        <v>50.459999999999994</v>
      </c>
      <c r="G152" s="62">
        <f t="shared" si="154"/>
        <v>51.36999999999999</v>
      </c>
      <c r="H152" s="58">
        <f t="shared" ref="H152:Q152" si="155">SUM(H149:H151)</f>
        <v>52.316399999999987</v>
      </c>
      <c r="I152" s="58">
        <f t="shared" si="155"/>
        <v>53.262799999999984</v>
      </c>
      <c r="J152" s="58">
        <f t="shared" si="155"/>
        <v>54.209199999999981</v>
      </c>
      <c r="K152" s="58">
        <f t="shared" si="155"/>
        <v>55.193455999999983</v>
      </c>
      <c r="L152" s="58">
        <f t="shared" si="155"/>
        <v>56.177711999999985</v>
      </c>
      <c r="M152" s="58">
        <f t="shared" si="155"/>
        <v>57.161967999999987</v>
      </c>
      <c r="N152" s="58">
        <f t="shared" si="155"/>
        <v>58.185594239999986</v>
      </c>
      <c r="O152" s="58">
        <f t="shared" si="155"/>
        <v>59.209220479999985</v>
      </c>
      <c r="P152" s="58">
        <f t="shared" si="155"/>
        <v>60.232846719999984</v>
      </c>
      <c r="Q152" s="58">
        <f t="shared" si="155"/>
        <v>61.297418009599987</v>
      </c>
    </row>
    <row r="153" spans="1:34" x14ac:dyDescent="0.15">
      <c r="B153" s="34" t="s">
        <v>68</v>
      </c>
      <c r="C153" s="20">
        <v>7.26</v>
      </c>
      <c r="D153" s="20">
        <f t="shared" ref="D153:G153" si="156">SUM(C153:C155)</f>
        <v>13.719999999999999</v>
      </c>
      <c r="E153" s="20">
        <f t="shared" si="156"/>
        <v>15.129999999999999</v>
      </c>
      <c r="F153" s="20">
        <f t="shared" si="156"/>
        <v>29.82</v>
      </c>
      <c r="G153" s="20">
        <f t="shared" si="156"/>
        <v>46.55</v>
      </c>
      <c r="H153" s="59">
        <f t="shared" ref="H153:Q153" si="157">SUM(G153:G155)</f>
        <v>50.379999999999995</v>
      </c>
      <c r="I153" s="59">
        <f t="shared" si="157"/>
        <v>54.363199999999999</v>
      </c>
      <c r="J153" s="59">
        <f t="shared" si="157"/>
        <v>58.346400000000003</v>
      </c>
      <c r="K153" s="59">
        <f t="shared" si="157"/>
        <v>62.329600000000006</v>
      </c>
      <c r="L153" s="59">
        <f t="shared" si="157"/>
        <v>66.472127999999998</v>
      </c>
      <c r="M153" s="59">
        <f t="shared" si="157"/>
        <v>70.614655999999997</v>
      </c>
      <c r="N153" s="59">
        <f t="shared" si="157"/>
        <v>74.757183999999995</v>
      </c>
      <c r="O153" s="59">
        <f t="shared" si="157"/>
        <v>79.065413119999988</v>
      </c>
      <c r="P153" s="59">
        <f t="shared" si="157"/>
        <v>83.373642239999981</v>
      </c>
      <c r="Q153" s="59">
        <f t="shared" si="157"/>
        <v>87.681871359999974</v>
      </c>
      <c r="W153" s="93"/>
      <c r="X153" s="93"/>
      <c r="Y153" s="93"/>
      <c r="Z153" s="93"/>
      <c r="AA153" s="93"/>
      <c r="AB153" s="67"/>
      <c r="AD153" s="67"/>
      <c r="AE153" s="67"/>
      <c r="AF153" s="67"/>
      <c r="AG153" s="41"/>
      <c r="AH153" s="41"/>
    </row>
    <row r="154" spans="1:34" x14ac:dyDescent="0.15">
      <c r="B154" s="34" t="s">
        <v>69</v>
      </c>
      <c r="C154" s="20">
        <v>6.71</v>
      </c>
      <c r="D154" s="20">
        <v>1.1000000000000001</v>
      </c>
      <c r="E154" s="20">
        <v>13.64</v>
      </c>
      <c r="F154" s="20">
        <v>16.260000000000002</v>
      </c>
      <c r="G154" s="20">
        <v>2.98</v>
      </c>
      <c r="H154" s="59">
        <f>G154*1.04</f>
        <v>3.0992000000000002</v>
      </c>
      <c r="I154" s="59">
        <f>H154</f>
        <v>3.0992000000000002</v>
      </c>
      <c r="J154" s="59">
        <f>I154</f>
        <v>3.0992000000000002</v>
      </c>
      <c r="K154" s="59">
        <f>J154*1.04</f>
        <v>3.2231680000000003</v>
      </c>
      <c r="L154" s="59">
        <f>K154</f>
        <v>3.2231680000000003</v>
      </c>
      <c r="M154" s="59">
        <f>L154</f>
        <v>3.2231680000000003</v>
      </c>
      <c r="N154" s="59">
        <f>M154*1.04</f>
        <v>3.3520947200000002</v>
      </c>
      <c r="O154" s="59">
        <f>N154</f>
        <v>3.3520947200000002</v>
      </c>
      <c r="P154" s="59">
        <f>O154</f>
        <v>3.3520947200000002</v>
      </c>
      <c r="Q154" s="59">
        <f>P154*1.04</f>
        <v>3.4861785088000001</v>
      </c>
      <c r="W154" s="93"/>
      <c r="X154" s="93"/>
      <c r="Y154" s="93"/>
      <c r="Z154" s="93"/>
      <c r="AA154" s="93"/>
      <c r="AB154" s="67"/>
      <c r="AD154" s="67"/>
      <c r="AE154" s="67"/>
      <c r="AF154" s="67"/>
      <c r="AG154" s="41"/>
      <c r="AH154" s="41"/>
    </row>
    <row r="155" spans="1:34" x14ac:dyDescent="0.15">
      <c r="B155" s="34" t="s">
        <v>263</v>
      </c>
      <c r="C155" s="20">
        <v>-0.25</v>
      </c>
      <c r="D155" s="20">
        <v>0.31</v>
      </c>
      <c r="E155" s="20">
        <v>1.05</v>
      </c>
      <c r="F155" s="20">
        <v>0.47</v>
      </c>
      <c r="G155" s="20">
        <v>0.85</v>
      </c>
      <c r="H155" s="59">
        <f>G155*1.04</f>
        <v>0.88400000000000001</v>
      </c>
      <c r="I155" s="59">
        <f>H155</f>
        <v>0.88400000000000001</v>
      </c>
      <c r="J155" s="59">
        <f>I155</f>
        <v>0.88400000000000001</v>
      </c>
      <c r="K155" s="59">
        <f>J155*1.04</f>
        <v>0.91936000000000007</v>
      </c>
      <c r="L155" s="59">
        <f>K155</f>
        <v>0.91936000000000007</v>
      </c>
      <c r="M155" s="59">
        <f>L155</f>
        <v>0.91936000000000007</v>
      </c>
      <c r="N155" s="59">
        <f>M155*1.04</f>
        <v>0.95613440000000005</v>
      </c>
      <c r="O155" s="59">
        <f>N155</f>
        <v>0.95613440000000005</v>
      </c>
      <c r="P155" s="59">
        <f>O155</f>
        <v>0.95613440000000005</v>
      </c>
      <c r="Q155" s="59">
        <f>P155*1.04</f>
        <v>0.99437977600000005</v>
      </c>
    </row>
    <row r="156" spans="1:34" s="4" customFormat="1" ht="15" thickBot="1" x14ac:dyDescent="0.2">
      <c r="A156" s="2"/>
      <c r="B156" s="44" t="s">
        <v>70</v>
      </c>
      <c r="C156" s="60">
        <f t="shared" ref="C156:G156" si="158">C152-SUM(C153:C155)</f>
        <v>2.0399999999999991</v>
      </c>
      <c r="D156" s="60">
        <f t="shared" si="158"/>
        <v>0.96999999999999886</v>
      </c>
      <c r="E156" s="60">
        <f t="shared" si="158"/>
        <v>14.199999999999996</v>
      </c>
      <c r="F156" s="60">
        <f t="shared" si="158"/>
        <v>3.9099999999999966</v>
      </c>
      <c r="G156" s="60">
        <f t="shared" si="158"/>
        <v>0.98999999999999488</v>
      </c>
      <c r="H156" s="61">
        <f t="shared" ref="H156:Q156" si="159">H152-SUM(H153:H155)</f>
        <v>-2.0468000000000117</v>
      </c>
      <c r="I156" s="61">
        <f t="shared" si="159"/>
        <v>-5.0836000000000183</v>
      </c>
      <c r="J156" s="61">
        <f t="shared" si="159"/>
        <v>-8.1204000000000249</v>
      </c>
      <c r="K156" s="61">
        <f t="shared" si="159"/>
        <v>-11.278672000000014</v>
      </c>
      <c r="L156" s="61">
        <f t="shared" si="159"/>
        <v>-14.436944000000011</v>
      </c>
      <c r="M156" s="61">
        <f t="shared" si="159"/>
        <v>-17.595216000000008</v>
      </c>
      <c r="N156" s="61">
        <f t="shared" si="159"/>
        <v>-20.879818880000002</v>
      </c>
      <c r="O156" s="61">
        <f t="shared" si="159"/>
        <v>-24.164421759999996</v>
      </c>
      <c r="P156" s="61">
        <f t="shared" si="159"/>
        <v>-27.44902463999999</v>
      </c>
      <c r="Q156" s="61">
        <f t="shared" si="159"/>
        <v>-30.865011635199984</v>
      </c>
      <c r="AD156" s="67"/>
      <c r="AE156" s="67"/>
      <c r="AF156" s="67"/>
    </row>
    <row r="157" spans="1:34" ht="15" thickTop="1" x14ac:dyDescent="0.15">
      <c r="B157" s="34"/>
      <c r="G157" s="63"/>
      <c r="H157" s="59"/>
      <c r="I157" s="59"/>
      <c r="J157" s="59"/>
      <c r="K157" s="59"/>
      <c r="L157" s="59"/>
      <c r="M157" s="59"/>
      <c r="N157" s="59"/>
      <c r="O157" s="59"/>
      <c r="P157" s="59"/>
      <c r="Q157" s="59"/>
    </row>
    <row r="158" spans="1:34" s="4" customFormat="1" x14ac:dyDescent="0.15">
      <c r="B158" s="44" t="s">
        <v>316</v>
      </c>
      <c r="C158" s="62"/>
      <c r="D158" s="62"/>
      <c r="E158" s="62"/>
      <c r="F158" s="62"/>
      <c r="H158" s="177"/>
      <c r="I158" s="58"/>
      <c r="J158" s="58"/>
      <c r="K158" s="58"/>
      <c r="L158" s="58"/>
      <c r="M158" s="58"/>
      <c r="N158" s="58"/>
      <c r="O158" s="58"/>
      <c r="P158" s="58"/>
      <c r="Q158" s="58"/>
    </row>
    <row r="159" spans="1:34" s="4" customFormat="1" x14ac:dyDescent="0.15">
      <c r="B159" s="44" t="s">
        <v>65</v>
      </c>
      <c r="C159" s="57">
        <v>100.14999999999999</v>
      </c>
      <c r="D159" s="57">
        <f t="shared" ref="D159:G159" si="160">C162</f>
        <v>98.649999999999991</v>
      </c>
      <c r="E159" s="57">
        <f t="shared" si="160"/>
        <v>100.27</v>
      </c>
      <c r="F159" s="57">
        <f t="shared" si="160"/>
        <v>191.68999999999997</v>
      </c>
      <c r="G159" s="57">
        <f t="shared" si="160"/>
        <v>228.28999999999996</v>
      </c>
      <c r="H159" s="58">
        <f t="shared" ref="H159:Q159" si="161">G162</f>
        <v>232.78999999999996</v>
      </c>
      <c r="I159" s="58">
        <f t="shared" si="161"/>
        <v>237.46999999999997</v>
      </c>
      <c r="J159" s="58">
        <f t="shared" si="161"/>
        <v>242.14999999999998</v>
      </c>
      <c r="K159" s="58">
        <f t="shared" si="161"/>
        <v>246.82999999999998</v>
      </c>
      <c r="L159" s="58">
        <f t="shared" si="161"/>
        <v>251.69719999999998</v>
      </c>
      <c r="M159" s="58">
        <f t="shared" si="161"/>
        <v>256.56439999999998</v>
      </c>
      <c r="N159" s="58">
        <f t="shared" si="161"/>
        <v>261.4316</v>
      </c>
      <c r="O159" s="58">
        <f t="shared" si="161"/>
        <v>266.49348800000001</v>
      </c>
      <c r="P159" s="58">
        <f t="shared" si="161"/>
        <v>271.55537600000002</v>
      </c>
      <c r="Q159" s="58">
        <f t="shared" si="161"/>
        <v>276.61726400000003</v>
      </c>
    </row>
    <row r="160" spans="1:34" x14ac:dyDescent="0.15">
      <c r="B160" s="34" t="s">
        <v>313</v>
      </c>
      <c r="C160" s="20">
        <v>0</v>
      </c>
      <c r="D160" s="20">
        <v>0</v>
      </c>
      <c r="E160" s="20">
        <v>84.25</v>
      </c>
      <c r="F160" s="20">
        <v>33.97</v>
      </c>
      <c r="G160" s="20">
        <v>0</v>
      </c>
      <c r="H160" s="59">
        <f>G160*1.04</f>
        <v>0</v>
      </c>
      <c r="I160" s="59">
        <f>H160</f>
        <v>0</v>
      </c>
      <c r="J160" s="59">
        <f>I160</f>
        <v>0</v>
      </c>
      <c r="K160" s="59">
        <f>J160*1.04</f>
        <v>0</v>
      </c>
      <c r="L160" s="59">
        <f>K160</f>
        <v>0</v>
      </c>
      <c r="M160" s="59">
        <f>L160</f>
        <v>0</v>
      </c>
      <c r="N160" s="59">
        <f>M160*1.04</f>
        <v>0</v>
      </c>
      <c r="O160" s="59">
        <f>N160</f>
        <v>0</v>
      </c>
      <c r="P160" s="59">
        <f>O160</f>
        <v>0</v>
      </c>
      <c r="Q160" s="59">
        <f>P160*1.04</f>
        <v>0</v>
      </c>
      <c r="W160" s="93"/>
      <c r="X160" s="93"/>
      <c r="Y160" s="93"/>
      <c r="Z160" s="93"/>
      <c r="AA160" s="93"/>
      <c r="AB160" s="67"/>
      <c r="AD160" s="67"/>
      <c r="AE160" s="67"/>
      <c r="AF160" s="67"/>
      <c r="AG160" s="41"/>
      <c r="AH160" s="41"/>
    </row>
    <row r="161" spans="2:28" x14ac:dyDescent="0.15">
      <c r="B161" s="34" t="s">
        <v>263</v>
      </c>
      <c r="C161" s="20">
        <v>-1.5</v>
      </c>
      <c r="D161" s="20">
        <v>1.62</v>
      </c>
      <c r="E161" s="20">
        <v>7.17</v>
      </c>
      <c r="F161" s="20">
        <v>2.63</v>
      </c>
      <c r="G161" s="20">
        <v>4.5</v>
      </c>
      <c r="H161" s="59">
        <f>G161*1.04</f>
        <v>4.68</v>
      </c>
      <c r="I161" s="59">
        <f>H161</f>
        <v>4.68</v>
      </c>
      <c r="J161" s="59">
        <f>I161</f>
        <v>4.68</v>
      </c>
      <c r="K161" s="59">
        <f>J161*1.04</f>
        <v>4.8671999999999995</v>
      </c>
      <c r="L161" s="59">
        <f>K161</f>
        <v>4.8671999999999995</v>
      </c>
      <c r="M161" s="59">
        <f>L161</f>
        <v>4.8671999999999995</v>
      </c>
      <c r="N161" s="59">
        <f>M161*1.04</f>
        <v>5.0618879999999997</v>
      </c>
      <c r="O161" s="59">
        <f>N161</f>
        <v>5.0618879999999997</v>
      </c>
      <c r="P161" s="59">
        <f>O161</f>
        <v>5.0618879999999997</v>
      </c>
      <c r="Q161" s="59">
        <f>P161*1.04</f>
        <v>5.2643635199999999</v>
      </c>
      <c r="W161" s="4"/>
      <c r="X161" s="4"/>
      <c r="Y161" s="4"/>
      <c r="Z161" s="4"/>
      <c r="AA161" s="4"/>
      <c r="AB161" s="4"/>
    </row>
    <row r="162" spans="2:28" s="4" customFormat="1" x14ac:dyDescent="0.15">
      <c r="B162" s="44" t="s">
        <v>67</v>
      </c>
      <c r="C162" s="62">
        <f t="shared" ref="C162:G162" si="162">SUM(C159:C161)</f>
        <v>98.649999999999991</v>
      </c>
      <c r="D162" s="62">
        <f t="shared" si="162"/>
        <v>100.27</v>
      </c>
      <c r="E162" s="62">
        <f t="shared" si="162"/>
        <v>191.68999999999997</v>
      </c>
      <c r="F162" s="62">
        <f t="shared" si="162"/>
        <v>228.28999999999996</v>
      </c>
      <c r="G162" s="62">
        <f t="shared" si="162"/>
        <v>232.78999999999996</v>
      </c>
      <c r="H162" s="58">
        <f t="shared" ref="H162:Q162" si="163">SUM(H159:H161)</f>
        <v>237.46999999999997</v>
      </c>
      <c r="I162" s="58">
        <f t="shared" si="163"/>
        <v>242.14999999999998</v>
      </c>
      <c r="J162" s="58">
        <f t="shared" si="163"/>
        <v>246.82999999999998</v>
      </c>
      <c r="K162" s="58">
        <f t="shared" si="163"/>
        <v>251.69719999999998</v>
      </c>
      <c r="L162" s="58">
        <f t="shared" si="163"/>
        <v>256.56439999999998</v>
      </c>
      <c r="M162" s="58">
        <f t="shared" si="163"/>
        <v>261.4316</v>
      </c>
      <c r="N162" s="58">
        <f t="shared" si="163"/>
        <v>266.49348800000001</v>
      </c>
      <c r="O162" s="58">
        <f t="shared" si="163"/>
        <v>271.55537600000002</v>
      </c>
      <c r="P162" s="58">
        <f t="shared" si="163"/>
        <v>276.61726400000003</v>
      </c>
      <c r="Q162" s="58">
        <f t="shared" si="163"/>
        <v>281.88162752000005</v>
      </c>
    </row>
    <row r="163" spans="2:28" x14ac:dyDescent="0.15">
      <c r="B163" s="34" t="s">
        <v>68</v>
      </c>
      <c r="C163" s="20">
        <v>8.2800000000000011</v>
      </c>
      <c r="D163" s="20">
        <f t="shared" ref="D163:G163" si="164">SUM(C163:C166)</f>
        <v>20.23</v>
      </c>
      <c r="E163" s="20">
        <f t="shared" si="164"/>
        <v>33.04</v>
      </c>
      <c r="F163" s="20">
        <f t="shared" si="164"/>
        <v>52.85</v>
      </c>
      <c r="G163" s="20">
        <f t="shared" si="164"/>
        <v>86.960000000000008</v>
      </c>
      <c r="H163" s="59">
        <f t="shared" ref="H163:Q163" si="165">SUM(G163:G166)</f>
        <v>133.05000000000001</v>
      </c>
      <c r="I163" s="59">
        <f t="shared" si="165"/>
        <v>148.9308</v>
      </c>
      <c r="J163" s="59">
        <f t="shared" si="165"/>
        <v>164.8116</v>
      </c>
      <c r="K163" s="59">
        <f t="shared" si="165"/>
        <v>180.69239999999999</v>
      </c>
      <c r="L163" s="59">
        <f t="shared" si="165"/>
        <v>197.20843200000002</v>
      </c>
      <c r="M163" s="59">
        <f t="shared" si="165"/>
        <v>213.72446400000004</v>
      </c>
      <c r="N163" s="59">
        <f t="shared" si="165"/>
        <v>230.24049600000006</v>
      </c>
      <c r="O163" s="59">
        <f t="shared" si="165"/>
        <v>247.41716928000005</v>
      </c>
      <c r="P163" s="59">
        <f t="shared" si="165"/>
        <v>264.5938425600001</v>
      </c>
      <c r="Q163" s="59">
        <f t="shared" si="165"/>
        <v>281.77051584000014</v>
      </c>
      <c r="W163" s="4"/>
      <c r="X163" s="4"/>
      <c r="Y163" s="4"/>
      <c r="Z163" s="4"/>
      <c r="AA163" s="4"/>
      <c r="AB163" s="4"/>
    </row>
    <row r="164" spans="2:28" x14ac:dyDescent="0.15">
      <c r="B164" s="34" t="s">
        <v>326</v>
      </c>
      <c r="C164" s="20">
        <v>0</v>
      </c>
      <c r="D164" s="20">
        <v>0</v>
      </c>
      <c r="E164" s="20">
        <v>0</v>
      </c>
      <c r="F164" s="20">
        <v>0</v>
      </c>
      <c r="G164" s="20">
        <v>30.82</v>
      </c>
      <c r="H164" s="59">
        <v>0</v>
      </c>
      <c r="I164" s="59">
        <v>0</v>
      </c>
      <c r="J164" s="59">
        <v>0</v>
      </c>
      <c r="K164" s="59">
        <v>0</v>
      </c>
      <c r="L164" s="59">
        <v>0</v>
      </c>
      <c r="M164" s="59">
        <v>0</v>
      </c>
      <c r="N164" s="59">
        <v>0</v>
      </c>
      <c r="O164" s="59">
        <v>0</v>
      </c>
      <c r="P164" s="59">
        <v>0</v>
      </c>
      <c r="Q164" s="59">
        <v>0</v>
      </c>
      <c r="W164" s="4"/>
      <c r="X164" s="4"/>
      <c r="Y164" s="4"/>
      <c r="Z164" s="4"/>
      <c r="AA164" s="4"/>
      <c r="AB164" s="4"/>
    </row>
    <row r="165" spans="2:28" x14ac:dyDescent="0.15">
      <c r="B165" s="34" t="s">
        <v>69</v>
      </c>
      <c r="C165" s="20">
        <v>12.26</v>
      </c>
      <c r="D165" s="20">
        <v>12.27</v>
      </c>
      <c r="E165" s="20">
        <v>18.05</v>
      </c>
      <c r="F165" s="20">
        <v>33.43</v>
      </c>
      <c r="G165" s="20">
        <v>13.44</v>
      </c>
      <c r="H165" s="59">
        <f>G165*1.04</f>
        <v>13.977600000000001</v>
      </c>
      <c r="I165" s="59">
        <f>H165</f>
        <v>13.977600000000001</v>
      </c>
      <c r="J165" s="59">
        <f>I165</f>
        <v>13.977600000000001</v>
      </c>
      <c r="K165" s="59">
        <f>J165*1.04</f>
        <v>14.536704000000002</v>
      </c>
      <c r="L165" s="59">
        <f>K165</f>
        <v>14.536704000000002</v>
      </c>
      <c r="M165" s="59">
        <f>L165</f>
        <v>14.536704000000002</v>
      </c>
      <c r="N165" s="59">
        <f>M165*1.04</f>
        <v>15.118172160000002</v>
      </c>
      <c r="O165" s="59">
        <f>N165</f>
        <v>15.118172160000002</v>
      </c>
      <c r="P165" s="59">
        <f>O165</f>
        <v>15.118172160000002</v>
      </c>
      <c r="Q165" s="59">
        <f>P165*1.04</f>
        <v>15.722899046400002</v>
      </c>
      <c r="W165" s="4"/>
      <c r="X165" s="4"/>
      <c r="Y165" s="4"/>
      <c r="Z165" s="4"/>
      <c r="AA165" s="4"/>
      <c r="AB165" s="4"/>
    </row>
    <row r="166" spans="2:28" x14ac:dyDescent="0.15">
      <c r="B166" s="34" t="s">
        <v>263</v>
      </c>
      <c r="C166" s="20">
        <v>-0.31</v>
      </c>
      <c r="D166" s="20">
        <v>0.54</v>
      </c>
      <c r="E166" s="20">
        <v>1.76</v>
      </c>
      <c r="F166" s="20">
        <v>0.68</v>
      </c>
      <c r="G166" s="20">
        <v>1.83</v>
      </c>
      <c r="H166" s="59">
        <f>G166*1.04</f>
        <v>1.9032000000000002</v>
      </c>
      <c r="I166" s="59">
        <f>H166</f>
        <v>1.9032000000000002</v>
      </c>
      <c r="J166" s="59">
        <f>I166</f>
        <v>1.9032000000000002</v>
      </c>
      <c r="K166" s="59">
        <f>J166*1.04</f>
        <v>1.9793280000000002</v>
      </c>
      <c r="L166" s="59">
        <f>K166</f>
        <v>1.9793280000000002</v>
      </c>
      <c r="M166" s="59">
        <f>L166</f>
        <v>1.9793280000000002</v>
      </c>
      <c r="N166" s="59">
        <f>M166*1.04</f>
        <v>2.0585011200000003</v>
      </c>
      <c r="O166" s="59">
        <f>N166</f>
        <v>2.0585011200000003</v>
      </c>
      <c r="P166" s="59">
        <f>O166</f>
        <v>2.0585011200000003</v>
      </c>
      <c r="Q166" s="59">
        <f>P166*1.04</f>
        <v>2.1408411648000003</v>
      </c>
    </row>
    <row r="167" spans="2:28" s="4" customFormat="1" ht="15" thickBot="1" x14ac:dyDescent="0.2">
      <c r="B167" s="44" t="s">
        <v>70</v>
      </c>
      <c r="C167" s="60">
        <f t="shared" ref="C167:G167" si="166">C162-SUM(C163:C166)</f>
        <v>78.419999999999987</v>
      </c>
      <c r="D167" s="60">
        <f t="shared" si="166"/>
        <v>67.22999999999999</v>
      </c>
      <c r="E167" s="60">
        <f t="shared" si="166"/>
        <v>138.83999999999997</v>
      </c>
      <c r="F167" s="60">
        <f t="shared" si="166"/>
        <v>141.32999999999996</v>
      </c>
      <c r="G167" s="60">
        <f t="shared" si="166"/>
        <v>99.739999999999952</v>
      </c>
      <c r="H167" s="61">
        <f t="shared" ref="H167:Q167" si="167">H162-SUM(H163:H166)</f>
        <v>88.539199999999965</v>
      </c>
      <c r="I167" s="61">
        <f t="shared" si="167"/>
        <v>77.338399999999979</v>
      </c>
      <c r="J167" s="61">
        <f t="shared" si="167"/>
        <v>66.137599999999992</v>
      </c>
      <c r="K167" s="61">
        <f t="shared" si="167"/>
        <v>54.488767999999965</v>
      </c>
      <c r="L167" s="61">
        <f t="shared" si="167"/>
        <v>42.839935999999938</v>
      </c>
      <c r="M167" s="61">
        <f t="shared" si="167"/>
        <v>31.191103999999939</v>
      </c>
      <c r="N167" s="61">
        <f t="shared" si="167"/>
        <v>19.076318719999961</v>
      </c>
      <c r="O167" s="61">
        <f t="shared" si="167"/>
        <v>6.9615334399999256</v>
      </c>
      <c r="P167" s="61">
        <f t="shared" si="167"/>
        <v>-5.1532518400001095</v>
      </c>
      <c r="Q167" s="61">
        <f t="shared" si="167"/>
        <v>-17.752628531200116</v>
      </c>
    </row>
    <row r="168" spans="2:28" ht="15" thickTop="1" x14ac:dyDescent="0.15">
      <c r="B168" s="34"/>
      <c r="C168" s="63"/>
      <c r="D168" s="63"/>
      <c r="E168" s="63"/>
      <c r="F168" s="63"/>
      <c r="G168" s="63"/>
      <c r="H168" s="59"/>
      <c r="I168" s="59"/>
      <c r="J168" s="59"/>
      <c r="K168" s="59"/>
      <c r="L168" s="59"/>
      <c r="M168" s="59"/>
      <c r="N168" s="59"/>
      <c r="O168" s="59"/>
      <c r="P168" s="59"/>
      <c r="Q168" s="59"/>
    </row>
    <row r="169" spans="2:28" x14ac:dyDescent="0.15">
      <c r="B169" s="34"/>
      <c r="C169" s="63"/>
      <c r="D169" s="63"/>
      <c r="E169" s="63"/>
      <c r="F169" s="63"/>
      <c r="G169" s="63"/>
      <c r="H169" s="59"/>
      <c r="I169" s="59"/>
      <c r="J169" s="59"/>
      <c r="K169" s="59"/>
      <c r="L169" s="59"/>
      <c r="M169" s="59"/>
      <c r="N169" s="59"/>
      <c r="O169" s="59"/>
      <c r="P169" s="59"/>
      <c r="Q169" s="59"/>
    </row>
    <row r="170" spans="2:28" s="4" customFormat="1" ht="15" thickBot="1" x14ac:dyDescent="0.2">
      <c r="B170" s="44" t="s">
        <v>211</v>
      </c>
      <c r="C170" s="69">
        <f t="shared" ref="C170:Q170" si="168">+C167+C156+C146</f>
        <v>83.129999999999967</v>
      </c>
      <c r="D170" s="69">
        <f t="shared" si="168"/>
        <v>71.039999999999978</v>
      </c>
      <c r="E170" s="69">
        <f t="shared" si="168"/>
        <v>153.76999999999995</v>
      </c>
      <c r="F170" s="69">
        <f t="shared" si="168"/>
        <v>154.54999999999993</v>
      </c>
      <c r="G170" s="69">
        <f t="shared" si="168"/>
        <v>110.61999999999992</v>
      </c>
      <c r="H170" s="61">
        <f t="shared" si="168"/>
        <v>96.98559999999992</v>
      </c>
      <c r="I170" s="61">
        <f t="shared" si="168"/>
        <v>83.35119999999992</v>
      </c>
      <c r="J170" s="61">
        <f t="shared" si="168"/>
        <v>69.716799999999935</v>
      </c>
      <c r="K170" s="61">
        <f t="shared" si="168"/>
        <v>55.537023999999924</v>
      </c>
      <c r="L170" s="61">
        <f t="shared" si="168"/>
        <v>41.357247999999899</v>
      </c>
      <c r="M170" s="61">
        <f t="shared" si="168"/>
        <v>27.177471999999902</v>
      </c>
      <c r="N170" s="61">
        <f t="shared" si="168"/>
        <v>12.430504959999915</v>
      </c>
      <c r="O170" s="61">
        <f t="shared" si="168"/>
        <v>-2.3164620800001288</v>
      </c>
      <c r="P170" s="61">
        <f t="shared" si="168"/>
        <v>-17.063429120000166</v>
      </c>
      <c r="Q170" s="61">
        <f t="shared" si="168"/>
        <v>-32.400274841600172</v>
      </c>
    </row>
    <row r="171" spans="2:28" x14ac:dyDescent="0.15">
      <c r="B171" s="34"/>
      <c r="H171" s="166"/>
      <c r="I171" s="166"/>
      <c r="J171" s="166"/>
      <c r="K171" s="166"/>
      <c r="L171" s="166"/>
      <c r="M171" s="166"/>
      <c r="N171" s="166"/>
      <c r="O171" s="166"/>
      <c r="P171" s="166"/>
      <c r="Q171" s="166"/>
    </row>
    <row r="172" spans="2:28" s="4" customFormat="1" x14ac:dyDescent="0.15">
      <c r="B172" s="44" t="s">
        <v>242</v>
      </c>
      <c r="C172" s="43">
        <f t="shared" ref="C172:Q172" si="169">C170+C133+C116</f>
        <v>151.32</v>
      </c>
      <c r="D172" s="43">
        <f t="shared" si="169"/>
        <v>151.54999999999998</v>
      </c>
      <c r="E172" s="43">
        <f t="shared" si="169"/>
        <v>257.33999999999992</v>
      </c>
      <c r="F172" s="43">
        <f t="shared" si="169"/>
        <v>259.53999999999991</v>
      </c>
      <c r="G172" s="43">
        <f t="shared" si="169"/>
        <v>207.78999999999991</v>
      </c>
      <c r="H172" s="166">
        <f t="shared" si="169"/>
        <v>186.1595999999999</v>
      </c>
      <c r="I172" s="166">
        <f t="shared" si="169"/>
        <v>164.52919999999989</v>
      </c>
      <c r="J172" s="166">
        <f t="shared" si="169"/>
        <v>142.89879999999988</v>
      </c>
      <c r="K172" s="166">
        <f t="shared" si="169"/>
        <v>120.40478399999989</v>
      </c>
      <c r="L172" s="166">
        <f t="shared" si="169"/>
        <v>97.910767999999877</v>
      </c>
      <c r="M172" s="166">
        <f t="shared" si="169"/>
        <v>75.416751999999889</v>
      </c>
      <c r="N172" s="166">
        <f t="shared" si="169"/>
        <v>52.024575359999922</v>
      </c>
      <c r="O172" s="166">
        <f t="shared" si="169"/>
        <v>28.632398719999877</v>
      </c>
      <c r="P172" s="166">
        <f t="shared" si="169"/>
        <v>5.2402220799998673</v>
      </c>
      <c r="Q172" s="166">
        <f t="shared" si="169"/>
        <v>-19.086041625600124</v>
      </c>
    </row>
    <row r="173" spans="2:28" s="4" customFormat="1" x14ac:dyDescent="0.15">
      <c r="B173" s="44" t="s">
        <v>69</v>
      </c>
      <c r="C173" s="62">
        <f>'P&amp;L Input'!C24</f>
        <v>44.95</v>
      </c>
      <c r="D173" s="62">
        <f>'P&amp;L Input'!D24</f>
        <v>42.87</v>
      </c>
      <c r="E173" s="62">
        <f>'P&amp;L Input'!E24</f>
        <v>67.37</v>
      </c>
      <c r="F173" s="62">
        <f>'P&amp;L Input'!F24</f>
        <v>89.91</v>
      </c>
      <c r="G173" s="62">
        <f>'P&amp;L Input'!G24</f>
        <v>75.12</v>
      </c>
      <c r="H173" s="58">
        <f ca="1">SUMIF($B$11:$Q$170,$B$173,H11:H166)</f>
        <v>60.048000000000002</v>
      </c>
      <c r="I173" s="58">
        <f t="shared" ref="I173:Q173" ca="1" si="170">SUMIF($B$11:$Q$170,$B$173,I11:I168)</f>
        <v>60.048000000000002</v>
      </c>
      <c r="J173" s="58">
        <f t="shared" ca="1" si="170"/>
        <v>60.048000000000002</v>
      </c>
      <c r="K173" s="58">
        <f t="shared" ca="1" si="170"/>
        <v>62.448320000000002</v>
      </c>
      <c r="L173" s="58">
        <f t="shared" ca="1" si="170"/>
        <v>62.448320000000002</v>
      </c>
      <c r="M173" s="58">
        <f t="shared" ca="1" si="170"/>
        <v>62.448320000000002</v>
      </c>
      <c r="N173" s="58">
        <f t="shared" ca="1" si="170"/>
        <v>64.9446528</v>
      </c>
      <c r="O173" s="58">
        <f t="shared" ca="1" si="170"/>
        <v>64.9446528</v>
      </c>
      <c r="P173" s="58">
        <f t="shared" ca="1" si="170"/>
        <v>64.9446528</v>
      </c>
      <c r="Q173" s="58">
        <f t="shared" ca="1" si="170"/>
        <v>67.540838911999998</v>
      </c>
    </row>
    <row r="174" spans="2:28" s="5" customFormat="1" x14ac:dyDescent="0.15">
      <c r="B174" s="37" t="s">
        <v>244</v>
      </c>
      <c r="C174" s="16">
        <v>0</v>
      </c>
      <c r="D174" s="243">
        <f t="shared" ref="D174:Q174" si="171">D172+D173-C172</f>
        <v>43.099999999999994</v>
      </c>
      <c r="E174" s="243">
        <f t="shared" si="171"/>
        <v>173.15999999999994</v>
      </c>
      <c r="F174" s="243">
        <f t="shared" si="171"/>
        <v>92.110000000000014</v>
      </c>
      <c r="G174" s="175">
        <f t="shared" si="171"/>
        <v>23.370000000000005</v>
      </c>
      <c r="H174" s="211">
        <f t="shared" ca="1" si="171"/>
        <v>38.417599999999993</v>
      </c>
      <c r="I174" s="211">
        <f t="shared" ca="1" si="171"/>
        <v>38.417599999999993</v>
      </c>
      <c r="J174" s="211">
        <f t="shared" ca="1" si="171"/>
        <v>38.417599999999993</v>
      </c>
      <c r="K174" s="211">
        <f t="shared" ca="1" si="171"/>
        <v>39.954304000000008</v>
      </c>
      <c r="L174" s="211">
        <f t="shared" ca="1" si="171"/>
        <v>39.954303999999979</v>
      </c>
      <c r="M174" s="211">
        <f t="shared" ca="1" si="171"/>
        <v>39.954304000000008</v>
      </c>
      <c r="N174" s="211">
        <f t="shared" ca="1" si="171"/>
        <v>41.552476160000026</v>
      </c>
      <c r="O174" s="211">
        <f t="shared" ca="1" si="171"/>
        <v>41.552476159999962</v>
      </c>
      <c r="P174" s="211">
        <f t="shared" ca="1" si="171"/>
        <v>41.552476159999991</v>
      </c>
      <c r="Q174" s="211">
        <f t="shared" ca="1" si="171"/>
        <v>43.214575206400006</v>
      </c>
      <c r="R174" s="175"/>
    </row>
    <row r="175" spans="2:28" x14ac:dyDescent="0.15">
      <c r="B175" s="34"/>
      <c r="H175" s="31"/>
      <c r="I175" s="31"/>
      <c r="J175" s="31"/>
      <c r="K175" s="31"/>
      <c r="L175" s="31"/>
      <c r="M175" s="31"/>
      <c r="N175" s="31"/>
      <c r="O175" s="31"/>
      <c r="P175" s="31"/>
      <c r="Q175" s="219"/>
      <c r="R175" s="220"/>
    </row>
    <row r="176" spans="2:28" s="4" customFormat="1" x14ac:dyDescent="0.15">
      <c r="B176" s="44" t="s">
        <v>22</v>
      </c>
      <c r="C176" s="43">
        <f>'Balance Sheet'!D14</f>
        <v>11.43</v>
      </c>
      <c r="D176" s="43">
        <f>'Balance Sheet'!E14</f>
        <v>11.37</v>
      </c>
      <c r="E176" s="43">
        <f>'Balance Sheet'!F14</f>
        <v>29.58</v>
      </c>
      <c r="F176" s="43">
        <f>'Balance Sheet'!G14</f>
        <v>28.9</v>
      </c>
      <c r="G176" s="43">
        <f>'Balance Sheet'!H14</f>
        <v>24.55</v>
      </c>
      <c r="H176" s="212">
        <f>G176+H177</f>
        <v>27.173999999999999</v>
      </c>
      <c r="I176" s="212">
        <f t="shared" ref="I176:Q176" si="172">H176+I177</f>
        <v>29.811119999999999</v>
      </c>
      <c r="J176" s="212">
        <f t="shared" si="172"/>
        <v>32.461425599999998</v>
      </c>
      <c r="K176" s="212">
        <f t="shared" si="172"/>
        <v>35.124982727999999</v>
      </c>
      <c r="L176" s="212">
        <f t="shared" si="172"/>
        <v>37.801857641639998</v>
      </c>
      <c r="M176" s="212">
        <f t="shared" si="172"/>
        <v>40.492116929848194</v>
      </c>
      <c r="N176" s="212">
        <f t="shared" si="172"/>
        <v>43.195827514497431</v>
      </c>
      <c r="O176" s="212">
        <f t="shared" si="172"/>
        <v>45.913056652069919</v>
      </c>
      <c r="P176" s="212">
        <f t="shared" si="172"/>
        <v>48.643871935330267</v>
      </c>
      <c r="Q176" s="212">
        <f t="shared" si="172"/>
        <v>51.388341295006917</v>
      </c>
    </row>
    <row r="177" spans="2:17" s="5" customFormat="1" x14ac:dyDescent="0.15">
      <c r="B177" s="37" t="s">
        <v>243</v>
      </c>
      <c r="C177" s="16">
        <v>0</v>
      </c>
      <c r="D177" s="175">
        <f>D176-C176</f>
        <v>-6.0000000000000497E-2</v>
      </c>
      <c r="E177" s="175">
        <f t="shared" ref="E177:G177" si="173">E176-D176</f>
        <v>18.21</v>
      </c>
      <c r="F177" s="175">
        <f t="shared" si="173"/>
        <v>-0.67999999999999972</v>
      </c>
      <c r="G177" s="175">
        <f t="shared" si="173"/>
        <v>-4.3499999999999979</v>
      </c>
      <c r="H177" s="211">
        <f>AVERAGE(C177:G177)</f>
        <v>2.6240000000000001</v>
      </c>
      <c r="I177" s="211">
        <f t="shared" ref="I177:Q177" si="174">H177*1.005</f>
        <v>2.6371199999999999</v>
      </c>
      <c r="J177" s="211">
        <f t="shared" si="174"/>
        <v>2.6503055999999998</v>
      </c>
      <c r="K177" s="211">
        <f t="shared" si="174"/>
        <v>2.6635571279999994</v>
      </c>
      <c r="L177" s="211">
        <f t="shared" si="174"/>
        <v>2.676874913639999</v>
      </c>
      <c r="M177" s="211">
        <f t="shared" si="174"/>
        <v>2.6902592882081988</v>
      </c>
      <c r="N177" s="211">
        <f t="shared" si="174"/>
        <v>2.7037105846492397</v>
      </c>
      <c r="O177" s="211">
        <f t="shared" si="174"/>
        <v>2.7172291375724855</v>
      </c>
      <c r="P177" s="211">
        <f t="shared" si="174"/>
        <v>2.7308152832603478</v>
      </c>
      <c r="Q177" s="211">
        <f t="shared" si="174"/>
        <v>2.7444693596766494</v>
      </c>
    </row>
    <row r="178" spans="2:17" x14ac:dyDescent="0.15">
      <c r="B178" s="34"/>
      <c r="H178" s="30"/>
      <c r="I178" s="30"/>
      <c r="J178" s="30"/>
      <c r="K178" s="30"/>
      <c r="L178" s="30"/>
      <c r="M178" s="30"/>
      <c r="N178" s="30"/>
      <c r="O178" s="30"/>
      <c r="P178" s="30"/>
      <c r="Q178" s="218"/>
    </row>
    <row r="179" spans="2:17" x14ac:dyDescent="0.15">
      <c r="B179" s="34"/>
      <c r="H179" s="30"/>
      <c r="I179" s="30"/>
      <c r="J179" s="30"/>
      <c r="K179" s="30"/>
      <c r="L179" s="30"/>
      <c r="M179" s="30"/>
      <c r="N179" s="30"/>
      <c r="O179" s="30"/>
      <c r="P179" s="30"/>
      <c r="Q179" s="30"/>
    </row>
    <row r="180" spans="2:17" s="4" customFormat="1" ht="15" thickBot="1" x14ac:dyDescent="0.2">
      <c r="B180" s="44" t="s">
        <v>245</v>
      </c>
      <c r="C180" s="213">
        <v>0</v>
      </c>
      <c r="D180" s="46">
        <f>D174+D177</f>
        <v>43.039999999999992</v>
      </c>
      <c r="E180" s="46">
        <f t="shared" ref="E180:Q180" si="175">E174+E177</f>
        <v>191.36999999999995</v>
      </c>
      <c r="F180" s="46">
        <f t="shared" si="175"/>
        <v>91.43</v>
      </c>
      <c r="G180" s="46">
        <f t="shared" si="175"/>
        <v>19.020000000000007</v>
      </c>
      <c r="H180" s="48">
        <f ca="1">H174+H177</f>
        <v>41.041599999999995</v>
      </c>
      <c r="I180" s="48">
        <f t="shared" ca="1" si="175"/>
        <v>41.054719999999996</v>
      </c>
      <c r="J180" s="48">
        <f t="shared" ca="1" si="175"/>
        <v>41.067905599999996</v>
      </c>
      <c r="K180" s="48">
        <f t="shared" ca="1" si="175"/>
        <v>42.617861128000008</v>
      </c>
      <c r="L180" s="48">
        <f t="shared" ca="1" si="175"/>
        <v>42.631178913639978</v>
      </c>
      <c r="M180" s="48">
        <f t="shared" ca="1" si="175"/>
        <v>42.644563288208204</v>
      </c>
      <c r="N180" s="48">
        <f t="shared" ca="1" si="175"/>
        <v>44.256186744649263</v>
      </c>
      <c r="O180" s="48">
        <f t="shared" ca="1" si="175"/>
        <v>44.26970529757245</v>
      </c>
      <c r="P180" s="48">
        <f t="shared" ca="1" si="175"/>
        <v>44.283291443260339</v>
      </c>
      <c r="Q180" s="48">
        <f t="shared" ca="1" si="175"/>
        <v>45.959044566076656</v>
      </c>
    </row>
    <row r="181" spans="2:17" ht="15" thickTop="1" x14ac:dyDescent="0.15">
      <c r="H181" s="38"/>
      <c r="I181" s="164"/>
      <c r="J181" s="164"/>
      <c r="K181" s="164"/>
      <c r="L181" s="164"/>
      <c r="M181" s="164"/>
      <c r="N181" s="164"/>
      <c r="O181" s="164"/>
      <c r="P181" s="164"/>
      <c r="Q181" s="164"/>
    </row>
    <row r="182" spans="2:17" x14ac:dyDescent="0.15">
      <c r="C182" s="41"/>
      <c r="D182" s="41"/>
      <c r="E182" s="41"/>
      <c r="F182" s="41"/>
      <c r="G182" s="41"/>
      <c r="I182" s="41"/>
      <c r="L182" s="41"/>
      <c r="O182" s="41"/>
    </row>
    <row r="184" spans="2:17" x14ac:dyDescent="0.15">
      <c r="F184" s="41"/>
    </row>
  </sheetData>
  <mergeCells count="6">
    <mergeCell ref="B8:B9"/>
    <mergeCell ref="B135:Q135"/>
    <mergeCell ref="B10:Q10"/>
    <mergeCell ref="P6:Q6"/>
    <mergeCell ref="B7:Q7"/>
    <mergeCell ref="B118:Q118"/>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theme="9" tint="0.39997558519241921"/>
  </sheetPr>
  <dimension ref="B6:R61"/>
  <sheetViews>
    <sheetView showGridLines="0" zoomScaleNormal="100" workbookViewId="0">
      <selection activeCell="N6" sqref="N6"/>
    </sheetView>
  </sheetViews>
  <sheetFormatPr baseColWidth="10" defaultColWidth="8.83203125" defaultRowHeight="14" x14ac:dyDescent="0.15"/>
  <cols>
    <col min="1" max="1" width="4.33203125" style="2" customWidth="1"/>
    <col min="2" max="2" width="3.1640625" style="2" customWidth="1"/>
    <col min="3" max="3" width="33.5" style="2" bestFit="1" customWidth="1"/>
    <col min="4" max="12" width="10.5" style="2" bestFit="1" customWidth="1"/>
    <col min="13" max="13" width="12.5" style="2" customWidth="1"/>
    <col min="14" max="18" width="12.1640625" style="2" bestFit="1" customWidth="1"/>
    <col min="19" max="16384" width="8.83203125" style="2"/>
  </cols>
  <sheetData>
    <row r="6" spans="2:18" ht="15" customHeight="1" x14ac:dyDescent="0.15">
      <c r="B6" s="527"/>
      <c r="C6" s="527"/>
      <c r="D6" s="527"/>
      <c r="E6" s="527"/>
      <c r="G6" s="111"/>
      <c r="H6" s="111"/>
      <c r="M6" s="117" t="s">
        <v>80</v>
      </c>
      <c r="N6" s="50"/>
      <c r="O6" s="50"/>
      <c r="Q6" s="503" t="s">
        <v>64</v>
      </c>
      <c r="R6" s="503"/>
    </row>
    <row r="7" spans="2:18" ht="15" customHeight="1" x14ac:dyDescent="0.2">
      <c r="B7" s="518" t="s">
        <v>158</v>
      </c>
      <c r="C7" s="519"/>
      <c r="D7" s="519"/>
      <c r="E7" s="519"/>
      <c r="F7" s="519"/>
      <c r="G7" s="519"/>
      <c r="H7" s="519"/>
      <c r="I7" s="519"/>
      <c r="J7" s="519"/>
      <c r="K7" s="519"/>
      <c r="L7" s="519"/>
      <c r="M7" s="519"/>
      <c r="N7" s="519"/>
      <c r="O7" s="519"/>
      <c r="P7" s="519"/>
      <c r="Q7" s="519"/>
      <c r="R7" s="520"/>
    </row>
    <row r="8" spans="2:18" x14ac:dyDescent="0.15">
      <c r="B8" s="501" t="s">
        <v>0</v>
      </c>
      <c r="C8" s="528"/>
      <c r="D8" s="195">
        <f>FAS!C8</f>
        <v>2021</v>
      </c>
      <c r="E8" s="195">
        <f>FAS!D8</f>
        <v>2022</v>
      </c>
      <c r="F8" s="195">
        <f>FAS!E8</f>
        <v>2023</v>
      </c>
      <c r="G8" s="195">
        <f>FAS!F8</f>
        <v>2024</v>
      </c>
      <c r="H8" s="195">
        <f>FAS!G8</f>
        <v>2025</v>
      </c>
      <c r="I8" s="217">
        <f>FAS!H8</f>
        <v>2026</v>
      </c>
      <c r="J8" s="217">
        <f>FAS!I8</f>
        <v>2027</v>
      </c>
      <c r="K8" s="217">
        <f>FAS!J8</f>
        <v>2028</v>
      </c>
      <c r="L8" s="217">
        <f>FAS!K8</f>
        <v>2029</v>
      </c>
      <c r="M8" s="217">
        <f>FAS!L8</f>
        <v>2030</v>
      </c>
      <c r="N8" s="217">
        <f>FAS!M8</f>
        <v>2031</v>
      </c>
      <c r="O8" s="217">
        <f>FAS!N8</f>
        <v>2032</v>
      </c>
      <c r="P8" s="217">
        <f>FAS!O8</f>
        <v>2033</v>
      </c>
      <c r="Q8" s="217">
        <f>FAS!P8</f>
        <v>2034</v>
      </c>
      <c r="R8" s="217">
        <f>FAS!Q8</f>
        <v>2035</v>
      </c>
    </row>
    <row r="9" spans="2:18" x14ac:dyDescent="0.15">
      <c r="B9" s="502"/>
      <c r="C9" s="529"/>
      <c r="D9" s="13" t="s">
        <v>1</v>
      </c>
      <c r="E9" s="13" t="s">
        <v>1</v>
      </c>
      <c r="F9" s="13" t="s">
        <v>1</v>
      </c>
      <c r="G9" s="13" t="s">
        <v>1</v>
      </c>
      <c r="H9" s="13" t="s">
        <v>1</v>
      </c>
      <c r="I9" s="110" t="s">
        <v>52</v>
      </c>
      <c r="J9" s="110" t="s">
        <v>53</v>
      </c>
      <c r="K9" s="110" t="s">
        <v>53</v>
      </c>
      <c r="L9" s="110" t="s">
        <v>53</v>
      </c>
      <c r="M9" s="110" t="s">
        <v>53</v>
      </c>
      <c r="N9" s="110" t="s">
        <v>53</v>
      </c>
      <c r="O9" s="110" t="s">
        <v>53</v>
      </c>
      <c r="P9" s="110" t="s">
        <v>53</v>
      </c>
      <c r="Q9" s="110" t="s">
        <v>53</v>
      </c>
      <c r="R9" s="110" t="s">
        <v>53</v>
      </c>
    </row>
    <row r="10" spans="2:18" x14ac:dyDescent="0.15">
      <c r="B10" s="508" t="s">
        <v>19</v>
      </c>
      <c r="C10" s="530"/>
      <c r="D10" s="107"/>
      <c r="I10" s="30"/>
      <c r="J10" s="30"/>
      <c r="K10" s="30"/>
      <c r="L10" s="30"/>
      <c r="M10" s="30"/>
      <c r="N10" s="30"/>
      <c r="O10" s="30"/>
      <c r="P10" s="30"/>
      <c r="Q10" s="30"/>
      <c r="R10" s="30"/>
    </row>
    <row r="11" spans="2:18" x14ac:dyDescent="0.15">
      <c r="B11" s="107"/>
      <c r="C11" s="108"/>
      <c r="D11" s="107"/>
      <c r="I11" s="30"/>
      <c r="J11" s="30"/>
      <c r="K11" s="30"/>
      <c r="L11" s="30"/>
      <c r="M11" s="30"/>
      <c r="N11" s="30"/>
      <c r="O11" s="30"/>
      <c r="P11" s="30"/>
      <c r="Q11" s="30"/>
      <c r="R11" s="30"/>
    </row>
    <row r="12" spans="2:18" x14ac:dyDescent="0.15">
      <c r="B12" s="106" t="str">
        <f>'Balance Sheet'!B12:C12</f>
        <v>Non-Current Assets</v>
      </c>
      <c r="C12" s="87"/>
      <c r="D12" s="10"/>
      <c r="I12" s="30"/>
      <c r="J12" s="30"/>
      <c r="K12" s="30"/>
      <c r="L12" s="30"/>
      <c r="M12" s="30"/>
      <c r="N12" s="30"/>
      <c r="O12" s="30"/>
      <c r="P12" s="30"/>
      <c r="Q12" s="30"/>
      <c r="R12" s="30"/>
    </row>
    <row r="13" spans="2:18" x14ac:dyDescent="0.15">
      <c r="C13" s="34" t="s">
        <v>261</v>
      </c>
      <c r="D13" s="6">
        <f>'BS Input'!D21</f>
        <v>41.19</v>
      </c>
      <c r="E13" s="6">
        <f>'BS Input'!E21</f>
        <v>10.77</v>
      </c>
      <c r="F13" s="6">
        <f>'BS Input'!F21</f>
        <v>12.94</v>
      </c>
      <c r="G13" s="6">
        <f>'BS Input'!G21</f>
        <v>17.079999999999998</v>
      </c>
      <c r="H13" s="6">
        <f>'BS Input'!H21</f>
        <v>17.37</v>
      </c>
      <c r="I13" s="32">
        <f>'Revenue Buildup'!H$15*'BS items '!I14</f>
        <v>36.633910686549847</v>
      </c>
      <c r="J13" s="32">
        <f>'Revenue Buildup'!I$15*'BS items '!J14</f>
        <v>43.792691723370368</v>
      </c>
      <c r="K13" s="32">
        <f>'Revenue Buildup'!J$15*'BS items '!K14</f>
        <v>51.88212712544415</v>
      </c>
      <c r="L13" s="32">
        <f>'Revenue Buildup'!K$15*'BS items '!L14</f>
        <v>60.915518564566042</v>
      </c>
      <c r="M13" s="32">
        <f>'Revenue Buildup'!L$15*'BS items '!M14</f>
        <v>70.881120736713655</v>
      </c>
      <c r="N13" s="32">
        <f>'Revenue Buildup'!M$15*'BS items '!N14</f>
        <v>81.738432457970745</v>
      </c>
      <c r="O13" s="32">
        <f>'Revenue Buildup'!N$15*'BS items '!O14</f>
        <v>93.41530268023196</v>
      </c>
      <c r="P13" s="32">
        <f>'Revenue Buildup'!O$15*'BS items '!P14</f>
        <v>105.80613952155315</v>
      </c>
      <c r="Q13" s="32">
        <f>'Revenue Buildup'!P$15*'BS items '!Q14</f>
        <v>118.77147184473588</v>
      </c>
      <c r="R13" s="32">
        <f>'Revenue Buildup'!Q$15*'BS items '!R14</f>
        <v>132.13904909863783</v>
      </c>
    </row>
    <row r="14" spans="2:18" x14ac:dyDescent="0.15">
      <c r="C14" s="34"/>
      <c r="D14" s="17">
        <f>D13/'P&amp;L Input'!C$11</f>
        <v>2.3936958454645302E-2</v>
      </c>
      <c r="E14" s="17">
        <f>E13/'P&amp;L Input'!D$11</f>
        <v>4.9406842641270534E-3</v>
      </c>
      <c r="F14" s="17">
        <f>F13/'P&amp;L Input'!E$11</f>
        <v>5.0582440778672508E-3</v>
      </c>
      <c r="G14" s="17">
        <f>G13/'P&amp;L Input'!F$11</f>
        <v>5.6013957576314093E-3</v>
      </c>
      <c r="H14" s="17">
        <f>H13/'P&amp;L Input'!G$11</f>
        <v>5.0379660191077263E-3</v>
      </c>
      <c r="I14" s="53">
        <f>AVERAGE(D14:H14)</f>
        <v>8.9150497146757487E-3</v>
      </c>
      <c r="J14" s="53">
        <f t="shared" ref="J14:R14" si="0">I14</f>
        <v>8.9150497146757487E-3</v>
      </c>
      <c r="K14" s="53">
        <f t="shared" si="0"/>
        <v>8.9150497146757487E-3</v>
      </c>
      <c r="L14" s="53">
        <f t="shared" si="0"/>
        <v>8.9150497146757487E-3</v>
      </c>
      <c r="M14" s="53">
        <f t="shared" si="0"/>
        <v>8.9150497146757487E-3</v>
      </c>
      <c r="N14" s="53">
        <f t="shared" si="0"/>
        <v>8.9150497146757487E-3</v>
      </c>
      <c r="O14" s="53">
        <f t="shared" si="0"/>
        <v>8.9150497146757487E-3</v>
      </c>
      <c r="P14" s="53">
        <f t="shared" si="0"/>
        <v>8.9150497146757487E-3</v>
      </c>
      <c r="Q14" s="53">
        <f t="shared" si="0"/>
        <v>8.9150497146757487E-3</v>
      </c>
      <c r="R14" s="53">
        <f t="shared" si="0"/>
        <v>8.9150497146757487E-3</v>
      </c>
    </row>
    <row r="15" spans="2:18" x14ac:dyDescent="0.15">
      <c r="C15" s="34" t="s">
        <v>24</v>
      </c>
      <c r="D15" s="6">
        <f>'BS Input'!D22</f>
        <v>26.34</v>
      </c>
      <c r="E15" s="6">
        <f>'BS Input'!E22</f>
        <v>41.56</v>
      </c>
      <c r="F15" s="6">
        <f>'BS Input'!F22</f>
        <v>31.3</v>
      </c>
      <c r="G15" s="6">
        <f>'BS Input'!G22</f>
        <v>35.64</v>
      </c>
      <c r="H15" s="6">
        <f>'BS Input'!H22</f>
        <v>20.52</v>
      </c>
      <c r="I15" s="32">
        <f>'Revenue Buildup'!H$15*'BS items '!I16</f>
        <v>52.801400760291664</v>
      </c>
      <c r="J15" s="32">
        <f>'Revenue Buildup'!I$15*'BS items '!J16</f>
        <v>63.119536591176825</v>
      </c>
      <c r="K15" s="32">
        <f>'Revenue Buildup'!J$15*'BS items '!K16</f>
        <v>74.779048572959624</v>
      </c>
      <c r="L15" s="32">
        <f>'Revenue Buildup'!K$15*'BS items '!L16</f>
        <v>87.799108748429376</v>
      </c>
      <c r="M15" s="32">
        <f>'Revenue Buildup'!L$15*'BS items '!M16</f>
        <v>102.16278830782713</v>
      </c>
      <c r="N15" s="32">
        <f>'Revenue Buildup'!M$15*'BS items '!N16</f>
        <v>117.81171184969699</v>
      </c>
      <c r="O15" s="32">
        <f>'Revenue Buildup'!N$15*'BS items '!O16</f>
        <v>134.64188620664598</v>
      </c>
      <c r="P15" s="32">
        <f>'Revenue Buildup'!O$15*'BS items '!P16</f>
        <v>152.50111907457443</v>
      </c>
      <c r="Q15" s="32">
        <f>'Revenue Buildup'!P$15*'BS items '!Q16</f>
        <v>171.18838710457706</v>
      </c>
      <c r="R15" s="32">
        <f>'Revenue Buildup'!Q$15*'BS items '!R16</f>
        <v>190.45542113260348</v>
      </c>
    </row>
    <row r="16" spans="2:18" x14ac:dyDescent="0.15">
      <c r="C16" s="34"/>
      <c r="D16" s="17">
        <f>D15/'P&amp;L Input'!C$11</f>
        <v>1.5307100890880245E-2</v>
      </c>
      <c r="E16" s="17">
        <f>E15/'P&amp;L Input'!D$11</f>
        <v>1.906544456983476E-2</v>
      </c>
      <c r="F16" s="17">
        <f>F15/'P&amp;L Input'!E$11</f>
        <v>1.2235165350637168E-2</v>
      </c>
      <c r="G16" s="17">
        <f>G15/'P&amp;L Input'!F$11</f>
        <v>1.1688158360771866E-2</v>
      </c>
      <c r="H16" s="17">
        <f>H15/'P&amp;L Input'!G$11</f>
        <v>5.9515867997749295E-3</v>
      </c>
      <c r="I16" s="53">
        <f>AVERAGE(D16:H16)</f>
        <v>1.2849491194379795E-2</v>
      </c>
      <c r="J16" s="53">
        <f t="shared" ref="J16:R16" si="1">I16</f>
        <v>1.2849491194379795E-2</v>
      </c>
      <c r="K16" s="53">
        <f t="shared" si="1"/>
        <v>1.2849491194379795E-2</v>
      </c>
      <c r="L16" s="53">
        <f t="shared" si="1"/>
        <v>1.2849491194379795E-2</v>
      </c>
      <c r="M16" s="53">
        <f t="shared" si="1"/>
        <v>1.2849491194379795E-2</v>
      </c>
      <c r="N16" s="53">
        <f t="shared" si="1"/>
        <v>1.2849491194379795E-2</v>
      </c>
      <c r="O16" s="53">
        <f t="shared" si="1"/>
        <v>1.2849491194379795E-2</v>
      </c>
      <c r="P16" s="53">
        <f t="shared" si="1"/>
        <v>1.2849491194379795E-2</v>
      </c>
      <c r="Q16" s="53">
        <f t="shared" si="1"/>
        <v>1.2849491194379795E-2</v>
      </c>
      <c r="R16" s="53">
        <f t="shared" si="1"/>
        <v>1.2849491194379795E-2</v>
      </c>
    </row>
    <row r="17" spans="2:18" x14ac:dyDescent="0.15">
      <c r="C17" s="2" t="s">
        <v>249</v>
      </c>
      <c r="D17" s="244">
        <f>'BS Input'!D23</f>
        <v>53.2</v>
      </c>
      <c r="E17" s="6">
        <f>'BS Input'!E23</f>
        <v>70.5</v>
      </c>
      <c r="F17" s="6">
        <f>'BS Input'!F23</f>
        <v>104.85</v>
      </c>
      <c r="G17" s="6">
        <f>'BS Input'!G23</f>
        <v>107.6</v>
      </c>
      <c r="H17" s="6">
        <f>'BS Input'!H23</f>
        <v>154.63</v>
      </c>
      <c r="I17" s="32">
        <f>'Revenue Buildup'!H$15*'BS items '!I18</f>
        <v>151.53153862298416</v>
      </c>
      <c r="J17" s="32">
        <f>'Revenue Buildup'!I$15*'BS items '!J18</f>
        <v>181.14293104177756</v>
      </c>
      <c r="K17" s="32">
        <f>'Revenue Buildup'!J$15*'BS items '!K18</f>
        <v>214.6038575466165</v>
      </c>
      <c r="L17" s="32">
        <f>'Revenue Buildup'!K$15*'BS items '!L18</f>
        <v>251.96933882067566</v>
      </c>
      <c r="M17" s="32">
        <f>'Revenue Buildup'!L$15*'BS items '!M18</f>
        <v>293.19079189924406</v>
      </c>
      <c r="N17" s="32">
        <f>'Revenue Buildup'!M$15*'BS items '!N18</f>
        <v>338.1006887570615</v>
      </c>
      <c r="O17" s="32">
        <f>'Revenue Buildup'!N$15*'BS items '!O18</f>
        <v>386.4005857082704</v>
      </c>
      <c r="P17" s="32">
        <f>'Revenue Buildup'!O$15*'BS items '!P18</f>
        <v>437.65371528695664</v>
      </c>
      <c r="Q17" s="32">
        <f>'Revenue Buildup'!P$15*'BS items '!Q18</f>
        <v>491.2831727724091</v>
      </c>
      <c r="R17" s="32">
        <f>'Revenue Buildup'!Q$15*'BS items '!R18</f>
        <v>546.57646554360849</v>
      </c>
    </row>
    <row r="18" spans="2:18" x14ac:dyDescent="0.15">
      <c r="C18" s="34"/>
      <c r="D18" s="17">
        <f>D17/'P&amp;L Input'!C$11</f>
        <v>3.091639208028964E-2</v>
      </c>
      <c r="E18" s="17">
        <f>E17/'P&amp;L Input'!D$11</f>
        <v>3.2341526520051747E-2</v>
      </c>
      <c r="F18" s="17">
        <f>F17/'P&amp;L Input'!E$11</f>
        <v>4.0985849425377217E-2</v>
      </c>
      <c r="G18" s="17">
        <f>G17/'P&amp;L Input'!F$11</f>
        <v>3.528748147079272E-2</v>
      </c>
      <c r="H18" s="17">
        <f>H17/'P&amp;L Input'!G$11</f>
        <v>4.4848628988752311E-2</v>
      </c>
      <c r="I18" s="53">
        <f>AVERAGE(D18:H18)</f>
        <v>3.6875975697052726E-2</v>
      </c>
      <c r="J18" s="53">
        <f t="shared" ref="J18:R18" si="2">I18</f>
        <v>3.6875975697052726E-2</v>
      </c>
      <c r="K18" s="53">
        <f t="shared" si="2"/>
        <v>3.6875975697052726E-2</v>
      </c>
      <c r="L18" s="53">
        <f t="shared" si="2"/>
        <v>3.6875975697052726E-2</v>
      </c>
      <c r="M18" s="53">
        <f t="shared" si="2"/>
        <v>3.6875975697052726E-2</v>
      </c>
      <c r="N18" s="53">
        <f t="shared" si="2"/>
        <v>3.6875975697052726E-2</v>
      </c>
      <c r="O18" s="53">
        <f t="shared" si="2"/>
        <v>3.6875975697052726E-2</v>
      </c>
      <c r="P18" s="53">
        <f t="shared" si="2"/>
        <v>3.6875975697052726E-2</v>
      </c>
      <c r="Q18" s="53">
        <f t="shared" si="2"/>
        <v>3.6875975697052726E-2</v>
      </c>
      <c r="R18" s="53">
        <f t="shared" si="2"/>
        <v>3.6875975697052726E-2</v>
      </c>
    </row>
    <row r="19" spans="2:18" x14ac:dyDescent="0.15">
      <c r="C19" s="34" t="s">
        <v>297</v>
      </c>
      <c r="D19" s="6">
        <f>'BS Input'!D24</f>
        <v>0</v>
      </c>
      <c r="E19" s="6">
        <f>'BS Input'!E24</f>
        <v>3.22</v>
      </c>
      <c r="F19" s="6">
        <f>'BS Input'!F24</f>
        <v>3.23</v>
      </c>
      <c r="G19" s="6">
        <f>'BS Input'!G24</f>
        <v>29</v>
      </c>
      <c r="H19" s="6">
        <f>'BS Input'!H24</f>
        <v>22.07</v>
      </c>
      <c r="I19" s="32">
        <f>'Revenue Buildup'!H$15*'BS items '!I20</f>
        <v>15.328609841715149</v>
      </c>
      <c r="J19" s="32">
        <f>'Revenue Buildup'!I$15*'BS items '!J20</f>
        <v>18.324035648001775</v>
      </c>
      <c r="K19" s="32">
        <f>'Revenue Buildup'!J$15*'BS items '!K20</f>
        <v>21.708872177716682</v>
      </c>
      <c r="L19" s="32">
        <f>'Revenue Buildup'!K$15*'BS items '!L20</f>
        <v>25.488685206758877</v>
      </c>
      <c r="M19" s="32">
        <f>'Revenue Buildup'!L$15*'BS items '!M20</f>
        <v>29.658560185208426</v>
      </c>
      <c r="N19" s="32">
        <f>'Revenue Buildup'!M$15*'BS items '!N20</f>
        <v>34.201550332480217</v>
      </c>
      <c r="O19" s="32">
        <f>'Revenue Buildup'!N$15*'BS items '!O20</f>
        <v>39.087465716750131</v>
      </c>
      <c r="P19" s="32">
        <f>'Revenue Buildup'!O$15*'BS items '!P20</f>
        <v>44.272123865264348</v>
      </c>
      <c r="Q19" s="32">
        <f>'Revenue Buildup'!P$15*'BS items '!Q20</f>
        <v>49.697166317071542</v>
      </c>
      <c r="R19" s="32">
        <f>'Revenue Buildup'!Q$15*'BS items '!R20</f>
        <v>55.290518826097575</v>
      </c>
    </row>
    <row r="20" spans="2:18" x14ac:dyDescent="0.15">
      <c r="C20" s="34"/>
      <c r="D20" s="17">
        <f>D19/'P&amp;L Input'!C$11</f>
        <v>0</v>
      </c>
      <c r="E20" s="17">
        <f>E19/'P&amp;L Input'!D$11</f>
        <v>1.4771590836108741E-3</v>
      </c>
      <c r="F20" s="17">
        <f>F19/'P&amp;L Input'!E$11</f>
        <v>1.2626065202095225E-3</v>
      </c>
      <c r="G20" s="17">
        <f>G19/'P&amp;L Input'!F$11</f>
        <v>9.5105665674069615E-3</v>
      </c>
      <c r="H20" s="17">
        <f>H19/'P&amp;L Input'!G$11</f>
        <v>6.4011462315318084E-3</v>
      </c>
      <c r="I20" s="53">
        <f>AVERAGE(D20:H20)</f>
        <v>3.730295680551833E-3</v>
      </c>
      <c r="J20" s="53">
        <f t="shared" ref="J20:R20" si="3">I20</f>
        <v>3.730295680551833E-3</v>
      </c>
      <c r="K20" s="53">
        <f t="shared" si="3"/>
        <v>3.730295680551833E-3</v>
      </c>
      <c r="L20" s="53">
        <f t="shared" si="3"/>
        <v>3.730295680551833E-3</v>
      </c>
      <c r="M20" s="53">
        <f t="shared" si="3"/>
        <v>3.730295680551833E-3</v>
      </c>
      <c r="N20" s="53">
        <f t="shared" si="3"/>
        <v>3.730295680551833E-3</v>
      </c>
      <c r="O20" s="53">
        <f t="shared" si="3"/>
        <v>3.730295680551833E-3</v>
      </c>
      <c r="P20" s="53">
        <f t="shared" si="3"/>
        <v>3.730295680551833E-3</v>
      </c>
      <c r="Q20" s="53">
        <f t="shared" si="3"/>
        <v>3.730295680551833E-3</v>
      </c>
      <c r="R20" s="53">
        <f t="shared" si="3"/>
        <v>3.730295680551833E-3</v>
      </c>
    </row>
    <row r="21" spans="2:18" x14ac:dyDescent="0.15">
      <c r="C21" s="34" t="s">
        <v>23</v>
      </c>
      <c r="D21" s="244">
        <f>'BS Input'!D25</f>
        <v>1.31</v>
      </c>
      <c r="E21" s="6">
        <f>'BS Input'!E25</f>
        <v>1.53</v>
      </c>
      <c r="F21" s="6">
        <f>'BS Input'!F25</f>
        <v>1.47</v>
      </c>
      <c r="G21" s="6">
        <f>'BS Input'!G25</f>
        <v>1.5</v>
      </c>
      <c r="H21" s="6">
        <f>'BS Input'!H25</f>
        <v>1.55</v>
      </c>
      <c r="I21" s="32">
        <f>'Revenue Buildup'!H$15*'BS items '!I22</f>
        <v>2.4485000449686498</v>
      </c>
      <c r="J21" s="32">
        <f>'Revenue Buildup'!I$15*'BS items '!J22</f>
        <v>2.9269713673604274</v>
      </c>
      <c r="K21" s="32">
        <f>'Revenue Buildup'!J$15*'BS items '!K22</f>
        <v>3.4676448192128055</v>
      </c>
      <c r="L21" s="32">
        <f>'Revenue Buildup'!K$15*'BS items '!L22</f>
        <v>4.071409444129853</v>
      </c>
      <c r="M21" s="32">
        <f>'Revenue Buildup'!L$15*'BS items '!M22</f>
        <v>4.7374802214329668</v>
      </c>
      <c r="N21" s="32">
        <f>'Revenue Buildup'!M$15*'BS items '!N22</f>
        <v>5.4631501742042667</v>
      </c>
      <c r="O21" s="32">
        <f>'Revenue Buildup'!N$15*'BS items '!O22</f>
        <v>6.2435969441090915</v>
      </c>
      <c r="P21" s="32">
        <f>'Revenue Buildup'!O$15*'BS items '!P22</f>
        <v>7.0717630883889893</v>
      </c>
      <c r="Q21" s="32">
        <f>'Revenue Buildup'!P$15*'BS items '!Q22</f>
        <v>7.9383267770972719</v>
      </c>
      <c r="R21" s="32">
        <f>'Revenue Buildup'!Q$15*'BS items '!R22</f>
        <v>8.8317753031733552</v>
      </c>
    </row>
    <row r="22" spans="2:18" x14ac:dyDescent="0.15">
      <c r="C22" s="34"/>
      <c r="D22" s="17">
        <f>D21/'P&amp;L Input'!C$11</f>
        <v>7.6128709821765843E-4</v>
      </c>
      <c r="E22" s="17">
        <f>E21/'P&amp;L Input'!D$11</f>
        <v>7.018799372436762E-4</v>
      </c>
      <c r="F22" s="17">
        <f>F21/'P&amp;L Input'!E$11</f>
        <v>5.7462278164334304E-4</v>
      </c>
      <c r="G22" s="17">
        <f>G21/'P&amp;L Input'!F$11</f>
        <v>4.9192585693484279E-4</v>
      </c>
      <c r="H22" s="17">
        <f>H21/'P&amp;L Input'!G$11</f>
        <v>4.4955943175687823E-4</v>
      </c>
      <c r="I22" s="53">
        <f>AVERAGE(D22:H22)</f>
        <v>5.9585502115927968E-4</v>
      </c>
      <c r="J22" s="53">
        <f t="shared" ref="J22:R22" si="4">I22</f>
        <v>5.9585502115927968E-4</v>
      </c>
      <c r="K22" s="53">
        <f t="shared" si="4"/>
        <v>5.9585502115927968E-4</v>
      </c>
      <c r="L22" s="53">
        <f t="shared" si="4"/>
        <v>5.9585502115927968E-4</v>
      </c>
      <c r="M22" s="53">
        <f t="shared" si="4"/>
        <v>5.9585502115927968E-4</v>
      </c>
      <c r="N22" s="53">
        <f t="shared" si="4"/>
        <v>5.9585502115927968E-4</v>
      </c>
      <c r="O22" s="53">
        <f t="shared" si="4"/>
        <v>5.9585502115927968E-4</v>
      </c>
      <c r="P22" s="53">
        <f t="shared" si="4"/>
        <v>5.9585502115927968E-4</v>
      </c>
      <c r="Q22" s="53">
        <f t="shared" si="4"/>
        <v>5.9585502115927968E-4</v>
      </c>
      <c r="R22" s="53">
        <f t="shared" si="4"/>
        <v>5.9585502115927968E-4</v>
      </c>
    </row>
    <row r="23" spans="2:18" s="4" customFormat="1" x14ac:dyDescent="0.15">
      <c r="B23" s="4" t="str">
        <f>'Balance Sheet'!B29:C29</f>
        <v>Current Assets</v>
      </c>
      <c r="C23" s="44"/>
      <c r="I23" s="39"/>
      <c r="J23" s="39"/>
      <c r="K23" s="39"/>
      <c r="L23" s="39"/>
      <c r="M23" s="39"/>
      <c r="N23" s="39"/>
      <c r="O23" s="39"/>
      <c r="P23" s="39"/>
      <c r="Q23" s="39"/>
      <c r="R23" s="39"/>
    </row>
    <row r="24" spans="2:18" x14ac:dyDescent="0.15">
      <c r="C24" s="34" t="s">
        <v>261</v>
      </c>
      <c r="D24" s="6">
        <f>'BS Input'!D31</f>
        <v>192.91</v>
      </c>
      <c r="E24" s="6">
        <f>'BS Input'!E31</f>
        <v>54.83</v>
      </c>
      <c r="F24" s="6">
        <f>'BS Input'!F31</f>
        <v>55.77</v>
      </c>
      <c r="G24" s="6">
        <f>'BS Input'!G31</f>
        <v>76.73</v>
      </c>
      <c r="H24" s="6">
        <f>'BS Input'!H31</f>
        <v>160.66</v>
      </c>
      <c r="I24" s="32">
        <f>'Revenue Buildup'!H$15*'BS items '!I25</f>
        <v>189.69929505076919</v>
      </c>
      <c r="J24" s="32">
        <f>'Revenue Buildup'!I$15*'BS items '!J25</f>
        <v>226.76920352238272</v>
      </c>
      <c r="K24" s="32">
        <f>'Revenue Buildup'!J$15*'BS items '!K25</f>
        <v>268.65826653458106</v>
      </c>
      <c r="L24" s="32">
        <f>'Revenue Buildup'!K$15*'BS items '!L25</f>
        <v>315.43536337748611</v>
      </c>
      <c r="M24" s="32">
        <f>'Revenue Buildup'!L$15*'BS items '!M25</f>
        <v>367.03967401164675</v>
      </c>
      <c r="N24" s="32">
        <f>'Revenue Buildup'!M$15*'BS items '!N25</f>
        <v>423.26147346111463</v>
      </c>
      <c r="O24" s="32">
        <f>'Revenue Buildup'!N$15*'BS items '!O25</f>
        <v>483.72714605925046</v>
      </c>
      <c r="P24" s="32">
        <f>'Revenue Buildup'!O$15*'BS items '!P25</f>
        <v>547.88991137250241</v>
      </c>
      <c r="Q24" s="32">
        <f>'Revenue Buildup'!P$15*'BS items '!Q25</f>
        <v>615.02755394773874</v>
      </c>
      <c r="R24" s="32">
        <f>'Revenue Buildup'!Q$15*'BS items '!R25</f>
        <v>684.24811855791904</v>
      </c>
    </row>
    <row r="25" spans="2:18" x14ac:dyDescent="0.15">
      <c r="C25" s="34"/>
      <c r="D25" s="17">
        <f>D24/'P&amp;L Input'!C$11</f>
        <v>0.11210678940241868</v>
      </c>
      <c r="E25" s="17">
        <f>E24/'P&amp;L Input'!D$11</f>
        <v>2.5152991476516839E-2</v>
      </c>
      <c r="F25" s="17">
        <f>F24/'P&amp;L Input'!E$11</f>
        <v>2.1800484715815811E-2</v>
      </c>
      <c r="G25" s="17">
        <f>G24/'P&amp;L Input'!F$11</f>
        <v>2.5163647335073661E-2</v>
      </c>
      <c r="H25" s="17">
        <f>H24/'P&amp;L Input'!G$11</f>
        <v>4.6597560197458102E-2</v>
      </c>
      <c r="I25" s="53">
        <f>AVERAGE(D25:H25)</f>
        <v>4.6164294625456612E-2</v>
      </c>
      <c r="J25" s="53">
        <f t="shared" ref="J25:R25" si="5">I25</f>
        <v>4.6164294625456612E-2</v>
      </c>
      <c r="K25" s="53">
        <f t="shared" si="5"/>
        <v>4.6164294625456612E-2</v>
      </c>
      <c r="L25" s="53">
        <f t="shared" si="5"/>
        <v>4.6164294625456612E-2</v>
      </c>
      <c r="M25" s="53">
        <f t="shared" si="5"/>
        <v>4.6164294625456612E-2</v>
      </c>
      <c r="N25" s="53">
        <f t="shared" si="5"/>
        <v>4.6164294625456612E-2</v>
      </c>
      <c r="O25" s="53">
        <f t="shared" si="5"/>
        <v>4.6164294625456612E-2</v>
      </c>
      <c r="P25" s="53">
        <f t="shared" si="5"/>
        <v>4.6164294625456612E-2</v>
      </c>
      <c r="Q25" s="53">
        <f t="shared" si="5"/>
        <v>4.6164294625456612E-2</v>
      </c>
      <c r="R25" s="53">
        <f t="shared" si="5"/>
        <v>4.6164294625456612E-2</v>
      </c>
    </row>
    <row r="26" spans="2:18" x14ac:dyDescent="0.15">
      <c r="C26" s="34" t="s">
        <v>24</v>
      </c>
      <c r="D26" s="6">
        <f>'BS Input'!D34</f>
        <v>9.14</v>
      </c>
      <c r="E26" s="6">
        <f>'BS Input'!E34</f>
        <v>13.81</v>
      </c>
      <c r="F26" s="6">
        <f>'BS Input'!F34</f>
        <v>12.04</v>
      </c>
      <c r="G26" s="6">
        <f>'BS Input'!G34</f>
        <v>19.48</v>
      </c>
      <c r="H26" s="6">
        <f>'BS Input'!H34</f>
        <v>15.94</v>
      </c>
      <c r="I26" s="32">
        <f>'Revenue Buildup'!H$15*'BS items '!I27</f>
        <v>22.489740465554672</v>
      </c>
      <c r="J26" s="32">
        <f>'Revenue Buildup'!I$15*'BS items '!J27</f>
        <v>26.884551845245536</v>
      </c>
      <c r="K26" s="32">
        <f>'Revenue Buildup'!J$15*'BS items '!K27</f>
        <v>31.850696580983634</v>
      </c>
      <c r="L26" s="32">
        <f>'Revenue Buildup'!K$15*'BS items '!L27</f>
        <v>37.396340635419918</v>
      </c>
      <c r="M26" s="32">
        <f>'Revenue Buildup'!L$15*'BS items '!M27</f>
        <v>43.514273507840628</v>
      </c>
      <c r="N26" s="32">
        <f>'Revenue Buildup'!M$15*'BS items '!N27</f>
        <v>50.179631319458231</v>
      </c>
      <c r="O26" s="32">
        <f>'Revenue Buildup'!N$15*'BS items '!O27</f>
        <v>57.348120182020097</v>
      </c>
      <c r="P26" s="32">
        <f>'Revenue Buildup'!O$15*'BS items '!P27</f>
        <v>64.954916712608878</v>
      </c>
      <c r="Q26" s="32">
        <f>'Revenue Buildup'!P$15*'BS items '!Q27</f>
        <v>72.914398884549172</v>
      </c>
      <c r="R26" s="32">
        <f>'Revenue Buildup'!Q$15*'BS items '!R27</f>
        <v>81.120821225472895</v>
      </c>
    </row>
    <row r="27" spans="2:18" x14ac:dyDescent="0.15">
      <c r="C27" s="34"/>
      <c r="D27" s="17">
        <f>D26/'P&amp;L Input'!C$11</f>
        <v>5.3115756318392352E-3</v>
      </c>
      <c r="E27" s="17">
        <f>E26/'P&amp;L Input'!D$11</f>
        <v>6.335269237473966E-3</v>
      </c>
      <c r="F27" s="17">
        <f>F26/'P&amp;L Input'!E$11</f>
        <v>4.7064342115549999E-3</v>
      </c>
      <c r="G27" s="17">
        <f>G26/'P&amp;L Input'!F$11</f>
        <v>6.3884771287271592E-3</v>
      </c>
      <c r="H27" s="17">
        <f>H26/'P&amp;L Input'!G$11</f>
        <v>4.6232111885191217E-3</v>
      </c>
      <c r="I27" s="53">
        <f>AVERAGE(D27:H27)</f>
        <v>5.4729934796228959E-3</v>
      </c>
      <c r="J27" s="53">
        <f t="shared" ref="J27:R27" si="6">I27</f>
        <v>5.4729934796228959E-3</v>
      </c>
      <c r="K27" s="53">
        <f t="shared" si="6"/>
        <v>5.4729934796228959E-3</v>
      </c>
      <c r="L27" s="53">
        <f t="shared" si="6"/>
        <v>5.4729934796228959E-3</v>
      </c>
      <c r="M27" s="53">
        <f t="shared" si="6"/>
        <v>5.4729934796228959E-3</v>
      </c>
      <c r="N27" s="53">
        <f t="shared" si="6"/>
        <v>5.4729934796228959E-3</v>
      </c>
      <c r="O27" s="53">
        <f t="shared" si="6"/>
        <v>5.4729934796228959E-3</v>
      </c>
      <c r="P27" s="53">
        <f t="shared" si="6"/>
        <v>5.4729934796228959E-3</v>
      </c>
      <c r="Q27" s="53">
        <f t="shared" si="6"/>
        <v>5.4729934796228959E-3</v>
      </c>
      <c r="R27" s="53">
        <f t="shared" si="6"/>
        <v>5.4729934796228959E-3</v>
      </c>
    </row>
    <row r="28" spans="2:18" x14ac:dyDescent="0.15">
      <c r="C28" s="34" t="s">
        <v>298</v>
      </c>
      <c r="D28" s="6">
        <f>'BS Input'!D35</f>
        <v>0</v>
      </c>
      <c r="E28" s="6">
        <f>'BS Input'!E35</f>
        <v>0</v>
      </c>
      <c r="F28" s="6">
        <f>'BS Input'!F35</f>
        <v>350.8</v>
      </c>
      <c r="G28" s="6">
        <f>'BS Input'!G35</f>
        <v>352.84</v>
      </c>
      <c r="H28" s="6">
        <f>'BS Input'!H35</f>
        <v>231.45</v>
      </c>
      <c r="I28" s="32">
        <f>'Revenue Buildup'!H$15*'BS items '!I29</f>
        <v>262.9664192490406</v>
      </c>
      <c r="J28" s="32">
        <f>'Revenue Buildup'!I$15*'BS items '!J29</f>
        <v>314.35375355653497</v>
      </c>
      <c r="K28" s="32">
        <f>'Revenue Buildup'!J$15*'BS items '!K29</f>
        <v>372.42153342396762</v>
      </c>
      <c r="L28" s="32">
        <f>'Revenue Buildup'!K$15*'BS items '!L29</f>
        <v>437.26524123190802</v>
      </c>
      <c r="M28" s="32">
        <f>'Revenue Buildup'!L$15*'BS items '!M29</f>
        <v>508.80056655638339</v>
      </c>
      <c r="N28" s="32">
        <f>'Revenue Buildup'!M$15*'BS items '!N29</f>
        <v>586.73678282438527</v>
      </c>
      <c r="O28" s="32">
        <f>'Revenue Buildup'!N$15*'BS items '!O29</f>
        <v>670.55597364616028</v>
      </c>
      <c r="P28" s="32">
        <f>'Revenue Buildup'!O$15*'BS items '!P29</f>
        <v>759.50017683377234</v>
      </c>
      <c r="Q28" s="32">
        <f>'Revenue Buildup'!P$15*'BS items '!Q29</f>
        <v>852.56823731394888</v>
      </c>
      <c r="R28" s="32">
        <f>'Revenue Buildup'!Q$15*'BS items '!R29</f>
        <v>948.52370203544092</v>
      </c>
    </row>
    <row r="29" spans="2:18" x14ac:dyDescent="0.15">
      <c r="C29" s="34"/>
      <c r="D29" s="17">
        <f>D28/'P&amp;L Input'!C$11</f>
        <v>0</v>
      </c>
      <c r="E29" s="17">
        <f>E28/'P&amp;L Input'!D$11</f>
        <v>0</v>
      </c>
      <c r="F29" s="17">
        <f>F28/'P&amp;L Input'!E$11</f>
        <v>0.13712766789148623</v>
      </c>
      <c r="G29" s="17">
        <f>G28/'P&amp;L Input'!F$11</f>
        <v>0.11571407957392661</v>
      </c>
      <c r="H29" s="17">
        <f>H28/'P&amp;L Input'!G$11</f>
        <v>6.712937450330933E-2</v>
      </c>
      <c r="I29" s="53">
        <f>AVERAGE(D29:H29)</f>
        <v>6.3994224393744428E-2</v>
      </c>
      <c r="J29" s="53">
        <f t="shared" ref="J29" si="7">I29</f>
        <v>6.3994224393744428E-2</v>
      </c>
      <c r="K29" s="53">
        <f t="shared" ref="K29" si="8">J29</f>
        <v>6.3994224393744428E-2</v>
      </c>
      <c r="L29" s="53">
        <f t="shared" ref="L29" si="9">K29</f>
        <v>6.3994224393744428E-2</v>
      </c>
      <c r="M29" s="53">
        <f t="shared" ref="M29" si="10">L29</f>
        <v>6.3994224393744428E-2</v>
      </c>
      <c r="N29" s="53">
        <f t="shared" ref="N29" si="11">M29</f>
        <v>6.3994224393744428E-2</v>
      </c>
      <c r="O29" s="53">
        <f t="shared" ref="O29" si="12">N29</f>
        <v>6.3994224393744428E-2</v>
      </c>
      <c r="P29" s="53">
        <f t="shared" ref="P29" si="13">O29</f>
        <v>6.3994224393744428E-2</v>
      </c>
      <c r="Q29" s="53">
        <f t="shared" ref="Q29" si="14">P29</f>
        <v>6.3994224393744428E-2</v>
      </c>
      <c r="R29" s="53">
        <f t="shared" ref="R29" si="15">Q29</f>
        <v>6.3994224393744428E-2</v>
      </c>
    </row>
    <row r="30" spans="2:18" x14ac:dyDescent="0.15">
      <c r="C30" s="34" t="s">
        <v>26</v>
      </c>
      <c r="D30" s="6">
        <f>'BS Input'!D36</f>
        <v>180.32</v>
      </c>
      <c r="E30" s="6">
        <f>'BS Input'!E36</f>
        <v>283.94</v>
      </c>
      <c r="F30" s="6">
        <f>'BS Input'!F36</f>
        <v>106.48</v>
      </c>
      <c r="G30" s="6">
        <f>'BS Input'!G36</f>
        <v>150.47</v>
      </c>
      <c r="H30" s="6">
        <f>'BS Input'!H36</f>
        <v>218.72</v>
      </c>
      <c r="I30" s="32">
        <f>'Revenue Buildup'!H$15*'BS items '!I31</f>
        <v>320.06994109728839</v>
      </c>
      <c r="J30" s="32">
        <f>'Revenue Buildup'!I$15*'BS items '!J31</f>
        <v>382.61610616245537</v>
      </c>
      <c r="K30" s="32">
        <f>'Revenue Buildup'!J$15*'BS items '!K31</f>
        <v>453.29338478569269</v>
      </c>
      <c r="L30" s="32">
        <f>'Revenue Buildup'!K$15*'BS items '!L31</f>
        <v>532.21799347864453</v>
      </c>
      <c r="M30" s="32">
        <f>'Revenue Buildup'!L$15*'BS items '!M31</f>
        <v>619.28731369209891</v>
      </c>
      <c r="N30" s="32">
        <f>'Revenue Buildup'!M$15*'BS items '!N31</f>
        <v>714.14748717539408</v>
      </c>
      <c r="O30" s="32">
        <f>'Revenue Buildup'!N$15*'BS items '!O31</f>
        <v>816.16813127801845</v>
      </c>
      <c r="P30" s="32">
        <f>'Revenue Buildup'!O$15*'BS items '!P31</f>
        <v>924.42669127401348</v>
      </c>
      <c r="Q30" s="32">
        <f>'Revenue Buildup'!P$15*'BS items '!Q31</f>
        <v>1037.7046098804885</v>
      </c>
      <c r="R30" s="32">
        <f>'Revenue Buildup'!Q$15*'BS items '!R31</f>
        <v>1154.4969365550394</v>
      </c>
    </row>
    <row r="31" spans="2:18" x14ac:dyDescent="0.15">
      <c r="C31" s="34"/>
      <c r="D31" s="17">
        <f>D30/'P&amp;L Input'!C$11</f>
        <v>0.10479029736687645</v>
      </c>
      <c r="E31" s="17">
        <f>E30/'P&amp;L Input'!D$11</f>
        <v>0.13025607149082968</v>
      </c>
      <c r="F31" s="17">
        <f>F30/'P&amp;L Input'!E$11</f>
        <v>4.1623016183253855E-2</v>
      </c>
      <c r="G31" s="17">
        <f>G30/'P&amp;L Input'!F$11</f>
        <v>4.9346722461990532E-2</v>
      </c>
      <c r="H31" s="17">
        <f>H30/'P&amp;L Input'!G$11</f>
        <v>6.3437186396041553E-2</v>
      </c>
      <c r="I31" s="53">
        <f>AVERAGE(D31:H31)</f>
        <v>7.7890658779798422E-2</v>
      </c>
      <c r="J31" s="53">
        <f t="shared" ref="J31:R31" si="16">I31</f>
        <v>7.7890658779798422E-2</v>
      </c>
      <c r="K31" s="53">
        <f t="shared" si="16"/>
        <v>7.7890658779798422E-2</v>
      </c>
      <c r="L31" s="53">
        <f t="shared" si="16"/>
        <v>7.7890658779798422E-2</v>
      </c>
      <c r="M31" s="53">
        <f t="shared" si="16"/>
        <v>7.7890658779798422E-2</v>
      </c>
      <c r="N31" s="53">
        <f t="shared" si="16"/>
        <v>7.7890658779798422E-2</v>
      </c>
      <c r="O31" s="53">
        <f t="shared" si="16"/>
        <v>7.7890658779798422E-2</v>
      </c>
      <c r="P31" s="53">
        <f t="shared" si="16"/>
        <v>7.7890658779798422E-2</v>
      </c>
      <c r="Q31" s="53">
        <f t="shared" si="16"/>
        <v>7.7890658779798422E-2</v>
      </c>
      <c r="R31" s="53">
        <f t="shared" si="16"/>
        <v>7.7890658779798422E-2</v>
      </c>
    </row>
    <row r="32" spans="2:18" x14ac:dyDescent="0.15">
      <c r="C32" s="34"/>
      <c r="I32" s="30"/>
      <c r="J32" s="30"/>
      <c r="K32" s="30"/>
      <c r="L32" s="30"/>
      <c r="M32" s="30"/>
      <c r="N32" s="30"/>
      <c r="O32" s="30"/>
      <c r="P32" s="30"/>
      <c r="Q32" s="30"/>
      <c r="R32" s="30"/>
    </row>
    <row r="33" spans="2:18" x14ac:dyDescent="0.15">
      <c r="B33" s="508" t="s">
        <v>75</v>
      </c>
      <c r="C33" s="530"/>
      <c r="I33" s="30"/>
      <c r="J33" s="30"/>
      <c r="K33" s="30"/>
      <c r="L33" s="30"/>
      <c r="M33" s="30"/>
      <c r="N33" s="30"/>
      <c r="O33" s="30"/>
      <c r="P33" s="30"/>
      <c r="Q33" s="30"/>
      <c r="R33" s="30"/>
    </row>
    <row r="34" spans="2:18" x14ac:dyDescent="0.15">
      <c r="C34" s="34"/>
      <c r="I34" s="30"/>
      <c r="J34" s="30"/>
      <c r="K34" s="30"/>
      <c r="L34" s="30"/>
      <c r="M34" s="30"/>
      <c r="N34" s="30"/>
      <c r="O34" s="30"/>
      <c r="P34" s="30"/>
      <c r="Q34" s="30"/>
      <c r="R34" s="30"/>
    </row>
    <row r="35" spans="2:18" x14ac:dyDescent="0.15">
      <c r="B35" s="525" t="s">
        <v>31</v>
      </c>
      <c r="C35" s="526"/>
      <c r="D35" s="8"/>
      <c r="E35" s="8"/>
      <c r="F35" s="8"/>
      <c r="G35" s="8"/>
      <c r="H35" s="8"/>
      <c r="I35" s="30"/>
      <c r="J35" s="30"/>
      <c r="K35" s="30"/>
      <c r="L35" s="30"/>
      <c r="M35" s="30"/>
      <c r="N35" s="30"/>
      <c r="O35" s="30"/>
      <c r="P35" s="30"/>
      <c r="Q35" s="30"/>
      <c r="R35" s="30"/>
    </row>
    <row r="36" spans="2:18" x14ac:dyDescent="0.15">
      <c r="C36" s="34" t="s">
        <v>32</v>
      </c>
      <c r="D36" s="6">
        <f>'BS Input'!D53</f>
        <v>190.24</v>
      </c>
      <c r="E36" s="6">
        <f>'BS Input'!E53</f>
        <v>120.8</v>
      </c>
      <c r="F36" s="6">
        <f>'BS Input'!F53</f>
        <v>269.04000000000002</v>
      </c>
      <c r="G36" s="6">
        <f>'BS Input'!G53</f>
        <v>313.3</v>
      </c>
      <c r="H36" s="6">
        <f>'BS Input'!H53</f>
        <v>379.23</v>
      </c>
      <c r="I36" s="32">
        <f>'Revenue Buildup'!H$15*'BS items '!I37</f>
        <v>397.67185756748677</v>
      </c>
      <c r="J36" s="32">
        <f>'Revenue Buildup'!I$15*'BS items '!J37</f>
        <v>475.38252780386256</v>
      </c>
      <c r="K36" s="32">
        <f>'Revenue Buildup'!J$15*'BS items '!K37</f>
        <v>563.19572444944947</v>
      </c>
      <c r="L36" s="32">
        <f>'Revenue Buildup'!K$15*'BS items '!L37</f>
        <v>661.25584105744133</v>
      </c>
      <c r="M36" s="32">
        <f>'Revenue Buildup'!L$15*'BS items '!M37</f>
        <v>769.43537890382129</v>
      </c>
      <c r="N36" s="32">
        <f>'Revenue Buildup'!M$15*'BS items '!N37</f>
        <v>887.29468574453983</v>
      </c>
      <c r="O36" s="32">
        <f>'Revenue Buildup'!N$15*'BS items '!O37</f>
        <v>1014.050540766209</v>
      </c>
      <c r="P36" s="32">
        <f>'Revenue Buildup'!O$15*'BS items '!P37</f>
        <v>1148.5567130846607</v>
      </c>
      <c r="Q36" s="32">
        <f>'Revenue Buildup'!P$15*'BS items '!Q37</f>
        <v>1289.2992025517453</v>
      </c>
      <c r="R36" s="32">
        <f>'Revenue Buildup'!Q$15*'BS items '!R37</f>
        <v>1434.4081788557087</v>
      </c>
    </row>
    <row r="37" spans="2:18" x14ac:dyDescent="0.15">
      <c r="C37" s="112"/>
      <c r="D37" s="17">
        <f>D36/'P&amp;L Input'!C$11</f>
        <v>0.11055515844650941</v>
      </c>
      <c r="E37" s="17">
        <f>E36/'P&amp;L Input'!D$11</f>
        <v>5.5416402888258873E-2</v>
      </c>
      <c r="F37" s="17">
        <f>F36/'P&amp;L Input'!E$11</f>
        <v>0.10516769603627552</v>
      </c>
      <c r="G37" s="17">
        <f>G36/'P&amp;L Input'!F$11</f>
        <v>0.10274691398512417</v>
      </c>
      <c r="H37" s="17">
        <f>H36/'P&amp;L Input'!G$11</f>
        <v>0.10999124084203932</v>
      </c>
      <c r="I37" s="53">
        <f>AVERAGE(D37:H37)</f>
        <v>9.6775482439641458E-2</v>
      </c>
      <c r="J37" s="53">
        <f t="shared" ref="J37:R37" si="17">I37</f>
        <v>9.6775482439641458E-2</v>
      </c>
      <c r="K37" s="53">
        <f t="shared" si="17"/>
        <v>9.6775482439641458E-2</v>
      </c>
      <c r="L37" s="53">
        <f t="shared" si="17"/>
        <v>9.6775482439641458E-2</v>
      </c>
      <c r="M37" s="53">
        <f t="shared" si="17"/>
        <v>9.6775482439641458E-2</v>
      </c>
      <c r="N37" s="53">
        <f t="shared" si="17"/>
        <v>9.6775482439641458E-2</v>
      </c>
      <c r="O37" s="53">
        <f t="shared" si="17"/>
        <v>9.6775482439641458E-2</v>
      </c>
      <c r="P37" s="53">
        <f t="shared" si="17"/>
        <v>9.6775482439641458E-2</v>
      </c>
      <c r="Q37" s="53">
        <f t="shared" si="17"/>
        <v>9.6775482439641458E-2</v>
      </c>
      <c r="R37" s="53">
        <f t="shared" si="17"/>
        <v>9.6775482439641458E-2</v>
      </c>
    </row>
    <row r="38" spans="2:18" x14ac:dyDescent="0.15">
      <c r="C38" s="171" t="s">
        <v>215</v>
      </c>
      <c r="D38" s="170">
        <f>'BS Input'!D54</f>
        <v>6.86</v>
      </c>
      <c r="E38" s="170">
        <f>'BS Input'!E54</f>
        <v>8.0399999999999991</v>
      </c>
      <c r="F38" s="170">
        <f>'BS Input'!F54</f>
        <v>22.49</v>
      </c>
      <c r="G38" s="170">
        <f>'BS Input'!G54</f>
        <v>21.55</v>
      </c>
      <c r="H38" s="170">
        <f>'BS Input'!H54</f>
        <v>16.39</v>
      </c>
      <c r="I38" s="32">
        <f>'Revenue Buildup'!H$15*'BS items '!I39</f>
        <v>23.247753015582298</v>
      </c>
      <c r="J38" s="32">
        <f>'Revenue Buildup'!I$15*'BS items '!J39</f>
        <v>27.790690701395377</v>
      </c>
      <c r="K38" s="32">
        <f>'Revenue Buildup'!J$15*'BS items '!K39</f>
        <v>32.924218428533869</v>
      </c>
      <c r="L38" s="32">
        <f>'Revenue Buildup'!K$15*'BS items '!L39</f>
        <v>38.656777391912172</v>
      </c>
      <c r="M38" s="32">
        <f>'Revenue Buildup'!L$15*'BS items '!M39</f>
        <v>44.980914062221267</v>
      </c>
      <c r="N38" s="32">
        <f>'Revenue Buildup'!M$15*'BS items '!N39</f>
        <v>51.870926528229802</v>
      </c>
      <c r="O38" s="32">
        <f>'Revenue Buildup'!N$15*'BS items '!O39</f>
        <v>59.281027984359724</v>
      </c>
      <c r="P38" s="32">
        <f>'Revenue Buildup'!O$15*'BS items '!P39</f>
        <v>67.144210187541049</v>
      </c>
      <c r="Q38" s="32">
        <f>'Revenue Buildup'!P$15*'BS items '!Q39</f>
        <v>75.371965236497985</v>
      </c>
      <c r="R38" s="32">
        <f>'Revenue Buildup'!Q$15*'BS items '!R39</f>
        <v>83.854983527240449</v>
      </c>
    </row>
    <row r="39" spans="2:18" x14ac:dyDescent="0.15">
      <c r="C39" s="112"/>
      <c r="D39" s="17">
        <f>D38/'P&amp;L Input'!C$11</f>
        <v>3.9865873998268216E-3</v>
      </c>
      <c r="E39" s="17">
        <f>E38/'P&amp;L Input'!D$11</f>
        <v>3.6883102584569644E-3</v>
      </c>
      <c r="F39" s="17">
        <f>F38/'P&amp;L Input'!E$11</f>
        <v>8.7913376592916887E-3</v>
      </c>
      <c r="G39" s="17">
        <f>G38/'P&amp;L Input'!F$11</f>
        <v>7.0673348112972418E-3</v>
      </c>
      <c r="H39" s="17">
        <f>H38/'P&amp;L Input'!G$11</f>
        <v>4.753728442900151E-3</v>
      </c>
      <c r="I39" s="53">
        <f>AVERAGE(D39:H39)</f>
        <v>5.6574597143545739E-3</v>
      </c>
      <c r="J39" s="53">
        <f t="shared" ref="J39:R39" si="18">I39</f>
        <v>5.6574597143545739E-3</v>
      </c>
      <c r="K39" s="53">
        <f t="shared" si="18"/>
        <v>5.6574597143545739E-3</v>
      </c>
      <c r="L39" s="53">
        <f t="shared" si="18"/>
        <v>5.6574597143545739E-3</v>
      </c>
      <c r="M39" s="53">
        <f t="shared" si="18"/>
        <v>5.6574597143545739E-3</v>
      </c>
      <c r="N39" s="53">
        <f t="shared" si="18"/>
        <v>5.6574597143545739E-3</v>
      </c>
      <c r="O39" s="53">
        <f t="shared" si="18"/>
        <v>5.6574597143545739E-3</v>
      </c>
      <c r="P39" s="53">
        <f t="shared" si="18"/>
        <v>5.6574597143545739E-3</v>
      </c>
      <c r="Q39" s="53">
        <f t="shared" si="18"/>
        <v>5.6574597143545739E-3</v>
      </c>
      <c r="R39" s="53">
        <f t="shared" si="18"/>
        <v>5.6574597143545739E-3</v>
      </c>
    </row>
    <row r="40" spans="2:18" x14ac:dyDescent="0.15">
      <c r="C40" s="34" t="s">
        <v>325</v>
      </c>
      <c r="D40" s="6">
        <f>'BS Input'!D55</f>
        <v>284.32</v>
      </c>
      <c r="E40" s="6">
        <f>'BS Input'!E55</f>
        <v>237.17</v>
      </c>
      <c r="F40" s="6">
        <f>'BS Input'!F55</f>
        <v>276.17</v>
      </c>
      <c r="G40" s="6">
        <f>'BS Input'!G55</f>
        <v>98.81</v>
      </c>
      <c r="H40" s="6">
        <f>'BS Input'!H55</f>
        <v>0.32</v>
      </c>
      <c r="I40" s="32">
        <f>'Revenue Buildup'!H$15*'BS items '!I41</f>
        <v>340.63909829447994</v>
      </c>
      <c r="J40" s="32">
        <f>'Revenue Buildup'!I$15*'BS items '!J41</f>
        <v>407.2047657749514</v>
      </c>
      <c r="K40" s="32">
        <f>'Revenue Buildup'!J$15*'BS items '!K41</f>
        <v>482.42408933151523</v>
      </c>
      <c r="L40" s="32">
        <f>'Revenue Buildup'!K$15*'BS items '!L41</f>
        <v>566.4207540799863</v>
      </c>
      <c r="M40" s="32">
        <f>'Revenue Buildup'!L$15*'BS items '!M41</f>
        <v>659.08554673419314</v>
      </c>
      <c r="N40" s="32">
        <f>'Revenue Buildup'!M$15*'BS items '!N41</f>
        <v>760.04186849508505</v>
      </c>
      <c r="O40" s="32">
        <f>'Revenue Buildup'!N$15*'BS items '!O41</f>
        <v>868.61882544205673</v>
      </c>
      <c r="P40" s="32">
        <f>'Revenue Buildup'!O$15*'BS items '!P41</f>
        <v>983.83457526620361</v>
      </c>
      <c r="Q40" s="32">
        <f>'Revenue Buildup'!P$15*'BS items '!Q41</f>
        <v>1104.3922506245913</v>
      </c>
      <c r="R40" s="32">
        <f>'Revenue Buildup'!Q$15*'BS items '!R41</f>
        <v>1228.6901859750419</v>
      </c>
    </row>
    <row r="41" spans="2:18" x14ac:dyDescent="0.15">
      <c r="C41" s="34"/>
      <c r="D41" s="17">
        <f>D40/'P&amp;L Input'!C$11</f>
        <v>0.16522835707270583</v>
      </c>
      <c r="E41" s="17">
        <f>E40/'P&amp;L Input'!D$11</f>
        <v>0.10880056517391024</v>
      </c>
      <c r="F41" s="17">
        <f>F40/'P&amp;L Input'!E$11</f>
        <v>0.10795481197717147</v>
      </c>
      <c r="G41" s="17">
        <f>G40/'P&amp;L Input'!F$11</f>
        <v>3.2404795949154547E-2</v>
      </c>
      <c r="H41" s="17">
        <f>H40/'P&amp;L Input'!G$11</f>
        <v>9.2812269782065182E-5</v>
      </c>
      <c r="I41" s="53">
        <f>AVERAGE(D41:H41)</f>
        <v>8.2896268488544839E-2</v>
      </c>
      <c r="J41" s="53">
        <f t="shared" ref="J41:R41" si="19">I41</f>
        <v>8.2896268488544839E-2</v>
      </c>
      <c r="K41" s="53">
        <f t="shared" si="19"/>
        <v>8.2896268488544839E-2</v>
      </c>
      <c r="L41" s="53">
        <f t="shared" si="19"/>
        <v>8.2896268488544839E-2</v>
      </c>
      <c r="M41" s="53">
        <f t="shared" si="19"/>
        <v>8.2896268488544839E-2</v>
      </c>
      <c r="N41" s="53">
        <f t="shared" si="19"/>
        <v>8.2896268488544839E-2</v>
      </c>
      <c r="O41" s="53">
        <f t="shared" si="19"/>
        <v>8.2896268488544839E-2</v>
      </c>
      <c r="P41" s="53">
        <f t="shared" si="19"/>
        <v>8.2896268488544839E-2</v>
      </c>
      <c r="Q41" s="53">
        <f t="shared" si="19"/>
        <v>8.2896268488544839E-2</v>
      </c>
      <c r="R41" s="53">
        <f t="shared" si="19"/>
        <v>8.2896268488544839E-2</v>
      </c>
    </row>
    <row r="42" spans="2:18" x14ac:dyDescent="0.15">
      <c r="C42" s="34" t="s">
        <v>33</v>
      </c>
      <c r="D42" s="6">
        <f>'BS Input'!D56</f>
        <v>23.67</v>
      </c>
      <c r="E42" s="6">
        <f>'BS Input'!E56</f>
        <v>27.2</v>
      </c>
      <c r="F42" s="6">
        <f>'BS Input'!F56</f>
        <v>33.57</v>
      </c>
      <c r="G42" s="6">
        <f>'BS Input'!G56</f>
        <v>40.08</v>
      </c>
      <c r="H42" s="6">
        <f>'BS Input'!H56</f>
        <v>51.76</v>
      </c>
      <c r="I42" s="32">
        <f>'Revenue Buildup'!H$15*'BS items '!I43</f>
        <v>55.484747688119214</v>
      </c>
      <c r="J42" s="32">
        <f>'Revenue Buildup'!I$15*'BS items '!J43</f>
        <v>66.327247223073655</v>
      </c>
      <c r="K42" s="32">
        <f>'Revenue Buildup'!J$15*'BS items '!K43</f>
        <v>78.579291130255939</v>
      </c>
      <c r="L42" s="32">
        <f>'Revenue Buildup'!K$15*'BS items '!L43</f>
        <v>92.261025768313999</v>
      </c>
      <c r="M42" s="32">
        <f>'Revenue Buildup'!L$15*'BS items '!M43</f>
        <v>107.35466201187221</v>
      </c>
      <c r="N42" s="32">
        <f>'Revenue Buildup'!M$15*'BS items '!N43</f>
        <v>123.7988578439701</v>
      </c>
      <c r="O42" s="32">
        <f>'Revenue Buildup'!N$15*'BS items '!O43</f>
        <v>141.48433520434781</v>
      </c>
      <c r="P42" s="32">
        <f>'Revenue Buildup'!O$15*'BS items '!P43</f>
        <v>160.25116743440438</v>
      </c>
      <c r="Q42" s="32">
        <f>'Revenue Buildup'!P$15*'BS items '!Q43</f>
        <v>179.88811525577171</v>
      </c>
      <c r="R42" s="32">
        <f>'Revenue Buildup'!Q$15*'BS items '!R43</f>
        <v>200.13429256073812</v>
      </c>
    </row>
    <row r="43" spans="2:18" x14ac:dyDescent="0.15">
      <c r="C43" s="34"/>
      <c r="D43" s="17">
        <f>D42/'P&amp;L Input'!C$11</f>
        <v>1.3755469934970973E-2</v>
      </c>
      <c r="E43" s="17">
        <f>E42/'P&amp;L Input'!D$11</f>
        <v>1.2477865550998687E-2</v>
      </c>
      <c r="F43" s="17">
        <f>F42/'P&amp;L Input'!E$11</f>
        <v>1.3122508013446955E-2</v>
      </c>
      <c r="G43" s="17">
        <f>G42/'P&amp;L Input'!F$11</f>
        <v>1.3144258897299E-2</v>
      </c>
      <c r="H43" s="17">
        <f>H42/'P&amp;L Input'!G$11</f>
        <v>1.5012384637249044E-2</v>
      </c>
      <c r="I43" s="53">
        <f>AVERAGE(D43:H43)</f>
        <v>1.3502497406792931E-2</v>
      </c>
      <c r="J43" s="53">
        <f t="shared" ref="J43:R43" si="20">I43</f>
        <v>1.3502497406792931E-2</v>
      </c>
      <c r="K43" s="53">
        <f t="shared" si="20"/>
        <v>1.3502497406792931E-2</v>
      </c>
      <c r="L43" s="53">
        <f t="shared" si="20"/>
        <v>1.3502497406792931E-2</v>
      </c>
      <c r="M43" s="53">
        <f t="shared" si="20"/>
        <v>1.3502497406792931E-2</v>
      </c>
      <c r="N43" s="53">
        <f t="shared" si="20"/>
        <v>1.3502497406792931E-2</v>
      </c>
      <c r="O43" s="53">
        <f t="shared" si="20"/>
        <v>1.3502497406792931E-2</v>
      </c>
      <c r="P43" s="53">
        <f t="shared" si="20"/>
        <v>1.3502497406792931E-2</v>
      </c>
      <c r="Q43" s="53">
        <f t="shared" si="20"/>
        <v>1.3502497406792931E-2</v>
      </c>
      <c r="R43" s="53">
        <f t="shared" si="20"/>
        <v>1.3502497406792931E-2</v>
      </c>
    </row>
    <row r="44" spans="2:18" x14ac:dyDescent="0.15">
      <c r="C44" s="34" t="s">
        <v>248</v>
      </c>
      <c r="D44" s="6">
        <f>'BS Input'!D57</f>
        <v>18.309999999999999</v>
      </c>
      <c r="E44" s="6">
        <f>'BS Input'!E57</f>
        <v>21.24</v>
      </c>
      <c r="F44" s="6">
        <f>'BS Input'!F57</f>
        <v>29.61</v>
      </c>
      <c r="G44" s="6">
        <f>'BS Input'!G57</f>
        <v>33.54</v>
      </c>
      <c r="H44" s="6">
        <f>'BS Input'!H57</f>
        <v>13.39</v>
      </c>
      <c r="I44" s="32">
        <f>'Revenue Buildup'!H$15*'BS items '!I45</f>
        <v>38.496786583930628</v>
      </c>
      <c r="J44" s="32">
        <f>'Revenue Buildup'!I$15*'BS items '!J45</f>
        <v>46.019599753771992</v>
      </c>
      <c r="K44" s="32">
        <f>'Revenue Buildup'!J$15*'BS items '!K45</f>
        <v>54.520392118603091</v>
      </c>
      <c r="L44" s="32">
        <f>'Revenue Buildup'!K$15*'BS items '!L45</f>
        <v>64.013141755312247</v>
      </c>
      <c r="M44" s="32">
        <f>'Revenue Buildup'!L$15*'BS items '!M45</f>
        <v>74.48550609784958</v>
      </c>
      <c r="N44" s="32">
        <f>'Revenue Buildup'!M$15*'BS items '!N45</f>
        <v>85.894924431172683</v>
      </c>
      <c r="O44" s="32">
        <f>'Revenue Buildup'!N$15*'BS items '!O45</f>
        <v>98.165576744568398</v>
      </c>
      <c r="P44" s="32">
        <f>'Revenue Buildup'!O$15*'BS items '!P45</f>
        <v>111.18650168916571</v>
      </c>
      <c r="Q44" s="32">
        <f>'Revenue Buildup'!P$15*'BS items '!Q45</f>
        <v>124.81113586229417</v>
      </c>
      <c r="R44" s="32">
        <f>'Revenue Buildup'!Q$15*'BS items '!R45</f>
        <v>138.85846957697203</v>
      </c>
    </row>
    <row r="45" spans="2:18" x14ac:dyDescent="0.15">
      <c r="C45" s="34"/>
      <c r="D45" s="17">
        <f>D44/'P&amp;L Input'!C$11</f>
        <v>1.0640585319362843E-2</v>
      </c>
      <c r="E45" s="17">
        <f>E44/'P&amp;L Input'!D$11</f>
        <v>9.7437450111475029E-3</v>
      </c>
      <c r="F45" s="17">
        <f>F44/'P&amp;L Input'!E$11</f>
        <v>1.1574544601673053E-2</v>
      </c>
      <c r="G45" s="17">
        <f>G44/'P&amp;L Input'!F$11</f>
        <v>1.0999462161063085E-2</v>
      </c>
      <c r="H45" s="17">
        <f>H44/'P&amp;L Input'!G$11</f>
        <v>3.8836134136932903E-3</v>
      </c>
      <c r="I45" s="53">
        <f>AVERAGE(D45:H45)</f>
        <v>9.3683901013879543E-3</v>
      </c>
      <c r="J45" s="53">
        <f t="shared" ref="J45:R45" si="21">I45</f>
        <v>9.3683901013879543E-3</v>
      </c>
      <c r="K45" s="53">
        <f t="shared" si="21"/>
        <v>9.3683901013879543E-3</v>
      </c>
      <c r="L45" s="53">
        <f t="shared" si="21"/>
        <v>9.3683901013879543E-3</v>
      </c>
      <c r="M45" s="53">
        <f t="shared" si="21"/>
        <v>9.3683901013879543E-3</v>
      </c>
      <c r="N45" s="53">
        <f t="shared" si="21"/>
        <v>9.3683901013879543E-3</v>
      </c>
      <c r="O45" s="53">
        <f t="shared" si="21"/>
        <v>9.3683901013879543E-3</v>
      </c>
      <c r="P45" s="53">
        <f t="shared" si="21"/>
        <v>9.3683901013879543E-3</v>
      </c>
      <c r="Q45" s="53">
        <f t="shared" si="21"/>
        <v>9.3683901013879543E-3</v>
      </c>
      <c r="R45" s="53">
        <f t="shared" si="21"/>
        <v>9.3683901013879543E-3</v>
      </c>
    </row>
    <row r="46" spans="2:18" x14ac:dyDescent="0.15">
      <c r="C46" s="34"/>
      <c r="D46" s="17"/>
      <c r="E46" s="17"/>
      <c r="F46" s="17"/>
      <c r="G46" s="17"/>
      <c r="H46" s="17"/>
      <c r="I46" s="32"/>
      <c r="J46" s="32"/>
      <c r="K46" s="32"/>
      <c r="L46" s="32"/>
      <c r="M46" s="32"/>
      <c r="N46" s="32"/>
      <c r="O46" s="32"/>
      <c r="P46" s="32"/>
      <c r="Q46" s="32"/>
      <c r="R46" s="32"/>
    </row>
    <row r="47" spans="2:18" x14ac:dyDescent="0.15">
      <c r="B47" s="525" t="s">
        <v>382</v>
      </c>
      <c r="C47" s="526"/>
      <c r="D47" s="8"/>
      <c r="E47" s="8"/>
      <c r="F47" s="8"/>
      <c r="G47" s="8"/>
      <c r="H47" s="8"/>
      <c r="I47" s="30"/>
      <c r="J47" s="30"/>
      <c r="K47" s="30"/>
      <c r="L47" s="30"/>
      <c r="M47" s="30"/>
      <c r="N47" s="30"/>
      <c r="O47" s="30"/>
      <c r="P47" s="30"/>
      <c r="Q47" s="30"/>
      <c r="R47" s="30"/>
    </row>
    <row r="48" spans="2:18" x14ac:dyDescent="0.15">
      <c r="C48" s="34" t="s">
        <v>32</v>
      </c>
      <c r="D48" s="6">
        <f>'BS Input'!D63</f>
        <v>69.98</v>
      </c>
      <c r="E48" s="6">
        <f>'BS Input'!E63</f>
        <v>69.459999999999994</v>
      </c>
      <c r="F48" s="6">
        <f>'BS Input'!F63</f>
        <v>102.63</v>
      </c>
      <c r="G48" s="6">
        <f>'BS Input'!G63</f>
        <v>173.25</v>
      </c>
      <c r="H48" s="6">
        <f>'BS Input'!H63</f>
        <v>175.94</v>
      </c>
      <c r="I48" s="32">
        <f>'Revenue Buildup'!H$15*'BS items '!I49</f>
        <v>181.21427397108235</v>
      </c>
      <c r="J48" s="32">
        <f>'Revenue Buildup'!I$15*'BS items '!J49</f>
        <v>216.62609006697292</v>
      </c>
      <c r="K48" s="32">
        <f>'Revenue Buildup'!J$15*'BS items '!K49</f>
        <v>256.64150572285547</v>
      </c>
      <c r="L48" s="32">
        <f>'Revenue Buildup'!K$15*'BS items '!L49</f>
        <v>301.32631934113192</v>
      </c>
      <c r="M48" s="32">
        <f>'Revenue Buildup'!L$15*'BS items '!M49</f>
        <v>350.62243128949154</v>
      </c>
      <c r="N48" s="32">
        <f>'Revenue Buildup'!M$15*'BS items '!N49</f>
        <v>404.32949733766247</v>
      </c>
      <c r="O48" s="32">
        <f>'Revenue Buildup'!N$15*'BS items '!O49</f>
        <v>462.09061319796058</v>
      </c>
      <c r="P48" s="32">
        <f>'Revenue Buildup'!O$15*'BS items '!P49</f>
        <v>523.38345526733201</v>
      </c>
      <c r="Q48" s="32">
        <f>'Revenue Buildup'!P$15*'BS items '!Q49</f>
        <v>587.5181119203545</v>
      </c>
      <c r="R48" s="32">
        <f>'Revenue Buildup'!Q$15*'BS items '!R49</f>
        <v>653.64252401342594</v>
      </c>
    </row>
    <row r="49" spans="3:18" x14ac:dyDescent="0.15">
      <c r="C49" s="34"/>
      <c r="D49" s="17">
        <f>D48/'P&amp;L Input'!C$11</f>
        <v>4.0667840559749417E-2</v>
      </c>
      <c r="E49" s="17">
        <f>E48/'P&amp;L Input'!D$11</f>
        <v>3.186443166074885E-2</v>
      </c>
      <c r="F49" s="17">
        <f>F48/'P&amp;L Input'!E$11</f>
        <v>4.0118051755140334E-2</v>
      </c>
      <c r="G49" s="17">
        <f>G48/'P&amp;L Input'!F$11</f>
        <v>5.6817436475974342E-2</v>
      </c>
      <c r="H49" s="17">
        <f>H48/'P&amp;L Input'!G$11</f>
        <v>5.1029346079551716E-2</v>
      </c>
      <c r="I49" s="53">
        <f>AVERAGE(D49:H49)</f>
        <v>4.4099421306232935E-2</v>
      </c>
      <c r="J49" s="53">
        <f t="shared" ref="J49:R49" si="22">I49</f>
        <v>4.4099421306232935E-2</v>
      </c>
      <c r="K49" s="53">
        <f t="shared" si="22"/>
        <v>4.4099421306232935E-2</v>
      </c>
      <c r="L49" s="53">
        <f t="shared" si="22"/>
        <v>4.4099421306232935E-2</v>
      </c>
      <c r="M49" s="53">
        <f t="shared" si="22"/>
        <v>4.4099421306232935E-2</v>
      </c>
      <c r="N49" s="53">
        <f t="shared" si="22"/>
        <v>4.4099421306232935E-2</v>
      </c>
      <c r="O49" s="53">
        <f t="shared" si="22"/>
        <v>4.4099421306232935E-2</v>
      </c>
      <c r="P49" s="53">
        <f t="shared" si="22"/>
        <v>4.4099421306232935E-2</v>
      </c>
      <c r="Q49" s="53">
        <f t="shared" si="22"/>
        <v>4.4099421306232935E-2</v>
      </c>
      <c r="R49" s="53">
        <f t="shared" si="22"/>
        <v>4.4099421306232935E-2</v>
      </c>
    </row>
    <row r="50" spans="3:18" x14ac:dyDescent="0.15">
      <c r="C50" s="34" t="s">
        <v>215</v>
      </c>
      <c r="D50" s="170">
        <f>'BS Input'!D64</f>
        <v>5.97</v>
      </c>
      <c r="E50" s="170">
        <f>'BS Input'!E64</f>
        <v>4.53</v>
      </c>
      <c r="F50" s="170">
        <f>'BS Input'!F64</f>
        <v>10.07</v>
      </c>
      <c r="G50" s="170">
        <f>'BS Input'!G64</f>
        <v>10.86</v>
      </c>
      <c r="H50" s="170">
        <f>'BS Input'!H64</f>
        <v>11.57</v>
      </c>
      <c r="I50" s="32">
        <f>'Revenue Buildup'!H$15*'BS items '!I51</f>
        <v>13.479182650924942</v>
      </c>
      <c r="J50" s="32">
        <f>'Revenue Buildup'!I$15*'BS items '!J51</f>
        <v>16.113204390479755</v>
      </c>
      <c r="K50" s="32">
        <f>'Revenue Buildup'!J$15*'BS items '!K51</f>
        <v>19.089653677054137</v>
      </c>
      <c r="L50" s="32">
        <f>'Revenue Buildup'!K$15*'BS items '!L51</f>
        <v>22.413424764641874</v>
      </c>
      <c r="M50" s="32">
        <f>'Revenue Buildup'!L$15*'BS items '!M51</f>
        <v>26.080196053521785</v>
      </c>
      <c r="N50" s="32">
        <f>'Revenue Buildup'!M$15*'BS items '!N51</f>
        <v>30.075065425810347</v>
      </c>
      <c r="O50" s="32">
        <f>'Revenue Buildup'!N$15*'BS items '!O51</f>
        <v>34.371485424857653</v>
      </c>
      <c r="P50" s="32">
        <f>'Revenue Buildup'!O$15*'BS items '!P51</f>
        <v>38.930604280909755</v>
      </c>
      <c r="Q50" s="32">
        <f>'Revenue Buildup'!P$15*'BS items '!Q51</f>
        <v>43.701104597117741</v>
      </c>
      <c r="R50" s="32">
        <f>'Revenue Buildup'!Q$15*'BS items '!R51</f>
        <v>48.619608028198293</v>
      </c>
    </row>
    <row r="51" spans="3:18" x14ac:dyDescent="0.15">
      <c r="C51" s="34"/>
      <c r="D51" s="17">
        <f>D50/'P&amp;L Input'!C$11</f>
        <v>3.4693770811903973E-3</v>
      </c>
      <c r="E51" s="17">
        <f>E50/'P&amp;L Input'!D$11</f>
        <v>2.0781151083097082E-3</v>
      </c>
      <c r="F51" s="17">
        <f>F50/'P&amp;L Input'!E$11</f>
        <v>3.936361504182629E-3</v>
      </c>
      <c r="G51" s="17">
        <f>G50/'P&amp;L Input'!F$11</f>
        <v>3.5615432042082618E-3</v>
      </c>
      <c r="H51" s="17">
        <f>H50/'P&amp;L Input'!G$11</f>
        <v>3.3557436293077943E-3</v>
      </c>
      <c r="I51" s="53">
        <f>AVERAGE(D51:H51)</f>
        <v>3.2802281054397581E-3</v>
      </c>
      <c r="J51" s="53">
        <f t="shared" ref="J51:R51" si="23">I51</f>
        <v>3.2802281054397581E-3</v>
      </c>
      <c r="K51" s="53">
        <f t="shared" si="23"/>
        <v>3.2802281054397581E-3</v>
      </c>
      <c r="L51" s="53">
        <f t="shared" si="23"/>
        <v>3.2802281054397581E-3</v>
      </c>
      <c r="M51" s="53">
        <f t="shared" si="23"/>
        <v>3.2802281054397581E-3</v>
      </c>
      <c r="N51" s="53">
        <f t="shared" si="23"/>
        <v>3.2802281054397581E-3</v>
      </c>
      <c r="O51" s="53">
        <f t="shared" si="23"/>
        <v>3.2802281054397581E-3</v>
      </c>
      <c r="P51" s="53">
        <f t="shared" si="23"/>
        <v>3.2802281054397581E-3</v>
      </c>
      <c r="Q51" s="53">
        <f t="shared" si="23"/>
        <v>3.2802281054397581E-3</v>
      </c>
      <c r="R51" s="53">
        <f t="shared" si="23"/>
        <v>3.2802281054397581E-3</v>
      </c>
    </row>
    <row r="52" spans="3:18" x14ac:dyDescent="0.15">
      <c r="C52" s="34" t="s">
        <v>34</v>
      </c>
      <c r="D52" s="170">
        <f>'BS Input'!D66</f>
        <v>426.94</v>
      </c>
      <c r="E52" s="170">
        <f>'BS Input'!E66</f>
        <v>518.71</v>
      </c>
      <c r="F52" s="170">
        <f>'BS Input'!F66</f>
        <v>203.21</v>
      </c>
      <c r="G52" s="170">
        <f>'BS Input'!G66</f>
        <v>458.96</v>
      </c>
      <c r="H52" s="170">
        <f>'BS Input'!H66</f>
        <v>180.5</v>
      </c>
      <c r="I52" s="32">
        <f>'Revenue Buildup'!H$15*'BS items '!I53</f>
        <v>631.47911717310831</v>
      </c>
      <c r="J52" s="32">
        <f>'Revenue Buildup'!I$15*'BS items '!J53</f>
        <v>754.87901209141853</v>
      </c>
      <c r="K52" s="32">
        <f>'Revenue Buildup'!J$15*'BS items '!K53</f>
        <v>894.321114515006</v>
      </c>
      <c r="L52" s="32">
        <f>'Revenue Buildup'!K$15*'BS items '!L53</f>
        <v>1050.0347127672992</v>
      </c>
      <c r="M52" s="32">
        <f>'Revenue Buildup'!L$15*'BS items '!M53</f>
        <v>1221.8173465027874</v>
      </c>
      <c r="N52" s="32">
        <f>'Revenue Buildup'!M$15*'BS items '!N53</f>
        <v>1408.9708742622445</v>
      </c>
      <c r="O52" s="32">
        <f>'Revenue Buildup'!N$15*'BS items '!O53</f>
        <v>1610.2515882539867</v>
      </c>
      <c r="P52" s="32">
        <f>'Revenue Buildup'!O$15*'BS items '!P53</f>
        <v>1823.8393424127671</v>
      </c>
      <c r="Q52" s="32">
        <f>'Revenue Buildup'!P$15*'BS items '!Q53</f>
        <v>2047.329995085712</v>
      </c>
      <c r="R52" s="32">
        <f>'Revenue Buildup'!Q$15*'BS items '!R53</f>
        <v>2277.7543676094069</v>
      </c>
    </row>
    <row r="53" spans="3:18" x14ac:dyDescent="0.15">
      <c r="C53" s="34"/>
      <c r="D53" s="17">
        <f>D52/'P&amp;L Input'!C$11</f>
        <v>0.24810985779621914</v>
      </c>
      <c r="E53" s="17">
        <f>E52/'P&amp;L Input'!D$11</f>
        <v>0.23795564852788711</v>
      </c>
      <c r="F53" s="17">
        <f>F52/'P&amp;L Input'!E$11</f>
        <v>7.9434758814791659E-2</v>
      </c>
      <c r="G53" s="17">
        <f>G52/'P&amp;L Input'!F$11</f>
        <v>0.15051619419921031</v>
      </c>
      <c r="H53" s="17">
        <f>H52/'P&amp;L Input'!G$11</f>
        <v>5.2351920923946145E-2</v>
      </c>
      <c r="I53" s="53">
        <f>AVERAGE(D53:H53)</f>
        <v>0.15367367605241086</v>
      </c>
      <c r="J53" s="53">
        <f t="shared" ref="J53:R53" si="24">I53</f>
        <v>0.15367367605241086</v>
      </c>
      <c r="K53" s="53">
        <f t="shared" si="24"/>
        <v>0.15367367605241086</v>
      </c>
      <c r="L53" s="53">
        <f t="shared" si="24"/>
        <v>0.15367367605241086</v>
      </c>
      <c r="M53" s="53">
        <f t="shared" si="24"/>
        <v>0.15367367605241086</v>
      </c>
      <c r="N53" s="53">
        <f t="shared" si="24"/>
        <v>0.15367367605241086</v>
      </c>
      <c r="O53" s="53">
        <f t="shared" si="24"/>
        <v>0.15367367605241086</v>
      </c>
      <c r="P53" s="53">
        <f t="shared" si="24"/>
        <v>0.15367367605241086</v>
      </c>
      <c r="Q53" s="53">
        <f t="shared" si="24"/>
        <v>0.15367367605241086</v>
      </c>
      <c r="R53" s="53">
        <f t="shared" si="24"/>
        <v>0.15367367605241086</v>
      </c>
    </row>
    <row r="54" spans="3:18" x14ac:dyDescent="0.15">
      <c r="C54" s="245" t="s">
        <v>299</v>
      </c>
      <c r="D54" s="221">
        <f>'BS Input'!D67</f>
        <v>0</v>
      </c>
      <c r="E54" s="221">
        <f>'BS Input'!E67</f>
        <v>0</v>
      </c>
      <c r="F54" s="221">
        <f>'BS Input'!F67</f>
        <v>59.27</v>
      </c>
      <c r="G54" s="221">
        <f>'BS Input'!G67</f>
        <v>73.489999999999995</v>
      </c>
      <c r="H54" s="221">
        <f>'BS Input'!H67</f>
        <v>109.18</v>
      </c>
      <c r="I54" s="32">
        <f>'Revenue Buildup'!H$15*'BS items '!I55</f>
        <v>64.873184605726848</v>
      </c>
      <c r="J54" s="32">
        <f>'Revenue Buildup'!I$15*'BS items '!J55</f>
        <v>77.550316668620255</v>
      </c>
      <c r="K54" s="32">
        <f>'Revenue Buildup'!J$15*'BS items '!K55</f>
        <v>91.87549862052991</v>
      </c>
      <c r="L54" s="32">
        <f>'Revenue Buildup'!K$15*'BS items '!L55</f>
        <v>107.87228573561961</v>
      </c>
      <c r="M54" s="32">
        <f>'Revenue Buildup'!L$15*'BS items '!M55</f>
        <v>125.51987883460937</v>
      </c>
      <c r="N54" s="32">
        <f>'Revenue Buildup'!M$15*'BS items '!N55</f>
        <v>144.74655636957522</v>
      </c>
      <c r="O54" s="32">
        <f>'Revenue Buildup'!N$15*'BS items '!O55</f>
        <v>165.42454960997446</v>
      </c>
      <c r="P54" s="32">
        <f>'Revenue Buildup'!O$15*'BS items '!P55</f>
        <v>187.36687110287468</v>
      </c>
      <c r="Q54" s="32">
        <f>'Revenue Buildup'!P$15*'BS items '!Q55</f>
        <v>210.32653829410475</v>
      </c>
      <c r="R54" s="32">
        <f>'Revenue Buildup'!Q$15*'BS items '!R55</f>
        <v>233.99852118295556</v>
      </c>
    </row>
    <row r="55" spans="3:18" x14ac:dyDescent="0.15">
      <c r="C55" s="245"/>
      <c r="D55" s="17">
        <f>D54/'P&amp;L Input'!C$11</f>
        <v>0</v>
      </c>
      <c r="E55" s="17">
        <f>E54/'P&amp;L Input'!D$11</f>
        <v>0</v>
      </c>
      <c r="F55" s="17">
        <f>F54/'P&amp;L Input'!E$11</f>
        <v>2.3168634195919007E-2</v>
      </c>
      <c r="G55" s="17">
        <f>G54/'P&amp;L Input'!F$11</f>
        <v>2.4101087484094397E-2</v>
      </c>
      <c r="H55" s="17">
        <f>H54/'P&amp;L Input'!G$11</f>
        <v>3.1666386296268369E-2</v>
      </c>
      <c r="I55" s="53">
        <f>AVERAGE(D55:H55)</f>
        <v>1.5787221595256355E-2</v>
      </c>
      <c r="J55" s="53">
        <f t="shared" ref="J55:R55" si="25">I55</f>
        <v>1.5787221595256355E-2</v>
      </c>
      <c r="K55" s="53">
        <f t="shared" si="25"/>
        <v>1.5787221595256355E-2</v>
      </c>
      <c r="L55" s="53">
        <f t="shared" si="25"/>
        <v>1.5787221595256355E-2</v>
      </c>
      <c r="M55" s="53">
        <f t="shared" si="25"/>
        <v>1.5787221595256355E-2</v>
      </c>
      <c r="N55" s="53">
        <f t="shared" si="25"/>
        <v>1.5787221595256355E-2</v>
      </c>
      <c r="O55" s="53">
        <f t="shared" si="25"/>
        <v>1.5787221595256355E-2</v>
      </c>
      <c r="P55" s="53">
        <f t="shared" si="25"/>
        <v>1.5787221595256355E-2</v>
      </c>
      <c r="Q55" s="53">
        <f t="shared" si="25"/>
        <v>1.5787221595256355E-2</v>
      </c>
      <c r="R55" s="53">
        <f t="shared" si="25"/>
        <v>1.5787221595256355E-2</v>
      </c>
    </row>
    <row r="56" spans="3:18" x14ac:dyDescent="0.15">
      <c r="C56" s="245" t="s">
        <v>300</v>
      </c>
      <c r="D56" s="221">
        <f>'BS Input'!D68</f>
        <v>132.19</v>
      </c>
      <c r="E56" s="221">
        <f>'BS Input'!E68</f>
        <v>136</v>
      </c>
      <c r="F56" s="221">
        <f>'BS Input'!F68</f>
        <v>82.23</v>
      </c>
      <c r="G56" s="221">
        <f>'BS Input'!G68</f>
        <v>91.43</v>
      </c>
      <c r="H56" s="221">
        <f>'BS Input'!H68</f>
        <v>125.4</v>
      </c>
      <c r="I56" s="32">
        <f>'Revenue Buildup'!H$15*'BS items '!I57</f>
        <v>195.3594505280779</v>
      </c>
      <c r="J56" s="32">
        <f>'Revenue Buildup'!I$15*'BS items '!J57</f>
        <v>233.53543293329665</v>
      </c>
      <c r="K56" s="32">
        <f>'Revenue Buildup'!J$15*'BS items '!K57</f>
        <v>276.67436147285167</v>
      </c>
      <c r="L56" s="32">
        <f>'Revenue Buildup'!K$15*'BS items '!L57</f>
        <v>324.84717062368657</v>
      </c>
      <c r="M56" s="32">
        <f>'Revenue Buildup'!L$15*'BS items '!M57</f>
        <v>377.99122562753774</v>
      </c>
      <c r="N56" s="32">
        <f>'Revenue Buildup'!M$15*'BS items '!N57</f>
        <v>435.89054383643429</v>
      </c>
      <c r="O56" s="32">
        <f>'Revenue Buildup'!N$15*'BS items '!O57</f>
        <v>498.16036182084531</v>
      </c>
      <c r="P56" s="32">
        <f>'Revenue Buildup'!O$15*'BS items '!P57</f>
        <v>564.23758457807389</v>
      </c>
      <c r="Q56" s="32">
        <f>'Revenue Buildup'!P$15*'BS items '!Q57</f>
        <v>633.37844754089326</v>
      </c>
      <c r="R56" s="32">
        <f>'Revenue Buildup'!Q$15*'BS items '!R57</f>
        <v>704.66438175519284</v>
      </c>
    </row>
    <row r="57" spans="3:18" x14ac:dyDescent="0.15">
      <c r="C57" s="245"/>
      <c r="D57" s="17">
        <f>D56/'P&amp;L Input'!C$11</f>
        <v>7.6820260697245998E-2</v>
      </c>
      <c r="E57" s="17">
        <f>E56/'P&amp;L Input'!D$11</f>
        <v>6.2389327754993437E-2</v>
      </c>
      <c r="F57" s="17">
        <f>F56/'P&amp;L Input'!E$11</f>
        <v>3.2143694785395985E-2</v>
      </c>
      <c r="G57" s="17">
        <f>G56/'P&amp;L Input'!F$11</f>
        <v>2.9984520733035123E-2</v>
      </c>
      <c r="H57" s="17">
        <f>H56/'P&amp;L Input'!G$11</f>
        <v>3.6370808220846797E-2</v>
      </c>
      <c r="I57" s="53">
        <f>AVERAGE(D57:H57)</f>
        <v>4.7541722438303471E-2</v>
      </c>
      <c r="J57" s="53">
        <f t="shared" ref="J57:R57" si="26">I57</f>
        <v>4.7541722438303471E-2</v>
      </c>
      <c r="K57" s="53">
        <f t="shared" si="26"/>
        <v>4.7541722438303471E-2</v>
      </c>
      <c r="L57" s="53">
        <f t="shared" si="26"/>
        <v>4.7541722438303471E-2</v>
      </c>
      <c r="M57" s="53">
        <f t="shared" si="26"/>
        <v>4.7541722438303471E-2</v>
      </c>
      <c r="N57" s="53">
        <f t="shared" si="26"/>
        <v>4.7541722438303471E-2</v>
      </c>
      <c r="O57" s="53">
        <f t="shared" si="26"/>
        <v>4.7541722438303471E-2</v>
      </c>
      <c r="P57" s="53">
        <f t="shared" si="26"/>
        <v>4.7541722438303471E-2</v>
      </c>
      <c r="Q57" s="53">
        <f t="shared" si="26"/>
        <v>4.7541722438303471E-2</v>
      </c>
      <c r="R57" s="53">
        <f t="shared" si="26"/>
        <v>4.7541722438303471E-2</v>
      </c>
    </row>
    <row r="58" spans="3:18" x14ac:dyDescent="0.15">
      <c r="C58" s="245" t="s">
        <v>33</v>
      </c>
      <c r="D58" s="221">
        <f>'BS Input'!D69</f>
        <v>23.23</v>
      </c>
      <c r="E58" s="221">
        <f>'BS Input'!E69</f>
        <v>27.8</v>
      </c>
      <c r="F58" s="221">
        <f>'BS Input'!F69</f>
        <v>33.24</v>
      </c>
      <c r="G58" s="221">
        <f>'BS Input'!G69</f>
        <v>32.19</v>
      </c>
      <c r="H58" s="221">
        <f>'BS Input'!H69</f>
        <v>39.5</v>
      </c>
      <c r="I58" s="32">
        <f>'Revenue Buildup'!H$15*'BS items '!I59</f>
        <v>50.345879432355837</v>
      </c>
      <c r="J58" s="32">
        <f>'Revenue Buildup'!I$15*'BS items '!J59</f>
        <v>60.184171883473482</v>
      </c>
      <c r="K58" s="32">
        <f>'Revenue Buildup'!J$15*'BS items '!K59</f>
        <v>71.301459986110217</v>
      </c>
      <c r="L58" s="32">
        <f>'Revenue Buildup'!K$15*'BS items '!L59</f>
        <v>83.716024190042845</v>
      </c>
      <c r="M58" s="32">
        <f>'Revenue Buildup'!L$15*'BS items '!M59</f>
        <v>97.411722957304846</v>
      </c>
      <c r="N58" s="32">
        <f>'Revenue Buildup'!M$15*'BS items '!N59</f>
        <v>112.33289562584568</v>
      </c>
      <c r="O58" s="32">
        <f>'Revenue Buildup'!N$15*'BS items '!O59</f>
        <v>128.38038521513133</v>
      </c>
      <c r="P58" s="32">
        <f>'Revenue Buildup'!O$15*'BS items '!P59</f>
        <v>145.40907710164041</v>
      </c>
      <c r="Q58" s="32">
        <f>'Revenue Buildup'!P$15*'BS items '!Q59</f>
        <v>163.22729649755769</v>
      </c>
      <c r="R58" s="32">
        <f>'Revenue Buildup'!Q$15*'BS items '!R59</f>
        <v>181.59831995956398</v>
      </c>
    </row>
    <row r="59" spans="3:18" x14ac:dyDescent="0.15">
      <c r="C59" s="245"/>
      <c r="D59" s="17">
        <f>D58/'P&amp;L Input'!C$11</f>
        <v>1.3499770451600156E-2</v>
      </c>
      <c r="E59" s="17">
        <f>E58/'P&amp;L Input'!D$11</f>
        <v>1.2753112585211893E-2</v>
      </c>
      <c r="F59" s="17">
        <f>F58/'P&amp;L Input'!E$11</f>
        <v>1.2993511062465797E-2</v>
      </c>
      <c r="G59" s="17">
        <f>G58/'P&amp;L Input'!F$11</f>
        <v>1.0556728889821726E-2</v>
      </c>
      <c r="H59" s="17">
        <f>H58/'P&amp;L Input'!G$11</f>
        <v>1.1456514551223672E-2</v>
      </c>
      <c r="I59" s="53">
        <f>AVERAGE(D59:H59)</f>
        <v>1.2251927508064649E-2</v>
      </c>
      <c r="J59" s="53">
        <f t="shared" ref="J59:R59" si="27">I59</f>
        <v>1.2251927508064649E-2</v>
      </c>
      <c r="K59" s="53">
        <f t="shared" si="27"/>
        <v>1.2251927508064649E-2</v>
      </c>
      <c r="L59" s="53">
        <f t="shared" si="27"/>
        <v>1.2251927508064649E-2</v>
      </c>
      <c r="M59" s="53">
        <f t="shared" si="27"/>
        <v>1.2251927508064649E-2</v>
      </c>
      <c r="N59" s="53">
        <f t="shared" si="27"/>
        <v>1.2251927508064649E-2</v>
      </c>
      <c r="O59" s="53">
        <f t="shared" si="27"/>
        <v>1.2251927508064649E-2</v>
      </c>
      <c r="P59" s="53">
        <f t="shared" si="27"/>
        <v>1.2251927508064649E-2</v>
      </c>
      <c r="Q59" s="53">
        <f t="shared" si="27"/>
        <v>1.2251927508064649E-2</v>
      </c>
      <c r="R59" s="53">
        <f t="shared" si="27"/>
        <v>1.2251927508064649E-2</v>
      </c>
    </row>
    <row r="60" spans="3:18" x14ac:dyDescent="0.15">
      <c r="C60" s="245" t="s">
        <v>383</v>
      </c>
      <c r="D60" s="221">
        <f>'BS Input'!D70</f>
        <v>42.78</v>
      </c>
      <c r="E60" s="221">
        <f>'BS Input'!E70</f>
        <v>62.25</v>
      </c>
      <c r="F60" s="221">
        <f>'BS Input'!F70</f>
        <v>61.92</v>
      </c>
      <c r="G60" s="221">
        <f>'BS Input'!G70</f>
        <v>29.85</v>
      </c>
      <c r="H60" s="221">
        <f>'BS Input'!H70</f>
        <v>40.369999999999997</v>
      </c>
      <c r="I60" s="32">
        <f>'Revenue Buildup'!H$15*'BS items '!I61</f>
        <v>81.461638986004928</v>
      </c>
      <c r="J60" s="32">
        <f>'Revenue Buildup'!I$15*'BS items '!J61</f>
        <v>97.380388185102618</v>
      </c>
      <c r="K60" s="32">
        <f>'Revenue Buildup'!J$15*'BS items '!K61</f>
        <v>115.36860331077541</v>
      </c>
      <c r="L60" s="32">
        <f>'Revenue Buildup'!K$15*'BS items '!L61</f>
        <v>135.4558628591586</v>
      </c>
      <c r="M60" s="32">
        <f>'Revenue Buildup'!L$15*'BS items '!M61</f>
        <v>157.61604917865228</v>
      </c>
      <c r="N60" s="32">
        <f>'Revenue Buildup'!M$15*'BS items '!N61</f>
        <v>181.75910110022321</v>
      </c>
      <c r="O60" s="32">
        <f>'Revenue Buildup'!N$15*'BS items '!O61</f>
        <v>207.72457867839273</v>
      </c>
      <c r="P60" s="32">
        <f>'Revenue Buildup'!O$15*'BS items '!P61</f>
        <v>235.27768067011621</v>
      </c>
      <c r="Q60" s="32">
        <f>'Revenue Buildup'!P$15*'BS items '!Q61</f>
        <v>264.10826963130148</v>
      </c>
      <c r="R60" s="32">
        <f>'Revenue Buildup'!Q$15*'BS items '!R61</f>
        <v>293.83331759825796</v>
      </c>
    </row>
    <row r="61" spans="3:18" x14ac:dyDescent="0.15">
      <c r="C61" s="246"/>
      <c r="D61" s="17">
        <f>D60/'P&amp;L Input'!C$11</f>
        <v>2.4860963405917119E-2</v>
      </c>
      <c r="E61" s="17">
        <f>E60/'P&amp;L Input'!D$11</f>
        <v>2.8556879799620159E-2</v>
      </c>
      <c r="F61" s="17">
        <f>F60/'P&amp;L Input'!E$11</f>
        <v>2.4204518802282856E-2</v>
      </c>
      <c r="G61" s="17">
        <f>G60/'P&amp;L Input'!F$11</f>
        <v>9.7893245530033726E-3</v>
      </c>
      <c r="H61" s="17">
        <f>H60/'P&amp;L Input'!G$11</f>
        <v>1.170884790969366E-2</v>
      </c>
      <c r="I61" s="53">
        <f>AVERAGE(D61:H61)</f>
        <v>1.9824106894103431E-2</v>
      </c>
      <c r="J61" s="53">
        <f t="shared" ref="J61:R61" si="28">I61</f>
        <v>1.9824106894103431E-2</v>
      </c>
      <c r="K61" s="53">
        <f t="shared" si="28"/>
        <v>1.9824106894103431E-2</v>
      </c>
      <c r="L61" s="53">
        <f t="shared" si="28"/>
        <v>1.9824106894103431E-2</v>
      </c>
      <c r="M61" s="53">
        <f t="shared" si="28"/>
        <v>1.9824106894103431E-2</v>
      </c>
      <c r="N61" s="53">
        <f t="shared" si="28"/>
        <v>1.9824106894103431E-2</v>
      </c>
      <c r="O61" s="53">
        <f t="shared" si="28"/>
        <v>1.9824106894103431E-2</v>
      </c>
      <c r="P61" s="53">
        <f t="shared" si="28"/>
        <v>1.9824106894103431E-2</v>
      </c>
      <c r="Q61" s="53">
        <f t="shared" si="28"/>
        <v>1.9824106894103431E-2</v>
      </c>
      <c r="R61" s="53">
        <f t="shared" si="28"/>
        <v>1.9824106894103431E-2</v>
      </c>
    </row>
  </sheetData>
  <mergeCells count="8">
    <mergeCell ref="B47:C47"/>
    <mergeCell ref="B6:E6"/>
    <mergeCell ref="Q6:R6"/>
    <mergeCell ref="B8:C9"/>
    <mergeCell ref="B10:C10"/>
    <mergeCell ref="B33:C33"/>
    <mergeCell ref="B35:C35"/>
    <mergeCell ref="B7:R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theme="9" tint="0.39997558519241921"/>
  </sheetPr>
  <dimension ref="B6:Q19"/>
  <sheetViews>
    <sheetView showGridLines="0" workbookViewId="0">
      <selection activeCell="C12" sqref="C12"/>
    </sheetView>
  </sheetViews>
  <sheetFormatPr baseColWidth="10" defaultColWidth="8.83203125" defaultRowHeight="14" x14ac:dyDescent="0.15"/>
  <cols>
    <col min="1" max="1" width="6.33203125" style="2" customWidth="1"/>
    <col min="2" max="2" width="20" style="2" bestFit="1" customWidth="1"/>
    <col min="3" max="3" width="15.1640625" style="2" customWidth="1"/>
    <col min="4" max="11" width="11.33203125" style="2" bestFit="1" customWidth="1"/>
    <col min="12" max="15" width="12.1640625" style="2" bestFit="1" customWidth="1"/>
    <col min="16" max="17" width="13.1640625" style="2" bestFit="1" customWidth="1"/>
    <col min="18" max="16384" width="8.83203125" style="2"/>
  </cols>
  <sheetData>
    <row r="6" spans="2:17" x14ac:dyDescent="0.15">
      <c r="P6" s="503" t="s">
        <v>64</v>
      </c>
      <c r="Q6" s="503"/>
    </row>
    <row r="7" spans="2:17" ht="16" x14ac:dyDescent="0.2">
      <c r="B7" s="518" t="s">
        <v>154</v>
      </c>
      <c r="C7" s="519"/>
      <c r="D7" s="519"/>
      <c r="E7" s="519"/>
      <c r="F7" s="519"/>
      <c r="G7" s="519"/>
      <c r="H7" s="519"/>
      <c r="I7" s="519"/>
      <c r="J7" s="519"/>
      <c r="K7" s="519"/>
      <c r="L7" s="519"/>
      <c r="M7" s="519"/>
      <c r="N7" s="519"/>
      <c r="O7" s="519"/>
      <c r="P7" s="519"/>
      <c r="Q7" s="520"/>
    </row>
    <row r="8" spans="2:17" ht="15" x14ac:dyDescent="0.15">
      <c r="B8" s="516" t="s">
        <v>0</v>
      </c>
      <c r="C8" s="195" t="s">
        <v>2</v>
      </c>
      <c r="D8" s="10" t="s">
        <v>3</v>
      </c>
      <c r="E8" s="10" t="s">
        <v>4</v>
      </c>
      <c r="F8" s="10" t="s">
        <v>42</v>
      </c>
      <c r="G8" s="10" t="s">
        <v>43</v>
      </c>
      <c r="H8" s="116" t="s">
        <v>44</v>
      </c>
      <c r="I8" s="116" t="s">
        <v>45</v>
      </c>
      <c r="J8" s="116" t="s">
        <v>46</v>
      </c>
      <c r="K8" s="116" t="s">
        <v>47</v>
      </c>
      <c r="L8" s="116" t="s">
        <v>48</v>
      </c>
      <c r="M8" s="116" t="s">
        <v>49</v>
      </c>
      <c r="N8" s="116" t="s">
        <v>50</v>
      </c>
      <c r="O8" s="116" t="s">
        <v>51</v>
      </c>
      <c r="P8" s="116" t="s">
        <v>260</v>
      </c>
      <c r="Q8" s="116" t="s">
        <v>328</v>
      </c>
    </row>
    <row r="9" spans="2:17" x14ac:dyDescent="0.15">
      <c r="B9" s="517"/>
      <c r="C9" s="13" t="s">
        <v>1</v>
      </c>
      <c r="D9" s="13" t="s">
        <v>1</v>
      </c>
      <c r="E9" s="13" t="s">
        <v>1</v>
      </c>
      <c r="F9" s="13" t="s">
        <v>1</v>
      </c>
      <c r="G9" s="13" t="s">
        <v>1</v>
      </c>
      <c r="H9" s="110" t="s">
        <v>52</v>
      </c>
      <c r="I9" s="110" t="s">
        <v>53</v>
      </c>
      <c r="J9" s="110" t="s">
        <v>53</v>
      </c>
      <c r="K9" s="110" t="s">
        <v>53</v>
      </c>
      <c r="L9" s="110" t="s">
        <v>53</v>
      </c>
      <c r="M9" s="110" t="s">
        <v>53</v>
      </c>
      <c r="N9" s="110" t="s">
        <v>53</v>
      </c>
      <c r="O9" s="110" t="s">
        <v>53</v>
      </c>
      <c r="P9" s="110" t="s">
        <v>53</v>
      </c>
      <c r="Q9" s="110" t="s">
        <v>53</v>
      </c>
    </row>
    <row r="10" spans="2:17" x14ac:dyDescent="0.15">
      <c r="B10" s="34"/>
      <c r="H10" s="30"/>
      <c r="I10" s="30"/>
      <c r="J10" s="30"/>
      <c r="K10" s="30"/>
      <c r="L10" s="30"/>
      <c r="M10" s="30"/>
      <c r="N10" s="30"/>
      <c r="O10" s="30"/>
      <c r="P10" s="30"/>
      <c r="Q10" s="30"/>
    </row>
    <row r="11" spans="2:17" x14ac:dyDescent="0.15">
      <c r="B11" s="34" t="s">
        <v>216</v>
      </c>
      <c r="C11" s="45">
        <f>'BS Input'!D32</f>
        <v>374.88</v>
      </c>
      <c r="D11" s="45">
        <f>'BS Input'!E32</f>
        <v>435.57</v>
      </c>
      <c r="E11" s="45">
        <f>'BS Input'!F32</f>
        <v>506.63</v>
      </c>
      <c r="F11" s="45">
        <f>'BS Input'!G32</f>
        <v>561.30999999999995</v>
      </c>
      <c r="G11" s="45">
        <f>'BS Input'!H32</f>
        <v>737.61</v>
      </c>
      <c r="H11" s="31">
        <f>H12*'Revenue Buildup'!H15</f>
        <v>831.7342771570377</v>
      </c>
      <c r="I11" s="31">
        <f>I12*'Revenue Buildup'!I15</f>
        <v>994.26684491730998</v>
      </c>
      <c r="J11" s="31">
        <f>J12*'Revenue Buildup'!J15</f>
        <v>1177.9289377886198</v>
      </c>
      <c r="K11" s="31">
        <f>K12*'Revenue Buildup'!K15</f>
        <v>1383.0225561899215</v>
      </c>
      <c r="L11" s="31">
        <f>L12*'Revenue Buildup'!L15</f>
        <v>1609.2810353898778</v>
      </c>
      <c r="M11" s="31">
        <f>M12*'Revenue Buildup'!M15</f>
        <v>1855.7848387543359</v>
      </c>
      <c r="N11" s="31">
        <f>N12*'Revenue Buildup'!N15</f>
        <v>2120.8958528873359</v>
      </c>
      <c r="O11" s="31">
        <f>O12*'Revenue Buildup'!O15</f>
        <v>2402.2167255554805</v>
      </c>
      <c r="P11" s="31">
        <f>P12*'Revenue Buildup'!P15</f>
        <v>2696.580911792425</v>
      </c>
      <c r="Q11" s="31">
        <f>Q12*'Revenue Buildup'!Q15</f>
        <v>3000.0776446350119</v>
      </c>
    </row>
    <row r="12" spans="2:17" x14ac:dyDescent="0.15">
      <c r="B12" s="34"/>
      <c r="C12" s="426">
        <f>C11/'P&amp;L Input'!C14</f>
        <v>0.21771804908645304</v>
      </c>
      <c r="D12" s="426">
        <f>D11/'P&amp;L Input'!D14</f>
        <v>0.19945142501282143</v>
      </c>
      <c r="E12" s="426">
        <f>E11/'P&amp;L Input'!E14</f>
        <v>0.19764062432950116</v>
      </c>
      <c r="F12" s="426">
        <f>F11/'P&amp;L Input'!F14</f>
        <v>0.18374749164427012</v>
      </c>
      <c r="G12" s="426">
        <f>G11/'P&amp;L Input'!G14</f>
        <v>0.21347638218005749</v>
      </c>
      <c r="H12" s="53">
        <f>AVERAGE(C12:G12)</f>
        <v>0.20240679445062063</v>
      </c>
      <c r="I12" s="53">
        <f t="shared" ref="I12:Q12" si="0">H12</f>
        <v>0.20240679445062063</v>
      </c>
      <c r="J12" s="53">
        <f t="shared" si="0"/>
        <v>0.20240679445062063</v>
      </c>
      <c r="K12" s="53">
        <f t="shared" si="0"/>
        <v>0.20240679445062063</v>
      </c>
      <c r="L12" s="53">
        <f t="shared" si="0"/>
        <v>0.20240679445062063</v>
      </c>
      <c r="M12" s="53">
        <f t="shared" si="0"/>
        <v>0.20240679445062063</v>
      </c>
      <c r="N12" s="53">
        <f t="shared" si="0"/>
        <v>0.20240679445062063</v>
      </c>
      <c r="O12" s="53">
        <f t="shared" si="0"/>
        <v>0.20240679445062063</v>
      </c>
      <c r="P12" s="53">
        <f t="shared" si="0"/>
        <v>0.20240679445062063</v>
      </c>
      <c r="Q12" s="53">
        <f t="shared" si="0"/>
        <v>0.20240679445062063</v>
      </c>
    </row>
    <row r="13" spans="2:17" x14ac:dyDescent="0.15">
      <c r="B13" s="34" t="s">
        <v>37</v>
      </c>
      <c r="C13" s="45">
        <f>'BS Input'!D65</f>
        <v>30.69</v>
      </c>
      <c r="D13" s="45">
        <f>'BS Input'!E65</f>
        <v>33.270000000000003</v>
      </c>
      <c r="E13" s="45">
        <f>'BS Input'!F65</f>
        <v>182.94</v>
      </c>
      <c r="F13" s="45">
        <f>'BS Input'!G65</f>
        <v>220.41</v>
      </c>
      <c r="G13" s="45">
        <f>'BS Input'!H65</f>
        <v>255.99</v>
      </c>
      <c r="H13" s="31">
        <f>H14*'Revenue Buildup'!H15</f>
        <v>206.00738633025878</v>
      </c>
      <c r="I13" s="31">
        <f>I14*'Revenue Buildup'!I15</f>
        <v>246.26412504768638</v>
      </c>
      <c r="J13" s="31">
        <f>J14*'Revenue Buildup'!J15</f>
        <v>291.754311949314</v>
      </c>
      <c r="K13" s="31">
        <f>K14*'Revenue Buildup'!K15</f>
        <v>342.55274774816752</v>
      </c>
      <c r="L13" s="31">
        <f>L14*'Revenue Buildup'!L15</f>
        <v>398.59338382050021</v>
      </c>
      <c r="M13" s="31">
        <f>M14*'Revenue Buildup'!M15</f>
        <v>459.6484655289965</v>
      </c>
      <c r="N13" s="31">
        <f>N14*'Revenue Buildup'!N15</f>
        <v>525.31225817150164</v>
      </c>
      <c r="O13" s="31">
        <f>O14*'Revenue Buildup'!O15</f>
        <v>594.99097562992597</v>
      </c>
      <c r="P13" s="31">
        <f>P14*'Revenue Buildup'!P15</f>
        <v>667.90031494822972</v>
      </c>
      <c r="Q13" s="31">
        <f>Q14*'Revenue Buildup'!Q15</f>
        <v>743.07164118764274</v>
      </c>
    </row>
    <row r="14" spans="2:17" x14ac:dyDescent="0.15">
      <c r="B14" s="34"/>
      <c r="C14" s="21">
        <f>C13/'P&amp;L Input'!C14</f>
        <v>1.7823748736831103E-2</v>
      </c>
      <c r="D14" s="21">
        <f>D13/'P&amp;L Input'!D14</f>
        <v>1.5234632573814933E-2</v>
      </c>
      <c r="E14" s="21">
        <f>E13/'P&amp;L Input'!E14</f>
        <v>7.1366432731656132E-2</v>
      </c>
      <c r="F14" s="21">
        <f>F13/'P&amp;L Input'!F14</f>
        <v>7.2152259238769278E-2</v>
      </c>
      <c r="G14" s="21">
        <f>G13/'P&amp;L Input'!G14</f>
        <v>7.4087687360899282E-2</v>
      </c>
      <c r="H14" s="53">
        <f>AVERAGE(C14:G14)</f>
        <v>5.0132952128394151E-2</v>
      </c>
      <c r="I14" s="53">
        <f t="shared" ref="I14:Q14" si="1">H14</f>
        <v>5.0132952128394151E-2</v>
      </c>
      <c r="J14" s="53">
        <f t="shared" si="1"/>
        <v>5.0132952128394151E-2</v>
      </c>
      <c r="K14" s="53">
        <f t="shared" si="1"/>
        <v>5.0132952128394151E-2</v>
      </c>
      <c r="L14" s="53">
        <f t="shared" si="1"/>
        <v>5.0132952128394151E-2</v>
      </c>
      <c r="M14" s="53">
        <f t="shared" si="1"/>
        <v>5.0132952128394151E-2</v>
      </c>
      <c r="N14" s="53">
        <f t="shared" si="1"/>
        <v>5.0132952128394151E-2</v>
      </c>
      <c r="O14" s="53">
        <f t="shared" si="1"/>
        <v>5.0132952128394151E-2</v>
      </c>
      <c r="P14" s="53">
        <f t="shared" si="1"/>
        <v>5.0132952128394151E-2</v>
      </c>
      <c r="Q14" s="53">
        <f t="shared" si="1"/>
        <v>5.0132952128394151E-2</v>
      </c>
    </row>
    <row r="15" spans="2:17" x14ac:dyDescent="0.15">
      <c r="B15" s="34"/>
      <c r="H15" s="30"/>
      <c r="I15" s="30"/>
      <c r="J15" s="30"/>
      <c r="K15" s="30"/>
      <c r="L15" s="30"/>
      <c r="M15" s="30"/>
      <c r="N15" s="30"/>
      <c r="O15" s="30"/>
      <c r="P15" s="30"/>
      <c r="Q15" s="30"/>
    </row>
    <row r="16" spans="2:17" s="4" customFormat="1" x14ac:dyDescent="0.15">
      <c r="B16" s="44" t="s">
        <v>73</v>
      </c>
      <c r="C16" s="42">
        <f t="shared" ref="C16:Q16" si="2">C11-C13</f>
        <v>344.19</v>
      </c>
      <c r="D16" s="42">
        <f t="shared" si="2"/>
        <v>402.3</v>
      </c>
      <c r="E16" s="42">
        <f t="shared" si="2"/>
        <v>323.69</v>
      </c>
      <c r="F16" s="42">
        <f t="shared" si="2"/>
        <v>340.9</v>
      </c>
      <c r="G16" s="42">
        <f t="shared" si="2"/>
        <v>481.62</v>
      </c>
      <c r="H16" s="47">
        <f t="shared" si="2"/>
        <v>625.72689082677891</v>
      </c>
      <c r="I16" s="47">
        <f t="shared" si="2"/>
        <v>748.00271986962366</v>
      </c>
      <c r="J16" s="47">
        <f t="shared" si="2"/>
        <v>886.1746258393058</v>
      </c>
      <c r="K16" s="47">
        <f t="shared" si="2"/>
        <v>1040.4698084417539</v>
      </c>
      <c r="L16" s="47">
        <f t="shared" si="2"/>
        <v>1210.6876515693775</v>
      </c>
      <c r="M16" s="47">
        <f t="shared" si="2"/>
        <v>1396.1363732253394</v>
      </c>
      <c r="N16" s="47">
        <f t="shared" si="2"/>
        <v>1595.5835947158344</v>
      </c>
      <c r="O16" s="47">
        <f t="shared" si="2"/>
        <v>1807.2257499255545</v>
      </c>
      <c r="P16" s="47">
        <f t="shared" si="2"/>
        <v>2028.6805968441954</v>
      </c>
      <c r="Q16" s="47">
        <f t="shared" si="2"/>
        <v>2257.006003447369</v>
      </c>
    </row>
    <row r="17" spans="4:17" x14ac:dyDescent="0.15">
      <c r="D17" s="41"/>
      <c r="E17" s="41"/>
      <c r="F17" s="41"/>
      <c r="G17" s="41"/>
      <c r="H17" s="41"/>
      <c r="I17" s="41"/>
      <c r="J17" s="41"/>
      <c r="K17" s="41"/>
      <c r="L17" s="41"/>
      <c r="M17" s="41"/>
      <c r="N17" s="41"/>
      <c r="O17" s="41"/>
      <c r="P17" s="41"/>
      <c r="Q17" s="41"/>
    </row>
    <row r="18" spans="4:17" x14ac:dyDescent="0.15">
      <c r="H18" s="41"/>
      <c r="I18" s="41"/>
      <c r="J18" s="41"/>
      <c r="K18" s="41"/>
      <c r="L18" s="41"/>
      <c r="M18" s="41"/>
      <c r="N18" s="41"/>
      <c r="O18" s="41"/>
      <c r="P18" s="41"/>
      <c r="Q18" s="41"/>
    </row>
    <row r="19" spans="4:17" x14ac:dyDescent="0.15">
      <c r="H19" s="41"/>
      <c r="I19" s="41"/>
      <c r="J19" s="41"/>
      <c r="K19" s="41"/>
      <c r="L19" s="41"/>
      <c r="M19" s="41"/>
      <c r="N19" s="41"/>
      <c r="O19" s="41"/>
      <c r="P19" s="41"/>
      <c r="Q19" s="41"/>
    </row>
  </sheetData>
  <mergeCells count="3">
    <mergeCell ref="B8:B9"/>
    <mergeCell ref="P6:Q6"/>
    <mergeCell ref="B7:Q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tabColor rgb="FF92D050"/>
  </sheetPr>
  <dimension ref="B6:Q48"/>
  <sheetViews>
    <sheetView showGridLines="0" topLeftCell="A4" zoomScale="107" workbookViewId="0">
      <selection activeCell="B50" sqref="B50"/>
    </sheetView>
  </sheetViews>
  <sheetFormatPr baseColWidth="10" defaultColWidth="8.83203125" defaultRowHeight="14" x14ac:dyDescent="0.15"/>
  <cols>
    <col min="1" max="1" width="5.5" style="2" customWidth="1"/>
    <col min="2" max="2" width="31.5" style="2" bestFit="1" customWidth="1"/>
    <col min="3" max="7" width="13.1640625" style="2" bestFit="1" customWidth="1"/>
    <col min="8" max="8" width="14.33203125" style="2" bestFit="1" customWidth="1"/>
    <col min="9" max="10" width="13.1640625" style="2" bestFit="1" customWidth="1"/>
    <col min="11" max="17" width="14.33203125" style="2" bestFit="1" customWidth="1"/>
    <col min="18" max="16384" width="8.83203125" style="2"/>
  </cols>
  <sheetData>
    <row r="6" spans="2:17" x14ac:dyDescent="0.15">
      <c r="B6" s="3"/>
      <c r="C6" s="3"/>
      <c r="F6" s="111"/>
      <c r="G6" s="111"/>
      <c r="P6" s="503" t="s">
        <v>64</v>
      </c>
      <c r="Q6" s="503"/>
    </row>
    <row r="7" spans="2:17" ht="16" x14ac:dyDescent="0.2">
      <c r="B7" s="504" t="s">
        <v>155</v>
      </c>
      <c r="C7" s="505"/>
      <c r="D7" s="505"/>
      <c r="E7" s="505"/>
      <c r="F7" s="505"/>
      <c r="G7" s="505"/>
      <c r="H7" s="505"/>
      <c r="I7" s="505"/>
      <c r="J7" s="505"/>
      <c r="K7" s="505"/>
      <c r="L7" s="505"/>
      <c r="M7" s="505"/>
      <c r="N7" s="505"/>
      <c r="O7" s="505"/>
      <c r="P7" s="505"/>
      <c r="Q7" s="506"/>
    </row>
    <row r="8" spans="2:17" x14ac:dyDescent="0.15">
      <c r="B8" s="531" t="s">
        <v>0</v>
      </c>
      <c r="C8" s="195">
        <f>FAS!C8</f>
        <v>2021</v>
      </c>
      <c r="D8" s="195">
        <f>FAS!D8</f>
        <v>2022</v>
      </c>
      <c r="E8" s="195">
        <f>FAS!E8</f>
        <v>2023</v>
      </c>
      <c r="F8" s="195">
        <f>FAS!F8</f>
        <v>2024</v>
      </c>
      <c r="G8" s="195">
        <f>FAS!G8</f>
        <v>2025</v>
      </c>
      <c r="H8" s="217">
        <f>FAS!H8</f>
        <v>2026</v>
      </c>
      <c r="I8" s="217">
        <f>FAS!I8</f>
        <v>2027</v>
      </c>
      <c r="J8" s="217">
        <f>FAS!J8</f>
        <v>2028</v>
      </c>
      <c r="K8" s="217">
        <f>FAS!K8</f>
        <v>2029</v>
      </c>
      <c r="L8" s="217">
        <f>FAS!L8</f>
        <v>2030</v>
      </c>
      <c r="M8" s="217">
        <f>FAS!M8</f>
        <v>2031</v>
      </c>
      <c r="N8" s="217">
        <f>FAS!N8</f>
        <v>2032</v>
      </c>
      <c r="O8" s="217">
        <f>FAS!O8</f>
        <v>2033</v>
      </c>
      <c r="P8" s="217">
        <f>FAS!P8</f>
        <v>2034</v>
      </c>
      <c r="Q8" s="217">
        <f>FAS!Q8</f>
        <v>2035</v>
      </c>
    </row>
    <row r="9" spans="2:17" x14ac:dyDescent="0.15">
      <c r="B9" s="529"/>
      <c r="C9" s="13" t="s">
        <v>1</v>
      </c>
      <c r="D9" s="13" t="s">
        <v>1</v>
      </c>
      <c r="E9" s="13" t="s">
        <v>1</v>
      </c>
      <c r="F9" s="13" t="s">
        <v>1</v>
      </c>
      <c r="G9" s="13" t="s">
        <v>1</v>
      </c>
      <c r="H9" s="110" t="s">
        <v>52</v>
      </c>
      <c r="I9" s="110" t="s">
        <v>53</v>
      </c>
      <c r="J9" s="110" t="s">
        <v>53</v>
      </c>
      <c r="K9" s="110" t="s">
        <v>53</v>
      </c>
      <c r="L9" s="110" t="s">
        <v>53</v>
      </c>
      <c r="M9" s="110" t="s">
        <v>53</v>
      </c>
      <c r="N9" s="110" t="s">
        <v>53</v>
      </c>
      <c r="O9" s="110" t="s">
        <v>53</v>
      </c>
      <c r="P9" s="110" t="s">
        <v>53</v>
      </c>
      <c r="Q9" s="110" t="s">
        <v>53</v>
      </c>
    </row>
    <row r="10" spans="2:17" x14ac:dyDescent="0.15">
      <c r="B10" s="84"/>
      <c r="C10" s="23"/>
      <c r="D10" s="24"/>
      <c r="E10" s="24"/>
      <c r="F10" s="24"/>
      <c r="G10" s="24"/>
      <c r="H10" s="30"/>
      <c r="I10" s="30"/>
      <c r="J10" s="30"/>
      <c r="K10" s="30"/>
      <c r="L10" s="30"/>
      <c r="M10" s="30"/>
      <c r="N10" s="30"/>
      <c r="O10" s="30"/>
      <c r="P10" s="30"/>
      <c r="Q10" s="30"/>
    </row>
    <row r="11" spans="2:17" ht="15" x14ac:dyDescent="0.15">
      <c r="B11" s="35" t="s">
        <v>5</v>
      </c>
      <c r="C11" s="6">
        <f>'P&amp;L Input'!C11</f>
        <v>1720.77</v>
      </c>
      <c r="D11" s="6">
        <f>'P&amp;L Input'!D11</f>
        <v>2179.86</v>
      </c>
      <c r="E11" s="6">
        <f>'P&amp;L Input'!E11</f>
        <v>2558.1999999999998</v>
      </c>
      <c r="F11" s="6">
        <f>'P&amp;L Input'!F11</f>
        <v>3049.24</v>
      </c>
      <c r="G11" s="6">
        <f>'P&amp;L Input'!G11</f>
        <v>3447.82</v>
      </c>
      <c r="H11" s="32">
        <f>'Revenue Buildup'!H11</f>
        <v>4102.2705308551394</v>
      </c>
      <c r="I11" s="32">
        <f>'Revenue Buildup'!I11</f>
        <v>4903.91184989061</v>
      </c>
      <c r="J11" s="32">
        <f>'Revenue Buildup'!J11</f>
        <v>5809.7679771581652</v>
      </c>
      <c r="K11" s="32">
        <f>'Revenue Buildup'!K11</f>
        <v>6821.3284357579214</v>
      </c>
      <c r="L11" s="32">
        <f>'Revenue Buildup'!L11</f>
        <v>7937.2779848743576</v>
      </c>
      <c r="M11" s="32">
        <f>'Revenue Buildup'!M11</f>
        <v>9153.0812961701358</v>
      </c>
      <c r="N11" s="32">
        <f>'Revenue Buildup'!N11</f>
        <v>10460.658885012956</v>
      </c>
      <c r="O11" s="32">
        <f>'Revenue Buildup'!O11</f>
        <v>11848.186557439381</v>
      </c>
      <c r="P11" s="32">
        <f>'Revenue Buildup'!P11</f>
        <v>13300.046315662352</v>
      </c>
      <c r="Q11" s="32">
        <f>'Revenue Buildup'!Q11</f>
        <v>14796.949518457597</v>
      </c>
    </row>
    <row r="12" spans="2:17" ht="15" x14ac:dyDescent="0.15">
      <c r="B12" s="35" t="str">
        <f>'P&amp;L Input'!B12</f>
        <v>Other Operating Revenue</v>
      </c>
      <c r="C12" s="6">
        <f>'P&amp;L Input'!C12</f>
        <v>1.0900000000000001</v>
      </c>
      <c r="D12" s="6">
        <f>'P&amp;L Input'!D12</f>
        <v>3.98</v>
      </c>
      <c r="E12" s="6">
        <f>'P&amp;L Input'!E12</f>
        <v>5.19</v>
      </c>
      <c r="F12" s="6">
        <f>'P&amp;L Input'!F12</f>
        <v>5.55</v>
      </c>
      <c r="G12" s="6">
        <f>'P&amp;L Input'!G12</f>
        <v>7.41</v>
      </c>
      <c r="H12" s="32">
        <f>'Revenue Buildup'!H12</f>
        <v>6.9506018373624272</v>
      </c>
      <c r="I12" s="32">
        <f>'Revenue Buildup'!I12</f>
        <v>8.3088471269123811</v>
      </c>
      <c r="J12" s="32">
        <f>'Revenue Buildup'!J12</f>
        <v>9.8436667384457532</v>
      </c>
      <c r="K12" s="32">
        <f>'Revenue Buildup'!K12</f>
        <v>11.557584416293539</v>
      </c>
      <c r="L12" s="32">
        <f>'Revenue Buildup'!L12</f>
        <v>13.448371707904847</v>
      </c>
      <c r="M12" s="32">
        <f>'Revenue Buildup'!M12</f>
        <v>15.508344268418108</v>
      </c>
      <c r="N12" s="32">
        <f>'Revenue Buildup'!N12</f>
        <v>17.723812781073782</v>
      </c>
      <c r="O12" s="32">
        <f>'Revenue Buildup'!O12</f>
        <v>20.074743154100144</v>
      </c>
      <c r="P12" s="32">
        <f>'Revenue Buildup'!P12</f>
        <v>22.534673338420184</v>
      </c>
      <c r="Q12" s="32">
        <f>'Revenue Buildup'!Q12</f>
        <v>25.070922002043421</v>
      </c>
    </row>
    <row r="13" spans="2:17" x14ac:dyDescent="0.15">
      <c r="B13" s="35"/>
      <c r="C13" s="9"/>
      <c r="D13" s="9"/>
      <c r="E13" s="9"/>
      <c r="F13" s="9"/>
      <c r="G13" s="9"/>
      <c r="H13" s="30"/>
      <c r="I13" s="30"/>
      <c r="J13" s="30"/>
      <c r="K13" s="30"/>
      <c r="L13" s="30"/>
      <c r="M13" s="30"/>
      <c r="N13" s="30"/>
      <c r="O13" s="30"/>
      <c r="P13" s="30"/>
      <c r="Q13" s="30"/>
    </row>
    <row r="14" spans="2:17" ht="15" x14ac:dyDescent="0.15">
      <c r="B14" s="102" t="s">
        <v>8</v>
      </c>
      <c r="C14" s="101">
        <f t="shared" ref="C14" si="0">SUM(C11:C13)</f>
        <v>1721.86</v>
      </c>
      <c r="D14" s="101">
        <f t="shared" ref="D14:Q14" si="1">SUM(D11:D13)</f>
        <v>2183.84</v>
      </c>
      <c r="E14" s="101">
        <f t="shared" si="1"/>
        <v>2563.39</v>
      </c>
      <c r="F14" s="101">
        <f t="shared" si="1"/>
        <v>3054.79</v>
      </c>
      <c r="G14" s="101">
        <f t="shared" si="1"/>
        <v>3455.23</v>
      </c>
      <c r="H14" s="101">
        <f t="shared" si="1"/>
        <v>4109.2211326925017</v>
      </c>
      <c r="I14" s="101">
        <f t="shared" si="1"/>
        <v>4912.2206970175221</v>
      </c>
      <c r="J14" s="101">
        <f t="shared" si="1"/>
        <v>5819.611643896611</v>
      </c>
      <c r="K14" s="101">
        <f t="shared" si="1"/>
        <v>6832.8860201742145</v>
      </c>
      <c r="L14" s="101">
        <f t="shared" si="1"/>
        <v>7950.7263565822623</v>
      </c>
      <c r="M14" s="101">
        <f t="shared" si="1"/>
        <v>9168.589640438553</v>
      </c>
      <c r="N14" s="101">
        <f t="shared" si="1"/>
        <v>10478.38269779403</v>
      </c>
      <c r="O14" s="101">
        <f t="shared" si="1"/>
        <v>11868.261300593482</v>
      </c>
      <c r="P14" s="101">
        <f t="shared" si="1"/>
        <v>13322.580989000771</v>
      </c>
      <c r="Q14" s="101">
        <f t="shared" si="1"/>
        <v>14822.020440459641</v>
      </c>
    </row>
    <row r="15" spans="2:17" x14ac:dyDescent="0.15">
      <c r="B15" s="35"/>
      <c r="C15" s="9"/>
      <c r="D15" s="9"/>
      <c r="E15" s="9"/>
      <c r="F15" s="9"/>
      <c r="G15" s="9"/>
      <c r="H15" s="30"/>
      <c r="I15" s="30"/>
      <c r="J15" s="30"/>
      <c r="K15" s="30"/>
      <c r="L15" s="30"/>
      <c r="M15" s="30"/>
      <c r="N15" s="30"/>
      <c r="O15" s="30"/>
      <c r="P15" s="30"/>
      <c r="Q15" s="30"/>
    </row>
    <row r="16" spans="2:17" ht="15" x14ac:dyDescent="0.15">
      <c r="B16" s="85" t="s">
        <v>7</v>
      </c>
      <c r="C16" s="8"/>
      <c r="D16" s="8"/>
      <c r="E16" s="8"/>
      <c r="F16" s="8"/>
      <c r="G16" s="8"/>
      <c r="H16" s="40"/>
      <c r="I16" s="30"/>
      <c r="J16" s="30"/>
      <c r="K16" s="30"/>
      <c r="L16" s="30"/>
      <c r="M16" s="30"/>
      <c r="N16" s="30"/>
      <c r="O16" s="30"/>
      <c r="P16" s="30"/>
      <c r="Q16" s="30"/>
    </row>
    <row r="17" spans="2:17" x14ac:dyDescent="0.15">
      <c r="B17" s="35"/>
      <c r="C17" s="6"/>
      <c r="D17" s="6"/>
      <c r="E17" s="6"/>
      <c r="F17" s="6"/>
      <c r="G17" s="6"/>
      <c r="H17" s="32"/>
      <c r="I17" s="32"/>
      <c r="J17" s="32"/>
      <c r="K17" s="32"/>
      <c r="L17" s="32"/>
      <c r="M17" s="32"/>
      <c r="N17" s="32"/>
      <c r="O17" s="32"/>
      <c r="P17" s="32"/>
      <c r="Q17" s="32"/>
    </row>
    <row r="18" spans="2:17" ht="15" x14ac:dyDescent="0.15">
      <c r="B18" s="35" t="s">
        <v>9</v>
      </c>
      <c r="C18" s="6">
        <f>'P&amp;L Input'!C17</f>
        <v>882.72</v>
      </c>
      <c r="D18" s="6">
        <f>'P&amp;L Input'!D17</f>
        <v>1095.45</v>
      </c>
      <c r="E18" s="6">
        <f>'P&amp;L Input'!E17</f>
        <v>1376.75</v>
      </c>
      <c r="F18" s="6">
        <f>'P&amp;L Input'!F17</f>
        <v>1670.91</v>
      </c>
      <c r="G18" s="6">
        <f>'P&amp;L Input'!G17</f>
        <v>1859.03</v>
      </c>
      <c r="H18" s="32">
        <f>'Cost Buildup'!H13</f>
        <v>2166.6830449854915</v>
      </c>
      <c r="I18" s="32">
        <f>'Cost Buildup'!I13</f>
        <v>2590.0833646499027</v>
      </c>
      <c r="J18" s="32">
        <f>'Cost Buildup'!J13</f>
        <v>3068.5264847182657</v>
      </c>
      <c r="K18" s="32">
        <f>'Cost Buildup'!K13</f>
        <v>3602.799121820276</v>
      </c>
      <c r="L18" s="32">
        <f>'Cost Buildup'!L13</f>
        <v>4192.2066094404945</v>
      </c>
      <c r="M18" s="32">
        <f>'Cost Buildup'!M13</f>
        <v>4834.3535377837734</v>
      </c>
      <c r="N18" s="32">
        <f>'Cost Buildup'!N13</f>
        <v>5524.9725914126366</v>
      </c>
      <c r="O18" s="32">
        <f>'Cost Buildup'!O13</f>
        <v>6257.8186237945711</v>
      </c>
      <c r="P18" s="32">
        <f>'Cost Buildup'!P13</f>
        <v>7024.6427272216797</v>
      </c>
      <c r="Q18" s="32">
        <f>'Cost Buildup'!Q13</f>
        <v>7815.2572820362429</v>
      </c>
    </row>
    <row r="19" spans="2:17" x14ac:dyDescent="0.15">
      <c r="B19" s="34"/>
      <c r="H19" s="71"/>
      <c r="I19" s="71"/>
      <c r="J19" s="71"/>
      <c r="K19" s="71"/>
      <c r="L19" s="71"/>
      <c r="M19" s="71"/>
      <c r="N19" s="71"/>
      <c r="O19" s="71"/>
      <c r="P19" s="71"/>
      <c r="Q19" s="71"/>
    </row>
    <row r="20" spans="2:17" ht="15" x14ac:dyDescent="0.15">
      <c r="B20" s="35" t="s">
        <v>12</v>
      </c>
      <c r="C20" s="6">
        <f>'P&amp;L Input'!C18</f>
        <v>474.67</v>
      </c>
      <c r="D20" s="6">
        <f>'P&amp;L Input'!D18</f>
        <v>625.88</v>
      </c>
      <c r="E20" s="6">
        <f>'P&amp;L Input'!E18</f>
        <v>730.79</v>
      </c>
      <c r="F20" s="6">
        <f>'P&amp;L Input'!F18</f>
        <v>875.21</v>
      </c>
      <c r="G20" s="6">
        <f>'P&amp;L Input'!G18</f>
        <v>1049.75</v>
      </c>
      <c r="H20" s="32">
        <f>'Cost Buildup'!H16</f>
        <v>1181.5450421860021</v>
      </c>
      <c r="I20" s="32">
        <f>'Cost Buildup'!I16</f>
        <v>1412.4355500142033</v>
      </c>
      <c r="J20" s="32">
        <f>'Cost Buildup'!J16</f>
        <v>1673.3422376781396</v>
      </c>
      <c r="K20" s="32">
        <f>'Cost Buildup'!K16</f>
        <v>1964.6941209194415</v>
      </c>
      <c r="L20" s="32">
        <f>'Cost Buildup'!L16</f>
        <v>2286.1123811660109</v>
      </c>
      <c r="M20" s="32">
        <f>'Cost Buildup'!M16</f>
        <v>2636.290743107294</v>
      </c>
      <c r="N20" s="32">
        <f>'Cost Buildup'!N16</f>
        <v>3012.9021356886378</v>
      </c>
      <c r="O20" s="32">
        <f>'Cost Buildup'!O16</f>
        <v>3412.5409283817125</v>
      </c>
      <c r="P20" s="32">
        <f>'Cost Buildup'!P16</f>
        <v>3830.7087908800754</v>
      </c>
      <c r="Q20" s="32">
        <f>'Cost Buildup'!Q16</f>
        <v>4261.8501660263855</v>
      </c>
    </row>
    <row r="21" spans="2:17" x14ac:dyDescent="0.15">
      <c r="B21" s="35"/>
      <c r="C21" s="9"/>
      <c r="D21" s="9"/>
      <c r="E21" s="9"/>
      <c r="F21" s="9"/>
      <c r="G21" s="9"/>
      <c r="H21" s="30"/>
      <c r="I21" s="30"/>
      <c r="J21" s="30"/>
      <c r="K21" s="30"/>
      <c r="L21" s="30"/>
      <c r="M21" s="30"/>
      <c r="N21" s="30"/>
      <c r="O21" s="30"/>
      <c r="P21" s="30"/>
      <c r="Q21" s="30"/>
    </row>
    <row r="22" spans="2:17" ht="15" x14ac:dyDescent="0.15">
      <c r="B22" s="102" t="s">
        <v>14</v>
      </c>
      <c r="C22" s="101">
        <f t="shared" ref="C22:Q22" si="2">C14-C18-C20</f>
        <v>364.46999999999986</v>
      </c>
      <c r="D22" s="101">
        <f t="shared" si="2"/>
        <v>462.5100000000001</v>
      </c>
      <c r="E22" s="101">
        <f t="shared" si="2"/>
        <v>455.84999999999991</v>
      </c>
      <c r="F22" s="101">
        <f t="shared" si="2"/>
        <v>508.66999999999985</v>
      </c>
      <c r="G22" s="101">
        <f t="shared" si="2"/>
        <v>546.45000000000005</v>
      </c>
      <c r="H22" s="101">
        <f t="shared" si="2"/>
        <v>760.99304552100807</v>
      </c>
      <c r="I22" s="101">
        <f t="shared" si="2"/>
        <v>909.70178235341609</v>
      </c>
      <c r="J22" s="101">
        <f t="shared" si="2"/>
        <v>1077.7429215002057</v>
      </c>
      <c r="K22" s="101">
        <f t="shared" si="2"/>
        <v>1265.392777434497</v>
      </c>
      <c r="L22" s="101">
        <f t="shared" si="2"/>
        <v>1472.4073659757569</v>
      </c>
      <c r="M22" s="101">
        <f t="shared" si="2"/>
        <v>1697.9453595474856</v>
      </c>
      <c r="N22" s="101">
        <f t="shared" si="2"/>
        <v>1940.5079706927554</v>
      </c>
      <c r="O22" s="101">
        <f t="shared" si="2"/>
        <v>2197.9017484171982</v>
      </c>
      <c r="P22" s="101">
        <f t="shared" si="2"/>
        <v>2467.2294708990162</v>
      </c>
      <c r="Q22" s="101">
        <f t="shared" si="2"/>
        <v>2744.9129923970122</v>
      </c>
    </row>
    <row r="23" spans="2:17" x14ac:dyDescent="0.15">
      <c r="B23" s="35"/>
      <c r="C23" s="9"/>
      <c r="D23" s="9"/>
      <c r="E23" s="9"/>
      <c r="F23" s="9"/>
      <c r="G23" s="9"/>
      <c r="H23" s="30"/>
      <c r="I23" s="30"/>
      <c r="J23" s="30"/>
      <c r="K23" s="30"/>
      <c r="L23" s="30"/>
      <c r="M23" s="30"/>
      <c r="N23" s="30"/>
      <c r="O23" s="30"/>
      <c r="P23" s="30"/>
      <c r="Q23" s="30"/>
    </row>
    <row r="24" spans="2:17" ht="15" x14ac:dyDescent="0.15">
      <c r="B24" s="35" t="s">
        <v>11</v>
      </c>
      <c r="C24" s="6">
        <f>'P&amp;L Input'!C24</f>
        <v>44.95</v>
      </c>
      <c r="D24" s="6">
        <f>'P&amp;L Input'!D24</f>
        <v>42.87</v>
      </c>
      <c r="E24" s="6">
        <f>'P&amp;L Input'!E24</f>
        <v>67.37</v>
      </c>
      <c r="F24" s="6">
        <f>'P&amp;L Input'!F24</f>
        <v>89.91</v>
      </c>
      <c r="G24" s="6">
        <f>'P&amp;L Input'!G24</f>
        <v>75.12</v>
      </c>
      <c r="H24" s="32">
        <f ca="1">FAS!H173</f>
        <v>60.048000000000002</v>
      </c>
      <c r="I24" s="32">
        <f ca="1">FAS!I173</f>
        <v>60.048000000000002</v>
      </c>
      <c r="J24" s="32">
        <f ca="1">FAS!J173</f>
        <v>60.048000000000002</v>
      </c>
      <c r="K24" s="32">
        <f ca="1">FAS!K173</f>
        <v>62.448320000000002</v>
      </c>
      <c r="L24" s="32">
        <f ca="1">FAS!L173</f>
        <v>62.448320000000002</v>
      </c>
      <c r="M24" s="32">
        <f ca="1">FAS!M173</f>
        <v>62.448320000000002</v>
      </c>
      <c r="N24" s="32">
        <f ca="1">FAS!N173</f>
        <v>64.9446528</v>
      </c>
      <c r="O24" s="32">
        <f ca="1">FAS!O173</f>
        <v>64.9446528</v>
      </c>
      <c r="P24" s="32">
        <f ca="1">FAS!P173</f>
        <v>64.9446528</v>
      </c>
      <c r="Q24" s="32">
        <f ca="1">FAS!Q173</f>
        <v>67.540838911999998</v>
      </c>
    </row>
    <row r="25" spans="2:17" x14ac:dyDescent="0.15">
      <c r="B25" s="35"/>
      <c r="C25" s="9"/>
      <c r="D25" s="9"/>
      <c r="E25" s="9"/>
      <c r="F25" s="9"/>
      <c r="G25" s="9"/>
      <c r="H25" s="30"/>
      <c r="I25" s="30"/>
      <c r="J25" s="30"/>
      <c r="K25" s="30"/>
      <c r="L25" s="30"/>
      <c r="M25" s="30"/>
      <c r="N25" s="30"/>
      <c r="O25" s="30"/>
      <c r="P25" s="30"/>
      <c r="Q25" s="30"/>
    </row>
    <row r="26" spans="2:17" ht="15" x14ac:dyDescent="0.15">
      <c r="B26" s="85" t="s">
        <v>15</v>
      </c>
      <c r="C26" s="8">
        <f>C22-C24</f>
        <v>319.51999999999987</v>
      </c>
      <c r="D26" s="8">
        <f>D22-D24</f>
        <v>419.6400000000001</v>
      </c>
      <c r="E26" s="8">
        <f t="shared" ref="E26:F26" si="3">E22-E24</f>
        <v>388.4799999999999</v>
      </c>
      <c r="F26" s="8">
        <f t="shared" si="3"/>
        <v>418.75999999999988</v>
      </c>
      <c r="G26" s="62">
        <f t="shared" ref="G26:Q26" si="4">G22-G24</f>
        <v>471.33000000000004</v>
      </c>
      <c r="H26" s="40">
        <f t="shared" ca="1" si="4"/>
        <v>700.94504552100807</v>
      </c>
      <c r="I26" s="40">
        <f t="shared" ca="1" si="4"/>
        <v>849.65378235341609</v>
      </c>
      <c r="J26" s="40">
        <f t="shared" ca="1" si="4"/>
        <v>1017.6949215002057</v>
      </c>
      <c r="K26" s="40">
        <f t="shared" ca="1" si="4"/>
        <v>1202.9444574344971</v>
      </c>
      <c r="L26" s="40">
        <f t="shared" ca="1" si="4"/>
        <v>1409.9590459757569</v>
      </c>
      <c r="M26" s="40">
        <f t="shared" ca="1" si="4"/>
        <v>1635.4970395474857</v>
      </c>
      <c r="N26" s="40">
        <f t="shared" ca="1" si="4"/>
        <v>1875.5633178927553</v>
      </c>
      <c r="O26" s="40">
        <f t="shared" ca="1" si="4"/>
        <v>2132.9570956171983</v>
      </c>
      <c r="P26" s="40">
        <f t="shared" ca="1" si="4"/>
        <v>2402.2848180990163</v>
      </c>
      <c r="Q26" s="40">
        <f t="shared" ca="1" si="4"/>
        <v>2677.3721534850124</v>
      </c>
    </row>
    <row r="27" spans="2:17" x14ac:dyDescent="0.15">
      <c r="B27" s="35"/>
      <c r="C27" s="9"/>
      <c r="D27" s="9"/>
      <c r="E27" s="9"/>
      <c r="F27" s="9"/>
      <c r="G27" s="9"/>
      <c r="H27" s="30"/>
      <c r="I27" s="30"/>
      <c r="J27" s="30"/>
      <c r="K27" s="30"/>
      <c r="L27" s="30"/>
      <c r="M27" s="30"/>
      <c r="N27" s="30"/>
      <c r="O27" s="30"/>
      <c r="P27" s="30"/>
      <c r="Q27" s="30"/>
    </row>
    <row r="28" spans="2:17" ht="15" x14ac:dyDescent="0.15">
      <c r="B28" s="35" t="s">
        <v>6</v>
      </c>
      <c r="C28" s="154">
        <f>'P&amp;L Input'!C28</f>
        <v>27.91</v>
      </c>
      <c r="D28" s="154">
        <f>'P&amp;L Input'!D28</f>
        <v>36.08</v>
      </c>
      <c r="E28" s="154">
        <f>'P&amp;L Input'!E28</f>
        <v>38.29</v>
      </c>
      <c r="F28" s="154">
        <f>'P&amp;L Input'!F28</f>
        <v>16.010000000000002</v>
      </c>
      <c r="G28" s="154">
        <f>'P&amp;L Input'!G28</f>
        <v>22.28</v>
      </c>
      <c r="H28" s="32">
        <f>'Revenue Buildup'!H18</f>
        <v>48.776901603901898</v>
      </c>
      <c r="I28" s="32">
        <f>'Revenue Buildup'!I18</f>
        <v>58.308593735396776</v>
      </c>
      <c r="J28" s="32">
        <f>'Revenue Buildup'!J18</f>
        <v>69.079422927349313</v>
      </c>
      <c r="K28" s="32">
        <f>'Revenue Buildup'!K18</f>
        <v>81.107099938019999</v>
      </c>
      <c r="L28" s="32">
        <f>'Revenue Buildup'!L18</f>
        <v>94.375986263960172</v>
      </c>
      <c r="M28" s="32">
        <f>'Revenue Buildup'!M18</f>
        <v>108.83215585071102</v>
      </c>
      <c r="N28" s="32">
        <f>'Revenue Buildup'!N18</f>
        <v>124.37954184359879</v>
      </c>
      <c r="O28" s="32">
        <f>'Revenue Buildup'!O18</f>
        <v>140.87755196789126</v>
      </c>
      <c r="P28" s="32">
        <f>'Revenue Buildup'!P18</f>
        <v>158.14048478445139</v>
      </c>
      <c r="Q28" s="32">
        <f>'Revenue Buildup'!Q18</f>
        <v>175.93899409390178</v>
      </c>
    </row>
    <row r="29" spans="2:17" x14ac:dyDescent="0.15">
      <c r="B29" s="35"/>
      <c r="C29" s="9"/>
      <c r="D29" s="9"/>
      <c r="E29" s="9"/>
      <c r="F29" s="9"/>
      <c r="G29" s="9"/>
      <c r="H29" s="30"/>
      <c r="I29" s="30"/>
      <c r="J29" s="30"/>
      <c r="K29" s="30"/>
      <c r="L29" s="30"/>
      <c r="M29" s="30"/>
      <c r="N29" s="30"/>
      <c r="O29" s="30"/>
      <c r="P29" s="30"/>
      <c r="Q29" s="30"/>
    </row>
    <row r="30" spans="2:17" ht="15" x14ac:dyDescent="0.15">
      <c r="B30" s="35" t="s">
        <v>10</v>
      </c>
      <c r="C30" s="6">
        <f>'P&amp;L Input'!C30</f>
        <v>8.1</v>
      </c>
      <c r="D30" s="6">
        <f>'P&amp;L Input'!D30</f>
        <v>7.68</v>
      </c>
      <c r="E30" s="6">
        <f>'P&amp;L Input'!E30</f>
        <v>24.72</v>
      </c>
      <c r="F30" s="6">
        <f>'P&amp;L Input'!F30</f>
        <v>44.47</v>
      </c>
      <c r="G30" s="6">
        <f>'P&amp;L Input'!G30</f>
        <v>42.06</v>
      </c>
      <c r="H30" s="32">
        <f>'Cost Buildup'!H19</f>
        <v>35.274755876921226</v>
      </c>
      <c r="I30" s="32">
        <f>'Cost Buildup'!I19</f>
        <v>42.167938961054567</v>
      </c>
      <c r="J30" s="32">
        <f>'Cost Buildup'!J19</f>
        <v>49.95724820056865</v>
      </c>
      <c r="K30" s="32">
        <f>'Cost Buildup'!K19</f>
        <v>58.655491761900691</v>
      </c>
      <c r="L30" s="32">
        <f>'Cost Buildup'!L19</f>
        <v>68.251360103581419</v>
      </c>
      <c r="M30" s="32">
        <f>'Cost Buildup'!M19</f>
        <v>78.705854676217754</v>
      </c>
      <c r="N30" s="32">
        <f>'Cost Buildup'!N19</f>
        <v>89.949501307915838</v>
      </c>
      <c r="O30" s="32">
        <f>'Cost Buildup'!O19</f>
        <v>101.88062568140083</v>
      </c>
      <c r="P30" s="32">
        <f>'Cost Buildup'!P19</f>
        <v>114.36493117847523</v>
      </c>
      <c r="Q30" s="32">
        <f>'Cost Buildup'!Q19</f>
        <v>127.23655791611429</v>
      </c>
    </row>
    <row r="31" spans="2:17" x14ac:dyDescent="0.15">
      <c r="B31" s="35"/>
      <c r="C31" s="6"/>
      <c r="D31" s="6"/>
      <c r="E31" s="6"/>
      <c r="F31" s="6"/>
      <c r="G31" s="6"/>
      <c r="H31" s="32"/>
      <c r="I31" s="32"/>
      <c r="J31" s="32"/>
      <c r="K31" s="32"/>
      <c r="L31" s="32"/>
      <c r="M31" s="32"/>
      <c r="N31" s="32"/>
      <c r="O31" s="32"/>
      <c r="P31" s="32"/>
      <c r="Q31" s="32"/>
    </row>
    <row r="32" spans="2:17" s="118" customFormat="1" ht="15" x14ac:dyDescent="0.15">
      <c r="B32" s="312" t="s">
        <v>309</v>
      </c>
      <c r="C32" s="172">
        <f>C26+C28-C30</f>
        <v>339.32999999999987</v>
      </c>
      <c r="D32" s="172">
        <f>D26+D28-D30</f>
        <v>448.04000000000008</v>
      </c>
      <c r="E32" s="172">
        <f t="shared" ref="E32:Q32" si="5">E26+E28-E30</f>
        <v>402.04999999999995</v>
      </c>
      <c r="F32" s="172">
        <f t="shared" si="5"/>
        <v>390.29999999999984</v>
      </c>
      <c r="G32" s="174">
        <f t="shared" si="5"/>
        <v>451.55</v>
      </c>
      <c r="H32" s="212">
        <f t="shared" ca="1" si="5"/>
        <v>714.44719124798883</v>
      </c>
      <c r="I32" s="212">
        <f t="shared" ca="1" si="5"/>
        <v>865.79443712775833</v>
      </c>
      <c r="J32" s="212">
        <f t="shared" ca="1" si="5"/>
        <v>1036.8170962269862</v>
      </c>
      <c r="K32" s="212">
        <f t="shared" ca="1" si="5"/>
        <v>1225.3960656106162</v>
      </c>
      <c r="L32" s="212">
        <f t="shared" ca="1" si="5"/>
        <v>1436.0836721361356</v>
      </c>
      <c r="M32" s="212">
        <f t="shared" ca="1" si="5"/>
        <v>1665.6233407219788</v>
      </c>
      <c r="N32" s="212">
        <f t="shared" ca="1" si="5"/>
        <v>1909.9933584284383</v>
      </c>
      <c r="O32" s="212">
        <f t="shared" ca="1" si="5"/>
        <v>2171.9540219036885</v>
      </c>
      <c r="P32" s="212">
        <f t="shared" ca="1" si="5"/>
        <v>2446.0603717049926</v>
      </c>
      <c r="Q32" s="212">
        <f t="shared" ca="1" si="5"/>
        <v>2726.0745896628</v>
      </c>
    </row>
    <row r="33" spans="2:17" x14ac:dyDescent="0.15">
      <c r="B33" s="35"/>
      <c r="C33" s="6"/>
      <c r="D33" s="6"/>
      <c r="E33" s="6"/>
      <c r="F33" s="6"/>
      <c r="G33" s="6"/>
      <c r="H33" s="32"/>
      <c r="I33" s="32"/>
      <c r="J33" s="32"/>
      <c r="K33" s="32"/>
      <c r="L33" s="32"/>
      <c r="M33" s="32"/>
      <c r="N33" s="32"/>
      <c r="O33" s="32"/>
      <c r="P33" s="32"/>
      <c r="Q33" s="32"/>
    </row>
    <row r="34" spans="2:17" ht="15" x14ac:dyDescent="0.15">
      <c r="B34" s="35" t="s">
        <v>195</v>
      </c>
      <c r="C34" s="20">
        <f>'P&amp;L Input'!C34</f>
        <v>0</v>
      </c>
      <c r="D34" s="20">
        <f>'P&amp;L Input'!D34</f>
        <v>0</v>
      </c>
      <c r="E34" s="6">
        <f>'P&amp;L Input'!E34</f>
        <v>25.32</v>
      </c>
      <c r="F34" s="6">
        <f>'P&amp;L Input'!F34</f>
        <v>-4.1100000000000003</v>
      </c>
      <c r="G34" s="6">
        <f>'P&amp;L Input'!G34</f>
        <v>7.61</v>
      </c>
      <c r="H34" s="32">
        <f>'Revenue Buildup'!H22</f>
        <v>14.709236838783257</v>
      </c>
      <c r="I34" s="32">
        <f>'Revenue Buildup'!I22</f>
        <v>17.58362845502543</v>
      </c>
      <c r="J34" s="32">
        <f>'Revenue Buildup'!J22</f>
        <v>20.831696133064185</v>
      </c>
      <c r="K34" s="32">
        <f>'Revenue Buildup'!K22</f>
        <v>24.458780756171759</v>
      </c>
      <c r="L34" s="32">
        <f>'Revenue Buildup'!L22</f>
        <v>28.460166353397426</v>
      </c>
      <c r="M34" s="32">
        <f>'Revenue Buildup'!M22</f>
        <v>32.819590901514346</v>
      </c>
      <c r="N34" s="32">
        <f>'Revenue Buildup'!N22</f>
        <v>37.508084333312681</v>
      </c>
      <c r="O34" s="32">
        <f>'Revenue Buildup'!O22</f>
        <v>42.483249428002694</v>
      </c>
      <c r="P34" s="32">
        <f>'Revenue Buildup'!P22</f>
        <v>47.6890857763794</v>
      </c>
      <c r="Q34" s="32">
        <f>'Revenue Buildup'!Q22</f>
        <v>53.05643138877582</v>
      </c>
    </row>
    <row r="35" spans="2:17" x14ac:dyDescent="0.15">
      <c r="B35" s="35"/>
      <c r="C35" s="9"/>
      <c r="D35" s="9"/>
      <c r="E35" s="9"/>
      <c r="F35" s="9"/>
      <c r="G35" s="9"/>
      <c r="H35" s="30"/>
      <c r="I35" s="30"/>
      <c r="J35" s="30"/>
      <c r="K35" s="30"/>
      <c r="L35" s="30"/>
      <c r="M35" s="30"/>
      <c r="N35" s="30"/>
      <c r="O35" s="30"/>
      <c r="P35" s="30"/>
      <c r="Q35" s="30"/>
    </row>
    <row r="36" spans="2:17" ht="15" x14ac:dyDescent="0.15">
      <c r="B36" s="85" t="s">
        <v>16</v>
      </c>
      <c r="C36" s="8">
        <f>C32+C34</f>
        <v>339.32999999999987</v>
      </c>
      <c r="D36" s="8">
        <f t="shared" ref="D36:F36" si="6">D32+D34</f>
        <v>448.04000000000008</v>
      </c>
      <c r="E36" s="8">
        <f t="shared" si="6"/>
        <v>427.36999999999995</v>
      </c>
      <c r="F36" s="8">
        <f t="shared" si="6"/>
        <v>386.18999999999983</v>
      </c>
      <c r="G36" s="8">
        <f t="shared" ref="G36:Q36" si="7">G32+G34</f>
        <v>459.16</v>
      </c>
      <c r="H36" s="40">
        <f t="shared" ca="1" si="7"/>
        <v>729.15642808677205</v>
      </c>
      <c r="I36" s="40">
        <f t="shared" ca="1" si="7"/>
        <v>883.37806558278373</v>
      </c>
      <c r="J36" s="40">
        <f t="shared" ca="1" si="7"/>
        <v>1057.6487923600505</v>
      </c>
      <c r="K36" s="40">
        <f t="shared" ca="1" si="7"/>
        <v>1249.854846366788</v>
      </c>
      <c r="L36" s="40">
        <f t="shared" ca="1" si="7"/>
        <v>1464.5438384895331</v>
      </c>
      <c r="M36" s="40">
        <f t="shared" ca="1" si="7"/>
        <v>1698.4429316234932</v>
      </c>
      <c r="N36" s="40">
        <f t="shared" ca="1" si="7"/>
        <v>1947.5014427617509</v>
      </c>
      <c r="O36" s="40">
        <f t="shared" ca="1" si="7"/>
        <v>2214.4372713316911</v>
      </c>
      <c r="P36" s="40">
        <f t="shared" ca="1" si="7"/>
        <v>2493.7494574813718</v>
      </c>
      <c r="Q36" s="40">
        <f t="shared" ca="1" si="7"/>
        <v>2779.1310210515758</v>
      </c>
    </row>
    <row r="37" spans="2:17" x14ac:dyDescent="0.15">
      <c r="B37" s="35"/>
      <c r="C37" s="9"/>
      <c r="D37" s="9"/>
      <c r="E37" s="9"/>
      <c r="F37" s="9"/>
      <c r="G37" s="9"/>
      <c r="H37" s="30"/>
      <c r="I37" s="30"/>
      <c r="J37" s="30"/>
      <c r="K37" s="30"/>
      <c r="L37" s="30"/>
      <c r="M37" s="30"/>
      <c r="N37" s="30"/>
      <c r="O37" s="30"/>
      <c r="P37" s="30"/>
      <c r="Q37" s="30"/>
    </row>
    <row r="38" spans="2:17" ht="15" x14ac:dyDescent="0.15">
      <c r="B38" s="35" t="s">
        <v>17</v>
      </c>
      <c r="C38" s="20">
        <f>'P&amp;L Input'!C38</f>
        <v>87.58</v>
      </c>
      <c r="D38" s="20">
        <f>'P&amp;L Input'!D38</f>
        <v>114.62</v>
      </c>
      <c r="E38" s="6">
        <f>'P&amp;L Input'!E38</f>
        <v>117.1</v>
      </c>
      <c r="F38" s="6">
        <f>'P&amp;L Input'!F38</f>
        <v>75.22</v>
      </c>
      <c r="G38" s="20">
        <f>'P&amp;L Input'!G38</f>
        <v>83.23</v>
      </c>
      <c r="H38" s="32">
        <f ca="1">H36*'Cost Buildup'!H22</f>
        <v>139.4626800349883</v>
      </c>
      <c r="I38" s="32">
        <f ca="1">I36*'Cost Buildup'!I22</f>
        <v>168.96000331994284</v>
      </c>
      <c r="J38" s="32">
        <f ca="1">J36*'Cost Buildup'!J22</f>
        <v>212.86851942270184</v>
      </c>
      <c r="K38" s="32">
        <f ca="1">K36*'Cost Buildup'!K22</f>
        <v>251.55302266805299</v>
      </c>
      <c r="L38" s="32">
        <f ca="1">L36*'Cost Buildup'!L22</f>
        <v>309.40801059305994</v>
      </c>
      <c r="M38" s="32">
        <f ca="1">M36*'Cost Buildup'!M22</f>
        <v>358.82288721480654</v>
      </c>
      <c r="N38" s="32">
        <f ca="1">N36*'Cost Buildup'!N22</f>
        <v>430.91544468028547</v>
      </c>
      <c r="O38" s="32">
        <f ca="1">O36*'Cost Buildup'!O22</f>
        <v>489.97921158882082</v>
      </c>
      <c r="P38" s="32">
        <f ca="1">P36*'Cost Buildup'!P22</f>
        <v>576.71893760569696</v>
      </c>
      <c r="Q38" s="32">
        <f ca="1">Q36*'Cost Buildup'!Q22</f>
        <v>642.71793027141882</v>
      </c>
    </row>
    <row r="39" spans="2:17" x14ac:dyDescent="0.15">
      <c r="B39" s="35"/>
      <c r="C39" s="9"/>
      <c r="D39" s="9"/>
      <c r="E39" s="9"/>
      <c r="F39" s="9"/>
      <c r="G39" s="9"/>
      <c r="H39" s="30"/>
      <c r="I39" s="30"/>
      <c r="J39" s="30"/>
      <c r="K39" s="30"/>
      <c r="L39" s="30"/>
      <c r="M39" s="30"/>
      <c r="N39" s="30"/>
      <c r="O39" s="30"/>
      <c r="P39" s="30"/>
      <c r="Q39" s="30"/>
    </row>
    <row r="40" spans="2:17" ht="16" thickBot="1" x14ac:dyDescent="0.2">
      <c r="B40" s="103" t="s">
        <v>18</v>
      </c>
      <c r="C40" s="104">
        <f>C36-C38</f>
        <v>251.74999999999989</v>
      </c>
      <c r="D40" s="104">
        <f>D36-D38</f>
        <v>333.42000000000007</v>
      </c>
      <c r="E40" s="104">
        <f t="shared" ref="E40:Q40" si="8">E36-E38</f>
        <v>310.27</v>
      </c>
      <c r="F40" s="104">
        <f t="shared" si="8"/>
        <v>310.9699999999998</v>
      </c>
      <c r="G40" s="173">
        <f t="shared" si="8"/>
        <v>375.93</v>
      </c>
      <c r="H40" s="173">
        <f t="shared" ca="1" si="8"/>
        <v>589.69374805178381</v>
      </c>
      <c r="I40" s="173">
        <f t="shared" ca="1" si="8"/>
        <v>714.41806226284086</v>
      </c>
      <c r="J40" s="173">
        <f t="shared" ca="1" si="8"/>
        <v>844.78027293734863</v>
      </c>
      <c r="K40" s="173">
        <f t="shared" ca="1" si="8"/>
        <v>998.30182369873501</v>
      </c>
      <c r="L40" s="173">
        <f t="shared" ca="1" si="8"/>
        <v>1155.1358278964731</v>
      </c>
      <c r="M40" s="173">
        <f t="shared" ca="1" si="8"/>
        <v>1339.6200444086867</v>
      </c>
      <c r="N40" s="173">
        <f t="shared" ca="1" si="8"/>
        <v>1516.5859980814655</v>
      </c>
      <c r="O40" s="173">
        <f t="shared" ca="1" si="8"/>
        <v>1724.4580597428703</v>
      </c>
      <c r="P40" s="173">
        <f t="shared" ca="1" si="8"/>
        <v>1917.0305198756748</v>
      </c>
      <c r="Q40" s="173">
        <f t="shared" ca="1" si="8"/>
        <v>2136.4130907801568</v>
      </c>
    </row>
    <row r="41" spans="2:17" ht="15" thickTop="1" x14ac:dyDescent="0.15">
      <c r="B41" s="201"/>
      <c r="C41" s="202"/>
      <c r="D41" s="202"/>
      <c r="E41" s="202"/>
      <c r="F41" s="202"/>
      <c r="G41" s="203"/>
      <c r="H41" s="52"/>
      <c r="I41" s="52"/>
      <c r="J41" s="52"/>
      <c r="K41" s="52"/>
      <c r="L41" s="52"/>
      <c r="M41" s="52"/>
      <c r="N41" s="52"/>
      <c r="O41" s="52"/>
      <c r="P41" s="52"/>
      <c r="Q41" s="52"/>
    </row>
    <row r="42" spans="2:17" s="5" customFormat="1" ht="15" x14ac:dyDescent="0.15">
      <c r="B42" s="200" t="s">
        <v>241</v>
      </c>
      <c r="C42" s="41">
        <f>(C40-42.4)/24652243*10^7</f>
        <v>84.921278765587317</v>
      </c>
      <c r="D42" s="41">
        <f>(D40-38.29)/27706662*10^7</f>
        <v>106.5195078353358</v>
      </c>
      <c r="E42" s="41">
        <f>(E40-17.26)/30136006*10^7</f>
        <v>97.229208143905993</v>
      </c>
      <c r="F42" s="41">
        <f>(F40-10.68)/30638847*10^7</f>
        <v>98.00956282721728</v>
      </c>
      <c r="G42" s="41">
        <f t="shared" ref="G42:Q42" si="9">(G40)/30868597*10^7</f>
        <v>121.78396057326479</v>
      </c>
      <c r="H42" s="32">
        <f t="shared" ca="1" si="9"/>
        <v>191.03354391253475</v>
      </c>
      <c r="I42" s="32">
        <f t="shared" ca="1" si="9"/>
        <v>231.43846228671842</v>
      </c>
      <c r="J42" s="32">
        <f t="shared" ca="1" si="9"/>
        <v>273.66979877230852</v>
      </c>
      <c r="K42" s="32">
        <f t="shared" ca="1" si="9"/>
        <v>323.40369201060065</v>
      </c>
      <c r="L42" s="32">
        <f t="shared" ca="1" si="9"/>
        <v>374.21066720216442</v>
      </c>
      <c r="M42" s="32">
        <f t="shared" ca="1" si="9"/>
        <v>433.97503437188499</v>
      </c>
      <c r="N42" s="32">
        <f t="shared" ca="1" si="9"/>
        <v>491.30383155459435</v>
      </c>
      <c r="O42" s="32">
        <f t="shared" ca="1" si="9"/>
        <v>558.64478056546284</v>
      </c>
      <c r="P42" s="32">
        <f t="shared" ca="1" si="9"/>
        <v>621.02936517512433</v>
      </c>
      <c r="Q42" s="32">
        <f t="shared" ca="1" si="9"/>
        <v>692.09918765668453</v>
      </c>
    </row>
    <row r="43" spans="2:17" x14ac:dyDescent="0.15">
      <c r="B43" s="85"/>
      <c r="C43" s="310"/>
      <c r="D43" s="310"/>
      <c r="E43" s="310"/>
      <c r="F43" s="311"/>
      <c r="G43" s="310"/>
      <c r="H43" s="52"/>
      <c r="I43" s="52"/>
      <c r="J43" s="52"/>
      <c r="K43" s="52"/>
      <c r="L43" s="52"/>
      <c r="M43" s="52"/>
      <c r="N43" s="52"/>
      <c r="O43" s="52"/>
      <c r="P43" s="52"/>
      <c r="Q43" s="52"/>
    </row>
    <row r="44" spans="2:17" s="9" customFormat="1" ht="15" x14ac:dyDescent="0.15">
      <c r="B44" s="86" t="s">
        <v>396</v>
      </c>
      <c r="C44" s="199">
        <v>13.62</v>
      </c>
      <c r="D44" s="6">
        <v>47.53</v>
      </c>
      <c r="E44" s="6">
        <v>57.41</v>
      </c>
      <c r="F44" s="6">
        <v>58.24</v>
      </c>
      <c r="G44" s="6">
        <v>58.7</v>
      </c>
      <c r="H44" s="31">
        <f t="shared" ref="H44:Q44" ca="1" si="10">H40*H45</f>
        <v>85.519469724655679</v>
      </c>
      <c r="I44" s="31">
        <f t="shared" ca="1" si="10"/>
        <v>103.60743020980614</v>
      </c>
      <c r="J44" s="31">
        <f t="shared" ca="1" si="10"/>
        <v>122.51301834915802</v>
      </c>
      <c r="K44" s="31">
        <f t="shared" ca="1" si="10"/>
        <v>144.77725577035523</v>
      </c>
      <c r="L44" s="31">
        <f t="shared" ca="1" si="10"/>
        <v>167.52187688614021</v>
      </c>
      <c r="M44" s="31">
        <f t="shared" ca="1" si="10"/>
        <v>194.27642943280824</v>
      </c>
      <c r="N44" s="31">
        <f t="shared" ca="1" si="10"/>
        <v>219.94065695330255</v>
      </c>
      <c r="O44" s="31">
        <f t="shared" ca="1" si="10"/>
        <v>250.08699739287115</v>
      </c>
      <c r="P44" s="31">
        <f t="shared" ca="1" si="10"/>
        <v>278.0145355913661</v>
      </c>
      <c r="Q44" s="31">
        <f t="shared" ca="1" si="10"/>
        <v>309.83017072836174</v>
      </c>
    </row>
    <row r="45" spans="2:17" s="205" customFormat="1" ht="15" x14ac:dyDescent="0.15">
      <c r="B45" s="190" t="s">
        <v>234</v>
      </c>
      <c r="C45" s="14">
        <f>C44/C40</f>
        <v>5.410129096325722E-2</v>
      </c>
      <c r="D45" s="14">
        <f>D44/D40</f>
        <v>0.14255293623657847</v>
      </c>
      <c r="E45" s="14">
        <f>E44/E40</f>
        <v>0.18503239114319786</v>
      </c>
      <c r="F45" s="14">
        <f>F44/F40</f>
        <v>0.18728494710100665</v>
      </c>
      <c r="G45" s="14">
        <f>G44/G40</f>
        <v>0.15614609102758492</v>
      </c>
      <c r="H45" s="53">
        <f>AVERAGE(C45:G45)</f>
        <v>0.14502353129432502</v>
      </c>
      <c r="I45" s="53">
        <f t="shared" ref="I45:Q45" si="11">H45</f>
        <v>0.14502353129432502</v>
      </c>
      <c r="J45" s="53">
        <f t="shared" si="11"/>
        <v>0.14502353129432502</v>
      </c>
      <c r="K45" s="53">
        <f t="shared" si="11"/>
        <v>0.14502353129432502</v>
      </c>
      <c r="L45" s="53">
        <f t="shared" si="11"/>
        <v>0.14502353129432502</v>
      </c>
      <c r="M45" s="53">
        <f t="shared" si="11"/>
        <v>0.14502353129432502</v>
      </c>
      <c r="N45" s="53">
        <f t="shared" si="11"/>
        <v>0.14502353129432502</v>
      </c>
      <c r="O45" s="53">
        <f t="shared" si="11"/>
        <v>0.14502353129432502</v>
      </c>
      <c r="P45" s="53">
        <f t="shared" si="11"/>
        <v>0.14502353129432502</v>
      </c>
      <c r="Q45" s="53">
        <f t="shared" si="11"/>
        <v>0.14502353129432502</v>
      </c>
    </row>
    <row r="46" spans="2:17" x14ac:dyDescent="0.15">
      <c r="C46" s="313"/>
      <c r="D46" s="313"/>
      <c r="E46" s="313"/>
      <c r="F46" s="313"/>
      <c r="G46" s="313"/>
    </row>
    <row r="47" spans="2:17" s="9" customFormat="1" x14ac:dyDescent="0.15"/>
    <row r="48" spans="2:17" x14ac:dyDescent="0.15">
      <c r="D48" s="14"/>
      <c r="E48" s="14"/>
      <c r="F48" s="14"/>
      <c r="G48" s="14"/>
    </row>
  </sheetData>
  <mergeCells count="3">
    <mergeCell ref="B8:B9"/>
    <mergeCell ref="P6:Q6"/>
    <mergeCell ref="B7:Q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tabColor rgb="FF92D050"/>
  </sheetPr>
  <dimension ref="B6:R76"/>
  <sheetViews>
    <sheetView showGridLines="0" zoomScale="75" workbookViewId="0">
      <selection activeCell="C32" sqref="C32"/>
    </sheetView>
  </sheetViews>
  <sheetFormatPr baseColWidth="10" defaultColWidth="8.83203125" defaultRowHeight="15" x14ac:dyDescent="0.2"/>
  <cols>
    <col min="1" max="1" width="5.5" customWidth="1"/>
    <col min="2" max="2" width="3.1640625" customWidth="1"/>
    <col min="3" max="3" width="33.83203125" customWidth="1"/>
    <col min="4" max="17" width="13.1640625" bestFit="1" customWidth="1"/>
    <col min="18" max="18" width="14.33203125" bestFit="1" customWidth="1"/>
  </cols>
  <sheetData>
    <row r="6" spans="2:18" ht="10.75" customHeight="1" x14ac:dyDescent="0.2">
      <c r="C6" s="3"/>
      <c r="D6" s="3"/>
      <c r="E6" s="2"/>
      <c r="F6" s="2"/>
      <c r="G6" s="111"/>
      <c r="H6" s="111"/>
      <c r="Q6" s="503" t="s">
        <v>64</v>
      </c>
      <c r="R6" s="503"/>
    </row>
    <row r="7" spans="2:18" ht="16" x14ac:dyDescent="0.2">
      <c r="B7" s="518" t="s">
        <v>157</v>
      </c>
      <c r="C7" s="519"/>
      <c r="D7" s="519"/>
      <c r="E7" s="519"/>
      <c r="F7" s="519"/>
      <c r="G7" s="519"/>
      <c r="H7" s="519"/>
      <c r="I7" s="519"/>
      <c r="J7" s="519"/>
      <c r="K7" s="519"/>
      <c r="L7" s="519"/>
      <c r="M7" s="519"/>
      <c r="N7" s="519"/>
      <c r="O7" s="519"/>
      <c r="P7" s="519"/>
      <c r="Q7" s="519"/>
      <c r="R7" s="520"/>
    </row>
    <row r="8" spans="2:18" ht="14.5" customHeight="1" x14ac:dyDescent="0.2">
      <c r="B8" s="501" t="s">
        <v>0</v>
      </c>
      <c r="C8" s="528"/>
      <c r="D8" s="195">
        <f>'Income Statement'!C8</f>
        <v>2021</v>
      </c>
      <c r="E8" s="195">
        <f>'Income Statement'!D8</f>
        <v>2022</v>
      </c>
      <c r="F8" s="195">
        <f>'Income Statement'!E8</f>
        <v>2023</v>
      </c>
      <c r="G8" s="195">
        <f>'Income Statement'!F8</f>
        <v>2024</v>
      </c>
      <c r="H8" s="195">
        <f>'Income Statement'!G8</f>
        <v>2025</v>
      </c>
      <c r="I8" s="217">
        <f>'Income Statement'!H8</f>
        <v>2026</v>
      </c>
      <c r="J8" s="217">
        <f>'Income Statement'!I8</f>
        <v>2027</v>
      </c>
      <c r="K8" s="217">
        <f>'Income Statement'!J8</f>
        <v>2028</v>
      </c>
      <c r="L8" s="217">
        <f>'Income Statement'!K8</f>
        <v>2029</v>
      </c>
      <c r="M8" s="217">
        <f>'Income Statement'!L8</f>
        <v>2030</v>
      </c>
      <c r="N8" s="217">
        <f>'Income Statement'!M8</f>
        <v>2031</v>
      </c>
      <c r="O8" s="217">
        <f>'Income Statement'!N8</f>
        <v>2032</v>
      </c>
      <c r="P8" s="217">
        <f>'Income Statement'!O8</f>
        <v>2033</v>
      </c>
      <c r="Q8" s="217">
        <f>'Income Statement'!P8</f>
        <v>2034</v>
      </c>
      <c r="R8" s="217">
        <f>'Income Statement'!Q8</f>
        <v>2035</v>
      </c>
    </row>
    <row r="9" spans="2:18" x14ac:dyDescent="0.2">
      <c r="B9" s="502"/>
      <c r="C9" s="529"/>
      <c r="D9" s="13" t="s">
        <v>1</v>
      </c>
      <c r="E9" s="13" t="s">
        <v>1</v>
      </c>
      <c r="F9" s="13" t="s">
        <v>1</v>
      </c>
      <c r="G9" s="13" t="s">
        <v>1</v>
      </c>
      <c r="H9" s="13" t="s">
        <v>1</v>
      </c>
      <c r="I9" s="110" t="s">
        <v>52</v>
      </c>
      <c r="J9" s="110" t="s">
        <v>53</v>
      </c>
      <c r="K9" s="110" t="s">
        <v>53</v>
      </c>
      <c r="L9" s="110" t="s">
        <v>53</v>
      </c>
      <c r="M9" s="110" t="s">
        <v>53</v>
      </c>
      <c r="N9" s="110" t="s">
        <v>53</v>
      </c>
      <c r="O9" s="110" t="s">
        <v>53</v>
      </c>
      <c r="P9" s="110" t="s">
        <v>53</v>
      </c>
      <c r="Q9" s="110" t="s">
        <v>53</v>
      </c>
      <c r="R9" s="110" t="s">
        <v>53</v>
      </c>
    </row>
    <row r="10" spans="2:18" x14ac:dyDescent="0.2">
      <c r="B10" s="508" t="s">
        <v>19</v>
      </c>
      <c r="C10" s="530"/>
      <c r="D10" s="107"/>
      <c r="E10" s="4"/>
      <c r="F10" s="4"/>
      <c r="G10" s="4"/>
      <c r="H10" s="4"/>
      <c r="I10" s="54"/>
      <c r="J10" s="54"/>
      <c r="K10" s="54"/>
      <c r="L10" s="54"/>
      <c r="M10" s="54"/>
      <c r="N10" s="54"/>
      <c r="O10" s="54"/>
      <c r="P10" s="54"/>
      <c r="Q10" s="54"/>
      <c r="R10" s="54"/>
    </row>
    <row r="11" spans="2:18" x14ac:dyDescent="0.2">
      <c r="B11" s="2"/>
      <c r="C11" s="34"/>
      <c r="D11" s="2"/>
      <c r="E11" s="2"/>
      <c r="F11" s="2"/>
      <c r="G11" s="2"/>
      <c r="H11" s="2"/>
      <c r="I11" s="54"/>
      <c r="J11" s="54"/>
      <c r="K11" s="54"/>
      <c r="L11" s="54"/>
      <c r="M11" s="54"/>
      <c r="N11" s="54"/>
      <c r="O11" s="54"/>
      <c r="P11" s="54"/>
      <c r="Q11" s="54"/>
      <c r="R11" s="54"/>
    </row>
    <row r="12" spans="2:18" x14ac:dyDescent="0.2">
      <c r="B12" s="525" t="s">
        <v>20</v>
      </c>
      <c r="C12" s="526"/>
      <c r="D12" s="106"/>
      <c r="E12" s="4"/>
      <c r="F12" s="43"/>
      <c r="G12" s="43"/>
      <c r="H12" s="4"/>
      <c r="I12" s="55"/>
      <c r="J12" s="55"/>
      <c r="K12" s="55"/>
      <c r="L12" s="55"/>
      <c r="M12" s="55"/>
      <c r="N12" s="55"/>
      <c r="O12" s="55"/>
      <c r="P12" s="55"/>
      <c r="Q12" s="55"/>
      <c r="R12" s="55"/>
    </row>
    <row r="13" spans="2:18" x14ac:dyDescent="0.2">
      <c r="B13" s="2"/>
      <c r="C13" s="34" t="s">
        <v>21</v>
      </c>
      <c r="D13" s="6">
        <f>VLOOKUP($C13,'BS Input'!$C$13:$H$25,COUNTBLANK('Balance Sheet'!$C$6:D$6),0)</f>
        <v>47.62</v>
      </c>
      <c r="E13" s="6">
        <f>VLOOKUP($C13,'BS Input'!$C$13:$H$25,COUNTBLANK('Balance Sheet'!$C$6:E$6),0)</f>
        <v>56.47</v>
      </c>
      <c r="F13" s="6">
        <f>VLOOKUP($C13,'BS Input'!$C$13:$H$25,COUNTBLANK('Balance Sheet'!$C$6:F$6),0)</f>
        <v>59.32</v>
      </c>
      <c r="G13" s="6">
        <f>VLOOKUP($C13,'BS Input'!$C$13:$H$25,COUNTBLANK('Balance Sheet'!$C$6:G$6),0)</f>
        <v>59.24</v>
      </c>
      <c r="H13" s="6">
        <f>VLOOKUP($C13,'BS Input'!$C$13:$H$25,COUNTBLANK('Balance Sheet'!$C$6:H$6),0)</f>
        <v>57.68</v>
      </c>
      <c r="I13" s="31">
        <f>FAS!H116</f>
        <v>69.14800000000001</v>
      </c>
      <c r="J13" s="31">
        <f>FAS!I116</f>
        <v>65.676000000000002</v>
      </c>
      <c r="K13" s="31">
        <f>FAS!J116</f>
        <v>62.204000000000001</v>
      </c>
      <c r="L13" s="31">
        <f>FAS!K116</f>
        <v>58.594719999999995</v>
      </c>
      <c r="M13" s="31">
        <f>FAS!L116</f>
        <v>54.985439999999997</v>
      </c>
      <c r="N13" s="31">
        <f>FAS!M116</f>
        <v>51.376159999999999</v>
      </c>
      <c r="O13" s="31">
        <f>FAS!N116</f>
        <v>47.624108800000002</v>
      </c>
      <c r="P13" s="31">
        <f>FAS!O116</f>
        <v>43.872057600000005</v>
      </c>
      <c r="Q13" s="31">
        <f>FAS!P116</f>
        <v>40.120006400000037</v>
      </c>
      <c r="R13" s="31">
        <f>FAS!Q116</f>
        <v>36.219473152000035</v>
      </c>
    </row>
    <row r="14" spans="2:18" x14ac:dyDescent="0.2">
      <c r="B14" s="2"/>
      <c r="C14" s="34" t="s">
        <v>212</v>
      </c>
      <c r="D14" s="6">
        <f>VLOOKUP($C14,'BS Input'!$C$13:$H$25,COUNTBLANK('Balance Sheet'!$C$6:D$6),0)</f>
        <v>11.43</v>
      </c>
      <c r="E14" s="6">
        <f>VLOOKUP($C14,'BS Input'!$C$13:$H$25,COUNTBLANK('Balance Sheet'!$C$6:E$6),0)</f>
        <v>11.37</v>
      </c>
      <c r="F14" s="6">
        <f>VLOOKUP($C14,'BS Input'!$C$13:$H$25,COUNTBLANK('Balance Sheet'!$C$6:F$6),0)</f>
        <v>29.58</v>
      </c>
      <c r="G14" s="6">
        <f>VLOOKUP($C14,'BS Input'!$C$13:$H$25,COUNTBLANK('Balance Sheet'!$C$6:G$6),0)</f>
        <v>28.9</v>
      </c>
      <c r="H14" s="6">
        <f>VLOOKUP($C14,'BS Input'!$C$13:$H$25,COUNTBLANK('Balance Sheet'!$C$6:H$6),0)</f>
        <v>24.55</v>
      </c>
      <c r="I14" s="55">
        <f>FAS!H133</f>
        <v>20.025999999999975</v>
      </c>
      <c r="J14" s="55">
        <f>FAS!I133</f>
        <v>15.501999999999967</v>
      </c>
      <c r="K14" s="55">
        <f>FAS!J133</f>
        <v>10.977999999999952</v>
      </c>
      <c r="L14" s="55">
        <f>FAS!K133</f>
        <v>6.2730399999999662</v>
      </c>
      <c r="M14" s="55">
        <f>FAS!L133</f>
        <v>1.5680799999999806</v>
      </c>
      <c r="N14" s="55">
        <f>FAS!M133</f>
        <v>-3.136880000000005</v>
      </c>
      <c r="O14" s="55">
        <f>FAS!N133</f>
        <v>-8.0300383999999951</v>
      </c>
      <c r="P14" s="55">
        <f>FAS!O133</f>
        <v>-12.923196799999999</v>
      </c>
      <c r="Q14" s="55">
        <f>FAS!P133</f>
        <v>-17.816355200000004</v>
      </c>
      <c r="R14" s="55">
        <f>FAS!Q133</f>
        <v>-22.905239935999987</v>
      </c>
    </row>
    <row r="15" spans="2:18" x14ac:dyDescent="0.2">
      <c r="B15" s="2"/>
      <c r="C15" s="34" t="s">
        <v>22</v>
      </c>
      <c r="D15" s="6">
        <f>VLOOKUP($C15,'BS Input'!$C$13:$H$25,COUNTBLANK('Balance Sheet'!$C$6:D$6),0)</f>
        <v>1.54</v>
      </c>
      <c r="E15" s="6">
        <f>VLOOKUP($C15,'BS Input'!$C$13:$H$25,COUNTBLANK('Balance Sheet'!$C$6:E$6),0)</f>
        <v>4.3499999999999996</v>
      </c>
      <c r="F15" s="6">
        <f>VLOOKUP($C15,'BS Input'!$C$13:$H$25,COUNTBLANK('Balance Sheet'!$C$6:F$6),0)</f>
        <v>6.66</v>
      </c>
      <c r="G15" s="6">
        <f>VLOOKUP($C15,'BS Input'!$C$13:$H$25,COUNTBLANK('Balance Sheet'!$C$6:G$6),0)</f>
        <v>0.94</v>
      </c>
      <c r="H15" s="6">
        <f>VLOOKUP($C15,'BS Input'!$C$13:$H$25,COUNTBLANK('Balance Sheet'!$C$6:H$6),0)</f>
        <v>1.81</v>
      </c>
      <c r="I15" s="55">
        <f>FAS!H176</f>
        <v>27.173999999999999</v>
      </c>
      <c r="J15" s="55">
        <f>FAS!I176</f>
        <v>29.811119999999999</v>
      </c>
      <c r="K15" s="55">
        <f>FAS!J176</f>
        <v>32.461425599999998</v>
      </c>
      <c r="L15" s="55">
        <f>FAS!K176</f>
        <v>35.124982727999999</v>
      </c>
      <c r="M15" s="55">
        <f>FAS!L176</f>
        <v>37.801857641639998</v>
      </c>
      <c r="N15" s="55">
        <f>FAS!M176</f>
        <v>40.492116929848194</v>
      </c>
      <c r="O15" s="55">
        <f>FAS!N176</f>
        <v>43.195827514497431</v>
      </c>
      <c r="P15" s="55">
        <f>FAS!O176</f>
        <v>45.913056652069919</v>
      </c>
      <c r="Q15" s="55">
        <f>FAS!P176</f>
        <v>48.643871935330267</v>
      </c>
      <c r="R15" s="55">
        <f>FAS!Q176</f>
        <v>51.388341295006917</v>
      </c>
    </row>
    <row r="16" spans="2:18" x14ac:dyDescent="0.2">
      <c r="B16" s="2"/>
      <c r="C16" s="34" t="s">
        <v>327</v>
      </c>
      <c r="D16" s="6">
        <f>VLOOKUP($C16,'BS Input'!$C$13:$H$25,COUNTBLANK('Balance Sheet'!$C$6:D$6),0)</f>
        <v>0</v>
      </c>
      <c r="E16" s="6">
        <f>VLOOKUP($C16,'BS Input'!$C$13:$H$25,COUNTBLANK('Balance Sheet'!$C$6:E$6),0)</f>
        <v>0</v>
      </c>
      <c r="F16" s="6">
        <f>VLOOKUP($C16,'BS Input'!$C$13:$H$25,COUNTBLANK('Balance Sheet'!$C$6:F$6),0)</f>
        <v>0</v>
      </c>
      <c r="G16" s="6">
        <f>VLOOKUP($C16,'BS Input'!$C$13:$H$25,COUNTBLANK('Balance Sheet'!$C$6:G$6),0)</f>
        <v>0</v>
      </c>
      <c r="H16" s="6">
        <f>VLOOKUP($C16,'BS Input'!$C$13:$H$25,COUNTBLANK('Balance Sheet'!$C$6:H$6),0)</f>
        <v>0.17</v>
      </c>
      <c r="I16" s="55">
        <v>0</v>
      </c>
      <c r="J16" s="55">
        <v>0</v>
      </c>
      <c r="K16" s="55">
        <v>0</v>
      </c>
      <c r="L16" s="55">
        <v>0</v>
      </c>
      <c r="M16" s="55">
        <v>0</v>
      </c>
      <c r="N16" s="55">
        <v>0</v>
      </c>
      <c r="O16" s="55">
        <v>0</v>
      </c>
      <c r="P16" s="55">
        <v>0</v>
      </c>
      <c r="Q16" s="55">
        <v>0</v>
      </c>
      <c r="R16" s="55">
        <v>0</v>
      </c>
    </row>
    <row r="17" spans="2:18" x14ac:dyDescent="0.2">
      <c r="B17" s="2"/>
      <c r="C17" s="34" t="s">
        <v>296</v>
      </c>
      <c r="D17" s="6">
        <f>VLOOKUP($C17,'BS Input'!$C$13:$H$25,COUNTBLANK('Balance Sheet'!$C$6:D$6),0)</f>
        <v>4.5</v>
      </c>
      <c r="E17" s="6">
        <f>VLOOKUP($C17,'BS Input'!$C$13:$H$25,COUNTBLANK('Balance Sheet'!$C$6:E$6),0)</f>
        <v>4.1399999999999997</v>
      </c>
      <c r="F17" s="6">
        <f>VLOOKUP($C17,'BS Input'!$C$13:$H$25,COUNTBLANK('Balance Sheet'!$C$6:F$6),0)</f>
        <v>0</v>
      </c>
      <c r="G17" s="6">
        <f>VLOOKUP($C17,'BS Input'!$C$13:$H$25,COUNTBLANK('Balance Sheet'!$C$6:G$6),0)</f>
        <v>0</v>
      </c>
      <c r="H17" s="6">
        <f>VLOOKUP($C17,'BS Input'!$C$13:$H$25,COUNTBLANK('Balance Sheet'!$C$6:H$6),0)</f>
        <v>0</v>
      </c>
      <c r="I17" s="55">
        <f t="shared" ref="I17:R17" si="0">H17</f>
        <v>0</v>
      </c>
      <c r="J17" s="55">
        <f t="shared" si="0"/>
        <v>0</v>
      </c>
      <c r="K17" s="55">
        <f t="shared" si="0"/>
        <v>0</v>
      </c>
      <c r="L17" s="55">
        <f t="shared" si="0"/>
        <v>0</v>
      </c>
      <c r="M17" s="55">
        <f t="shared" si="0"/>
        <v>0</v>
      </c>
      <c r="N17" s="55">
        <f t="shared" si="0"/>
        <v>0</v>
      </c>
      <c r="O17" s="55">
        <f t="shared" si="0"/>
        <v>0</v>
      </c>
      <c r="P17" s="55">
        <f t="shared" si="0"/>
        <v>0</v>
      </c>
      <c r="Q17" s="55">
        <f t="shared" si="0"/>
        <v>0</v>
      </c>
      <c r="R17" s="55">
        <f t="shared" si="0"/>
        <v>0</v>
      </c>
    </row>
    <row r="18" spans="2:18" x14ac:dyDescent="0.2">
      <c r="B18" s="2"/>
      <c r="C18" s="34" t="s">
        <v>247</v>
      </c>
      <c r="D18" s="6">
        <f>VLOOKUP($C18,'BS Input'!$C$13:$H$25,COUNTBLANK('Balance Sheet'!$C$6:D$6),0)</f>
        <v>660.12</v>
      </c>
      <c r="E18" s="6">
        <f>VLOOKUP($C18,'BS Input'!$C$13:$H$25,COUNTBLANK('Balance Sheet'!$C$6:E$6),0)</f>
        <v>698.01</v>
      </c>
      <c r="F18" s="6">
        <f>VLOOKUP($C18,'BS Input'!$C$13:$H$25,COUNTBLANK('Balance Sheet'!$C$6:F$6),0)</f>
        <v>1497.58</v>
      </c>
      <c r="G18" s="6">
        <f>VLOOKUP($C18,'BS Input'!$C$13:$H$25,COUNTBLANK('Balance Sheet'!$C$6:G$6),0)</f>
        <v>1707.24</v>
      </c>
      <c r="H18" s="6">
        <f>VLOOKUP($C18,'BS Input'!$C$13:$H$25,COUNTBLANK('Balance Sheet'!$C$6:H$6),0)</f>
        <v>1625.06</v>
      </c>
      <c r="I18" s="55">
        <f t="shared" ref="I18:R18" si="1">H18</f>
        <v>1625.06</v>
      </c>
      <c r="J18" s="55">
        <f t="shared" si="1"/>
        <v>1625.06</v>
      </c>
      <c r="K18" s="55">
        <f t="shared" si="1"/>
        <v>1625.06</v>
      </c>
      <c r="L18" s="55">
        <f t="shared" si="1"/>
        <v>1625.06</v>
      </c>
      <c r="M18" s="55">
        <f t="shared" si="1"/>
        <v>1625.06</v>
      </c>
      <c r="N18" s="55">
        <f t="shared" si="1"/>
        <v>1625.06</v>
      </c>
      <c r="O18" s="55">
        <f t="shared" si="1"/>
        <v>1625.06</v>
      </c>
      <c r="P18" s="55">
        <f t="shared" si="1"/>
        <v>1625.06</v>
      </c>
      <c r="Q18" s="55">
        <f t="shared" si="1"/>
        <v>1625.06</v>
      </c>
      <c r="R18" s="55">
        <f t="shared" si="1"/>
        <v>1625.06</v>
      </c>
    </row>
    <row r="19" spans="2:18" x14ac:dyDescent="0.2">
      <c r="B19" s="2"/>
      <c r="C19" s="34" t="s">
        <v>196</v>
      </c>
      <c r="D19" s="6">
        <f>VLOOKUP($C19,'BS Input'!$C$13:$H$25,COUNTBLANK('Balance Sheet'!$C$6:D$6),0)</f>
        <v>83.13</v>
      </c>
      <c r="E19" s="6">
        <f>VLOOKUP($C19,'BS Input'!$C$13:$H$25,COUNTBLANK('Balance Sheet'!$C$6:E$6),0)</f>
        <v>71.040000000000006</v>
      </c>
      <c r="F19" s="6">
        <f>VLOOKUP($C19,'BS Input'!$C$13:$H$25,COUNTBLANK('Balance Sheet'!$C$6:F$6),0)</f>
        <v>153.77000000000001</v>
      </c>
      <c r="G19" s="6">
        <f>VLOOKUP($C19,'BS Input'!$C$13:$H$25,COUNTBLANK('Balance Sheet'!$C$6:G$6),0)</f>
        <v>154.55000000000001</v>
      </c>
      <c r="H19" s="6">
        <f>VLOOKUP($C19,'BS Input'!$C$13:$H$25,COUNTBLANK('Balance Sheet'!$C$6:H$6),0)</f>
        <v>110.62</v>
      </c>
      <c r="I19" s="55">
        <f>FAS!H167</f>
        <v>88.539199999999965</v>
      </c>
      <c r="J19" s="55">
        <f>FAS!I167</f>
        <v>77.338399999999979</v>
      </c>
      <c r="K19" s="55">
        <f>FAS!J167</f>
        <v>66.137599999999992</v>
      </c>
      <c r="L19" s="55">
        <f>FAS!K167</f>
        <v>54.488767999999965</v>
      </c>
      <c r="M19" s="55">
        <f>FAS!L167</f>
        <v>42.839935999999938</v>
      </c>
      <c r="N19" s="55">
        <f>FAS!M167</f>
        <v>31.191103999999939</v>
      </c>
      <c r="O19" s="55">
        <f>FAS!N167</f>
        <v>19.076318719999961</v>
      </c>
      <c r="P19" s="55">
        <f>FAS!O167</f>
        <v>6.9615334399999256</v>
      </c>
      <c r="Q19" s="55">
        <f>FAS!P167</f>
        <v>-5.1532518400001095</v>
      </c>
      <c r="R19" s="55">
        <f>FAS!Q167</f>
        <v>-17.752628531200116</v>
      </c>
    </row>
    <row r="20" spans="2:18" x14ac:dyDescent="0.2">
      <c r="B20" s="2"/>
      <c r="C20" s="176" t="s">
        <v>197</v>
      </c>
      <c r="D20" s="6"/>
      <c r="E20" s="6"/>
      <c r="F20" s="6"/>
      <c r="G20" s="6"/>
      <c r="H20" s="6"/>
      <c r="I20" s="55"/>
      <c r="J20" s="55"/>
      <c r="K20" s="55"/>
      <c r="L20" s="55"/>
      <c r="M20" s="55"/>
      <c r="N20" s="55"/>
      <c r="O20" s="55"/>
      <c r="P20" s="55"/>
      <c r="Q20" s="55"/>
      <c r="R20" s="55"/>
    </row>
    <row r="21" spans="2:18" x14ac:dyDescent="0.2">
      <c r="B21" s="2"/>
      <c r="C21" s="171" t="s">
        <v>307</v>
      </c>
      <c r="D21" s="6">
        <f>VLOOKUP($C21,'BS Input'!$C$13:$H$25,COUNTBLANK('Balance Sheet'!$C$6:D$6),0)</f>
        <v>41.19</v>
      </c>
      <c r="E21" s="6">
        <f>VLOOKUP($C21,'BS Input'!$C$13:$H$25,COUNTBLANK('Balance Sheet'!$C$6:E$6),0)</f>
        <v>10.77</v>
      </c>
      <c r="F21" s="6">
        <f>VLOOKUP($C21,'BS Input'!$C$13:$H$25,COUNTBLANK('Balance Sheet'!$C$6:F$6),0)</f>
        <v>12.94</v>
      </c>
      <c r="G21" s="6">
        <f>VLOOKUP($C21,'BS Input'!$C$13:$H$25,COUNTBLANK('Balance Sheet'!$C$6:G$6),0)</f>
        <v>17.079999999999998</v>
      </c>
      <c r="H21" s="6">
        <f>VLOOKUP($C21,'BS Input'!$C$13:$H$25,COUNTBLANK('Balance Sheet'!$C$6:H$6),0)</f>
        <v>17.37</v>
      </c>
      <c r="I21" s="55">
        <f>'BS items '!I13</f>
        <v>36.633910686549847</v>
      </c>
      <c r="J21" s="55">
        <f>'BS items '!J13</f>
        <v>43.792691723370368</v>
      </c>
      <c r="K21" s="55">
        <f>'BS items '!K13</f>
        <v>51.88212712544415</v>
      </c>
      <c r="L21" s="55">
        <f>'BS items '!L13</f>
        <v>60.915518564566042</v>
      </c>
      <c r="M21" s="55">
        <f>'BS items '!M13</f>
        <v>70.881120736713655</v>
      </c>
      <c r="N21" s="55">
        <f>'BS items '!N13</f>
        <v>81.738432457970745</v>
      </c>
      <c r="O21" s="55">
        <f>'BS items '!O13</f>
        <v>93.41530268023196</v>
      </c>
      <c r="P21" s="55">
        <f>'BS items '!P13</f>
        <v>105.80613952155315</v>
      </c>
      <c r="Q21" s="55">
        <f>'BS items '!Q13</f>
        <v>118.77147184473588</v>
      </c>
      <c r="R21" s="55">
        <f>'BS items '!R13</f>
        <v>132.13904909863783</v>
      </c>
    </row>
    <row r="22" spans="2:18" x14ac:dyDescent="0.2">
      <c r="B22" s="2"/>
      <c r="C22" s="171" t="s">
        <v>200</v>
      </c>
      <c r="D22" s="6">
        <f>VLOOKUP($C22,'BS Input'!$C$13:$H$25,COUNTBLANK('Balance Sheet'!$C$6:D$6),0)</f>
        <v>26.34</v>
      </c>
      <c r="E22" s="6">
        <f>VLOOKUP($C22,'BS Input'!$C$13:$H$25,COUNTBLANK('Balance Sheet'!$C$6:E$6),0)</f>
        <v>41.56</v>
      </c>
      <c r="F22" s="6">
        <f>VLOOKUP($C22,'BS Input'!$C$13:$H$25,COUNTBLANK('Balance Sheet'!$C$6:F$6),0)</f>
        <v>31.3</v>
      </c>
      <c r="G22" s="6">
        <f>VLOOKUP($C22,'BS Input'!$C$13:$H$25,COUNTBLANK('Balance Sheet'!$C$6:G$6),0)</f>
        <v>35.64</v>
      </c>
      <c r="H22" s="6">
        <f>VLOOKUP($C22,'BS Input'!$C$13:$H$25,COUNTBLANK('Balance Sheet'!$C$6:H$6),0)</f>
        <v>20.52</v>
      </c>
      <c r="I22" s="55">
        <f>'BS items '!I15</f>
        <v>52.801400760291664</v>
      </c>
      <c r="J22" s="55">
        <f>'BS items '!J15</f>
        <v>63.119536591176825</v>
      </c>
      <c r="K22" s="55">
        <f>'BS items '!K15</f>
        <v>74.779048572959624</v>
      </c>
      <c r="L22" s="55">
        <f>'BS items '!L15</f>
        <v>87.799108748429376</v>
      </c>
      <c r="M22" s="55">
        <f>'BS items '!M15</f>
        <v>102.16278830782713</v>
      </c>
      <c r="N22" s="55">
        <f>'BS items '!N15</f>
        <v>117.81171184969699</v>
      </c>
      <c r="O22" s="55">
        <f>'BS items '!O15</f>
        <v>134.64188620664598</v>
      </c>
      <c r="P22" s="55">
        <f>'BS items '!P15</f>
        <v>152.50111907457443</v>
      </c>
      <c r="Q22" s="55">
        <f>'BS items '!Q15</f>
        <v>171.18838710457706</v>
      </c>
      <c r="R22" s="55">
        <f>'BS items '!R15</f>
        <v>190.45542113260348</v>
      </c>
    </row>
    <row r="23" spans="2:18" x14ac:dyDescent="0.2">
      <c r="B23" s="2"/>
      <c r="C23" s="171" t="s">
        <v>249</v>
      </c>
      <c r="D23" s="6">
        <f>VLOOKUP($C23,'BS Input'!$C$13:$H$25,COUNTBLANK('Balance Sheet'!$C$6:D$6),0)</f>
        <v>53.2</v>
      </c>
      <c r="E23" s="6">
        <f>VLOOKUP($C23,'BS Input'!$C$13:$H$25,COUNTBLANK('Balance Sheet'!$C$6:E$6),0)</f>
        <v>70.5</v>
      </c>
      <c r="F23" s="6">
        <f>VLOOKUP($C23,'BS Input'!$C$13:$H$25,COUNTBLANK('Balance Sheet'!$C$6:F$6),0)</f>
        <v>104.85</v>
      </c>
      <c r="G23" s="6">
        <f>VLOOKUP($C23,'BS Input'!$C$13:$H$25,COUNTBLANK('Balance Sheet'!$C$6:G$6),0)</f>
        <v>107.6</v>
      </c>
      <c r="H23" s="6">
        <f>VLOOKUP($C23,'BS Input'!$C$13:$H$25,COUNTBLANK('Balance Sheet'!$C$6:H$6),0)</f>
        <v>154.63</v>
      </c>
      <c r="I23" s="55">
        <f>'BS items '!I17</f>
        <v>151.53153862298416</v>
      </c>
      <c r="J23" s="55">
        <f>'BS items '!J17</f>
        <v>181.14293104177756</v>
      </c>
      <c r="K23" s="55">
        <f>'BS items '!K17</f>
        <v>214.6038575466165</v>
      </c>
      <c r="L23" s="55">
        <f>'BS items '!L17</f>
        <v>251.96933882067566</v>
      </c>
      <c r="M23" s="55">
        <f>'BS items '!M17</f>
        <v>293.19079189924406</v>
      </c>
      <c r="N23" s="55">
        <f>'BS items '!N17</f>
        <v>338.1006887570615</v>
      </c>
      <c r="O23" s="55">
        <f>'BS items '!O17</f>
        <v>386.4005857082704</v>
      </c>
      <c r="P23" s="55">
        <f>'BS items '!P17</f>
        <v>437.65371528695664</v>
      </c>
      <c r="Q23" s="55">
        <f>'BS items '!Q17</f>
        <v>491.2831727724091</v>
      </c>
      <c r="R23" s="55">
        <f>'BS items '!R17</f>
        <v>546.57646554360849</v>
      </c>
    </row>
    <row r="24" spans="2:18" x14ac:dyDescent="0.2">
      <c r="B24" s="2"/>
      <c r="C24" s="34" t="s">
        <v>297</v>
      </c>
      <c r="D24" s="6">
        <f>VLOOKUP($C24,'BS Input'!$C$13:$H$25,COUNTBLANK('Balance Sheet'!$C$6:D$6),0)</f>
        <v>0</v>
      </c>
      <c r="E24" s="6">
        <f>VLOOKUP($C24,'BS Input'!$C$13:$H$25,COUNTBLANK('Balance Sheet'!$C$6:E$6),0)</f>
        <v>3.22</v>
      </c>
      <c r="F24" s="6">
        <f>VLOOKUP($C24,'BS Input'!$C$13:$H$25,COUNTBLANK('Balance Sheet'!$C$6:F$6),0)</f>
        <v>3.23</v>
      </c>
      <c r="G24" s="6">
        <f>VLOOKUP($C24,'BS Input'!$C$13:$H$25,COUNTBLANK('Balance Sheet'!$C$6:G$6),0)</f>
        <v>29</v>
      </c>
      <c r="H24" s="6">
        <f>VLOOKUP($C24,'BS Input'!$C$13:$H$25,COUNTBLANK('Balance Sheet'!$C$6:H$6),0)</f>
        <v>22.07</v>
      </c>
      <c r="I24" s="55">
        <f>'BS items '!I19</f>
        <v>15.328609841715149</v>
      </c>
      <c r="J24" s="55">
        <f>'BS items '!J19</f>
        <v>18.324035648001775</v>
      </c>
      <c r="K24" s="55">
        <f>'BS items '!K19</f>
        <v>21.708872177716682</v>
      </c>
      <c r="L24" s="55">
        <f>'BS items '!L19</f>
        <v>25.488685206758877</v>
      </c>
      <c r="M24" s="55">
        <f>'BS items '!M19</f>
        <v>29.658560185208426</v>
      </c>
      <c r="N24" s="55">
        <f>'BS items '!N19</f>
        <v>34.201550332480217</v>
      </c>
      <c r="O24" s="55">
        <f>'BS items '!O19</f>
        <v>39.087465716750131</v>
      </c>
      <c r="P24" s="55">
        <f>'BS items '!P19</f>
        <v>44.272123865264348</v>
      </c>
      <c r="Q24" s="55">
        <f>'BS items '!Q19</f>
        <v>49.697166317071542</v>
      </c>
      <c r="R24" s="55">
        <f>'BS items '!R19</f>
        <v>55.290518826097575</v>
      </c>
    </row>
    <row r="25" spans="2:18" x14ac:dyDescent="0.2">
      <c r="B25" s="2"/>
      <c r="C25" s="34" t="s">
        <v>23</v>
      </c>
      <c r="D25" s="315">
        <f>VLOOKUP($C25,'BS Input'!$C$13:$H$25,COUNTBLANK('Balance Sheet'!$C$6:D$6),0)</f>
        <v>1.31</v>
      </c>
      <c r="E25" s="6">
        <f>VLOOKUP($C25,'BS Input'!$C$13:$H$25,COUNTBLANK('Balance Sheet'!$C$6:E$6),0)</f>
        <v>1.53</v>
      </c>
      <c r="F25" s="6">
        <f>VLOOKUP($C25,'BS Input'!$C$13:$H$25,COUNTBLANK('Balance Sheet'!$C$6:F$6),0)</f>
        <v>1.47</v>
      </c>
      <c r="G25" s="6">
        <f>VLOOKUP($C25,'BS Input'!$C$13:$H$25,COUNTBLANK('Balance Sheet'!$C$6:G$6),0)</f>
        <v>1.5</v>
      </c>
      <c r="H25" s="6">
        <f>VLOOKUP($C25,'BS Input'!$C$13:$H$25,COUNTBLANK('Balance Sheet'!$C$6:H$6),0)</f>
        <v>1.55</v>
      </c>
      <c r="I25" s="55">
        <f>'BS items '!I21</f>
        <v>2.4485000449686498</v>
      </c>
      <c r="J25" s="55">
        <f>'BS items '!J21</f>
        <v>2.9269713673604274</v>
      </c>
      <c r="K25" s="55">
        <f>'BS items '!K21</f>
        <v>3.4676448192128055</v>
      </c>
      <c r="L25" s="55">
        <f>'BS items '!L21</f>
        <v>4.071409444129853</v>
      </c>
      <c r="M25" s="55">
        <f>'BS items '!M21</f>
        <v>4.7374802214329668</v>
      </c>
      <c r="N25" s="55">
        <f>'BS items '!N21</f>
        <v>5.4631501742042667</v>
      </c>
      <c r="O25" s="55">
        <f>'BS items '!O21</f>
        <v>6.2435969441090915</v>
      </c>
      <c r="P25" s="55">
        <f>'BS items '!P21</f>
        <v>7.0717630883889893</v>
      </c>
      <c r="Q25" s="55">
        <f>'BS items '!Q21</f>
        <v>7.9383267770972719</v>
      </c>
      <c r="R25" s="55">
        <f>'BS items '!R21</f>
        <v>8.8317753031733552</v>
      </c>
    </row>
    <row r="26" spans="2:18" x14ac:dyDescent="0.2">
      <c r="B26" s="2"/>
      <c r="C26" s="34"/>
      <c r="D26" s="6"/>
      <c r="E26" s="6"/>
      <c r="F26" s="6"/>
      <c r="G26" s="6"/>
      <c r="H26" s="6"/>
      <c r="I26" s="55"/>
      <c r="J26" s="55"/>
      <c r="K26" s="55"/>
      <c r="L26" s="55"/>
      <c r="M26" s="55"/>
      <c r="N26" s="55"/>
      <c r="O26" s="55"/>
      <c r="P26" s="55"/>
      <c r="Q26" s="55"/>
      <c r="R26" s="55"/>
    </row>
    <row r="27" spans="2:18" s="4" customFormat="1" ht="14" x14ac:dyDescent="0.15">
      <c r="B27" s="4" t="s">
        <v>190</v>
      </c>
      <c r="C27" s="44"/>
      <c r="D27" s="131">
        <f t="shared" ref="D27:G27" si="2">SUM(D13:D26)</f>
        <v>930.38</v>
      </c>
      <c r="E27" s="132">
        <f t="shared" si="2"/>
        <v>972.96</v>
      </c>
      <c r="F27" s="132">
        <f t="shared" si="2"/>
        <v>1900.6999999999998</v>
      </c>
      <c r="G27" s="132">
        <f t="shared" si="2"/>
        <v>2141.69</v>
      </c>
      <c r="H27" s="132">
        <f t="shared" ref="H27:R27" si="3">SUM(H13:H26)</f>
        <v>2036.0299999999997</v>
      </c>
      <c r="I27" s="47">
        <f t="shared" si="3"/>
        <v>2088.6911599565092</v>
      </c>
      <c r="J27" s="47">
        <f t="shared" si="3"/>
        <v>2122.6936863716865</v>
      </c>
      <c r="K27" s="47">
        <f t="shared" si="3"/>
        <v>2163.2825758419499</v>
      </c>
      <c r="L27" s="47">
        <f t="shared" si="3"/>
        <v>2209.7855715125597</v>
      </c>
      <c r="M27" s="47">
        <f t="shared" si="3"/>
        <v>2262.8860549920664</v>
      </c>
      <c r="N27" s="47">
        <f t="shared" si="3"/>
        <v>2322.2980345012616</v>
      </c>
      <c r="O27" s="47">
        <f t="shared" si="3"/>
        <v>2386.7150538905048</v>
      </c>
      <c r="P27" s="47">
        <f t="shared" si="3"/>
        <v>2456.1883117288075</v>
      </c>
      <c r="Q27" s="47">
        <f t="shared" si="3"/>
        <v>2529.732796111221</v>
      </c>
      <c r="R27" s="47">
        <f t="shared" si="3"/>
        <v>2605.3031758839275</v>
      </c>
    </row>
    <row r="28" spans="2:18" x14ac:dyDescent="0.2">
      <c r="B28" s="2"/>
      <c r="C28" s="34"/>
      <c r="D28" s="9"/>
      <c r="E28" s="9"/>
      <c r="F28" s="9"/>
      <c r="G28" s="9"/>
      <c r="H28" s="9"/>
      <c r="I28" s="54"/>
      <c r="J28" s="54"/>
      <c r="K28" s="54"/>
      <c r="L28" s="54"/>
      <c r="M28" s="54"/>
      <c r="N28" s="54"/>
      <c r="O28" s="54"/>
      <c r="P28" s="54"/>
      <c r="Q28" s="54"/>
      <c r="R28" s="54"/>
    </row>
    <row r="29" spans="2:18" x14ac:dyDescent="0.2">
      <c r="B29" s="525" t="s">
        <v>25</v>
      </c>
      <c r="C29" s="526"/>
      <c r="D29" s="8"/>
      <c r="E29" s="8"/>
      <c r="F29" s="8"/>
      <c r="G29" s="8"/>
      <c r="H29" s="8"/>
      <c r="I29" s="54"/>
      <c r="J29" s="54"/>
      <c r="K29" s="54"/>
      <c r="L29" s="54"/>
      <c r="M29" s="54"/>
      <c r="N29" s="54"/>
      <c r="O29" s="54"/>
      <c r="P29" s="54"/>
      <c r="Q29" s="54"/>
      <c r="R29" s="54"/>
    </row>
    <row r="30" spans="2:18" x14ac:dyDescent="0.2">
      <c r="B30" s="2"/>
      <c r="C30" s="176" t="s">
        <v>197</v>
      </c>
      <c r="D30" s="6"/>
      <c r="E30" s="6"/>
      <c r="F30" s="6"/>
      <c r="G30" s="6"/>
      <c r="H30" s="6"/>
      <c r="I30" s="55"/>
      <c r="J30" s="55"/>
      <c r="K30" s="55"/>
      <c r="L30" s="55"/>
      <c r="M30" s="55"/>
      <c r="N30" s="55"/>
      <c r="O30" s="55"/>
      <c r="P30" s="55"/>
      <c r="Q30" s="55"/>
      <c r="R30" s="55"/>
    </row>
    <row r="31" spans="2:18" x14ac:dyDescent="0.2">
      <c r="B31" s="2"/>
      <c r="C31" s="34" t="s">
        <v>257</v>
      </c>
      <c r="D31" s="6">
        <f>VLOOKUP($C31,'BS Input'!$C$30:$H$36,COUNTBLANK('Balance Sheet'!$C$6:D$6),0)</f>
        <v>192.91</v>
      </c>
      <c r="E31" s="6">
        <f>VLOOKUP($C31,'BS Input'!$C$30:$H$36,COUNTBLANK('Balance Sheet'!$C$6:E$6),0)</f>
        <v>54.83</v>
      </c>
      <c r="F31" s="6">
        <f>VLOOKUP($C31,'BS Input'!$C$30:$H$36,COUNTBLANK('Balance Sheet'!$C$6:F$6),0)</f>
        <v>55.77</v>
      </c>
      <c r="G31" s="6">
        <f>VLOOKUP($C31,'BS Input'!$C$30:$H$36,COUNTBLANK('Balance Sheet'!$C$6:G$6),0)</f>
        <v>76.73</v>
      </c>
      <c r="H31" s="6">
        <f>VLOOKUP($C31,'BS Input'!$C$30:$H$36,COUNTBLANK('Balance Sheet'!$C$6:H$6),0)</f>
        <v>160.66</v>
      </c>
      <c r="I31" s="55">
        <f>'BS items '!I24</f>
        <v>189.69929505076919</v>
      </c>
      <c r="J31" s="55">
        <f>'BS items '!J24</f>
        <v>226.76920352238272</v>
      </c>
      <c r="K31" s="55">
        <f>'BS items '!K24</f>
        <v>268.65826653458106</v>
      </c>
      <c r="L31" s="55">
        <f>'BS items '!L24</f>
        <v>315.43536337748611</v>
      </c>
      <c r="M31" s="55">
        <f>'BS items '!M24</f>
        <v>367.03967401164675</v>
      </c>
      <c r="N31" s="55">
        <f>'BS items '!N24</f>
        <v>423.26147346111463</v>
      </c>
      <c r="O31" s="55">
        <f>'BS items '!O24</f>
        <v>483.72714605925046</v>
      </c>
      <c r="P31" s="55">
        <f>'BS items '!P24</f>
        <v>547.88991137250241</v>
      </c>
      <c r="Q31" s="55">
        <f>'BS items '!Q24</f>
        <v>615.02755394773874</v>
      </c>
      <c r="R31" s="55">
        <f>'BS items '!R24</f>
        <v>684.24811855791904</v>
      </c>
    </row>
    <row r="32" spans="2:18" x14ac:dyDescent="0.2">
      <c r="B32" s="2"/>
      <c r="C32" s="34" t="s">
        <v>384</v>
      </c>
      <c r="D32" s="6">
        <f>'Working Capital'!C11</f>
        <v>374.88</v>
      </c>
      <c r="E32" s="6">
        <f>'Working Capital'!D11</f>
        <v>435.57</v>
      </c>
      <c r="F32" s="6">
        <f>'Working Capital'!E11</f>
        <v>506.63</v>
      </c>
      <c r="G32" s="6">
        <f>'Working Capital'!F11</f>
        <v>561.30999999999995</v>
      </c>
      <c r="H32" s="6">
        <f>'Working Capital'!G11</f>
        <v>737.61</v>
      </c>
      <c r="I32" s="55">
        <f>'Working Capital'!H11</f>
        <v>831.7342771570377</v>
      </c>
      <c r="J32" s="55">
        <f>'Working Capital'!I11</f>
        <v>994.26684491730998</v>
      </c>
      <c r="K32" s="55">
        <f>'Working Capital'!J11</f>
        <v>1177.9289377886198</v>
      </c>
      <c r="L32" s="55">
        <f>'Working Capital'!K11</f>
        <v>1383.0225561899215</v>
      </c>
      <c r="M32" s="55">
        <f>'Working Capital'!L11</f>
        <v>1609.2810353898778</v>
      </c>
      <c r="N32" s="55">
        <f>'Working Capital'!M11</f>
        <v>1855.7848387543359</v>
      </c>
      <c r="O32" s="55">
        <f>'Working Capital'!N11</f>
        <v>2120.8958528873359</v>
      </c>
      <c r="P32" s="55">
        <f>'Working Capital'!O11</f>
        <v>2402.2167255554805</v>
      </c>
      <c r="Q32" s="55">
        <f>'Working Capital'!P11</f>
        <v>2696.580911792425</v>
      </c>
      <c r="R32" s="55">
        <f>'Working Capital'!Q11</f>
        <v>3000.0776446350119</v>
      </c>
    </row>
    <row r="33" spans="2:18" x14ac:dyDescent="0.2">
      <c r="B33" s="2"/>
      <c r="C33" s="34" t="s">
        <v>201</v>
      </c>
      <c r="D33" s="6">
        <f>VLOOKUP($C33,'BS Input'!$C$30:$H$36,COUNTBLANK('Balance Sheet'!$C$6:D$6),0)</f>
        <v>608.12</v>
      </c>
      <c r="E33" s="6">
        <f>VLOOKUP($C33,'BS Input'!$C$30:$H$36,COUNTBLANK('Balance Sheet'!$C$6:E$6),0)</f>
        <v>727.06000000000006</v>
      </c>
      <c r="F33" s="6">
        <f>VLOOKUP($C33,'BS Input'!$C$30:$H$36,COUNTBLANK('Balance Sheet'!$C$6:F$6),0)</f>
        <v>208.48</v>
      </c>
      <c r="G33" s="6">
        <f>VLOOKUP($C33,'BS Input'!$C$30:$H$36,COUNTBLANK('Balance Sheet'!$C$6:G$6),0)</f>
        <v>382.61</v>
      </c>
      <c r="H33" s="6">
        <f>VLOOKUP($C33,'BS Input'!$C$30:$H$36,COUNTBLANK('Balance Sheet'!$C$6:H$6),0)</f>
        <v>461.46999999999997</v>
      </c>
      <c r="I33" s="248">
        <f t="shared" ref="I33:R33" ca="1" si="4">I74-I27-SUM(I31:I32,I34:I36)</f>
        <v>1530.6238021780666</v>
      </c>
      <c r="J33" s="55">
        <f t="shared" ca="1" si="4"/>
        <v>2234.9983365286535</v>
      </c>
      <c r="K33" s="55">
        <f t="shared" ca="1" si="4"/>
        <v>3060.8269947254134</v>
      </c>
      <c r="L33" s="55">
        <f t="shared" ca="1" si="4"/>
        <v>4028.8197545535063</v>
      </c>
      <c r="M33" s="55">
        <f t="shared" ca="1" si="4"/>
        <v>5140.9160078315126</v>
      </c>
      <c r="N33" s="55">
        <f t="shared" ca="1" si="4"/>
        <v>6420.320313376782</v>
      </c>
      <c r="O33" s="55">
        <f t="shared" ca="1" si="4"/>
        <v>7860.6254885820081</v>
      </c>
      <c r="P33" s="55">
        <f t="shared" ca="1" si="4"/>
        <v>9486.3227275895351</v>
      </c>
      <c r="Q33" s="55">
        <f t="shared" ca="1" si="4"/>
        <v>11282.830926761213</v>
      </c>
      <c r="R33" s="55">
        <f t="shared" ca="1" si="4"/>
        <v>13272.047999634742</v>
      </c>
    </row>
    <row r="34" spans="2:18" x14ac:dyDescent="0.2">
      <c r="B34" s="2"/>
      <c r="C34" s="34" t="s">
        <v>202</v>
      </c>
      <c r="D34" s="6">
        <f>VLOOKUP($C34,'BS Input'!$C$30:$H$36,COUNTBLANK('Balance Sheet'!$C$6:D$6),0)</f>
        <v>9.14</v>
      </c>
      <c r="E34" s="6">
        <f>VLOOKUP($C34,'BS Input'!$C$30:$H$36,COUNTBLANK('Balance Sheet'!$C$6:E$6),0)</f>
        <v>13.81</v>
      </c>
      <c r="F34" s="6">
        <f>VLOOKUP($C34,'BS Input'!$C$30:$H$36,COUNTBLANK('Balance Sheet'!$C$6:F$6),0)</f>
        <v>12.04</v>
      </c>
      <c r="G34" s="6">
        <f>VLOOKUP($C34,'BS Input'!$C$30:$H$36,COUNTBLANK('Balance Sheet'!$C$6:G$6),0)</f>
        <v>19.48</v>
      </c>
      <c r="H34" s="6">
        <f>VLOOKUP($C34,'BS Input'!$C$30:$H$36,COUNTBLANK('Balance Sheet'!$C$6:H$6),0)</f>
        <v>15.94</v>
      </c>
      <c r="I34" s="55">
        <f>'BS items '!I26</f>
        <v>22.489740465554672</v>
      </c>
      <c r="J34" s="55">
        <f>'BS items '!J26</f>
        <v>26.884551845245536</v>
      </c>
      <c r="K34" s="55">
        <f>'BS items '!K26</f>
        <v>31.850696580983634</v>
      </c>
      <c r="L34" s="55">
        <f>'BS items '!L26</f>
        <v>37.396340635419918</v>
      </c>
      <c r="M34" s="55">
        <f>'BS items '!M26</f>
        <v>43.514273507840628</v>
      </c>
      <c r="N34" s="55">
        <f>'BS items '!N26</f>
        <v>50.179631319458231</v>
      </c>
      <c r="O34" s="55">
        <f>'BS items '!O26</f>
        <v>57.348120182020097</v>
      </c>
      <c r="P34" s="55">
        <f>'BS items '!P26</f>
        <v>64.954916712608878</v>
      </c>
      <c r="Q34" s="55">
        <f>'BS items '!Q26</f>
        <v>72.914398884549172</v>
      </c>
      <c r="R34" s="55">
        <f>'BS items '!R26</f>
        <v>81.120821225472895</v>
      </c>
    </row>
    <row r="35" spans="2:18" x14ac:dyDescent="0.2">
      <c r="B35" s="2"/>
      <c r="C35" s="34" t="s">
        <v>298</v>
      </c>
      <c r="D35" s="6">
        <f>VLOOKUP($C35,'BS Input'!$C$30:$H$36,COUNTBLANK('Balance Sheet'!$C$6:D$6),0)</f>
        <v>0</v>
      </c>
      <c r="E35" s="6">
        <f>VLOOKUP($C35,'BS Input'!$C$30:$H$36,COUNTBLANK('Balance Sheet'!$C$6:E$6),0)</f>
        <v>0</v>
      </c>
      <c r="F35" s="6">
        <f>VLOOKUP($C35,'BS Input'!$C$30:$H$36,COUNTBLANK('Balance Sheet'!$C$6:F$6),0)</f>
        <v>350.8</v>
      </c>
      <c r="G35" s="6">
        <f>VLOOKUP($C35,'BS Input'!$C$30:$H$36,COUNTBLANK('Balance Sheet'!$C$6:G$6),0)</f>
        <v>352.84</v>
      </c>
      <c r="H35" s="6">
        <f>VLOOKUP($C35,'BS Input'!$C$30:$H$36,COUNTBLANK('Balance Sheet'!$C$6:H$6),0)</f>
        <v>231.45</v>
      </c>
      <c r="I35" s="55">
        <f>'BS items '!I28</f>
        <v>262.9664192490406</v>
      </c>
      <c r="J35" s="55">
        <f>'BS items '!J28</f>
        <v>314.35375355653497</v>
      </c>
      <c r="K35" s="55">
        <f>'BS items '!K28</f>
        <v>372.42153342396762</v>
      </c>
      <c r="L35" s="55">
        <f>'BS items '!L28</f>
        <v>437.26524123190802</v>
      </c>
      <c r="M35" s="55">
        <f>'BS items '!M28</f>
        <v>508.80056655638339</v>
      </c>
      <c r="N35" s="55">
        <f>'BS items '!N28</f>
        <v>586.73678282438527</v>
      </c>
      <c r="O35" s="55">
        <f>'BS items '!O28</f>
        <v>670.55597364616028</v>
      </c>
      <c r="P35" s="55">
        <f>'BS items '!P28</f>
        <v>759.50017683377234</v>
      </c>
      <c r="Q35" s="55">
        <f>'BS items '!Q28</f>
        <v>852.56823731394888</v>
      </c>
      <c r="R35" s="55">
        <f>'BS items '!R28</f>
        <v>948.52370203544092</v>
      </c>
    </row>
    <row r="36" spans="2:18" x14ac:dyDescent="0.2">
      <c r="B36" s="2"/>
      <c r="C36" s="34" t="s">
        <v>26</v>
      </c>
      <c r="D36" s="6">
        <f>VLOOKUP($C36,'BS Input'!$C$30:$H$36,COUNTBLANK('Balance Sheet'!$C$6:D$6),0)</f>
        <v>180.32</v>
      </c>
      <c r="E36" s="6">
        <f>VLOOKUP($C36,'BS Input'!$C$30:$H$36,COUNTBLANK('Balance Sheet'!$C$6:E$6),0)</f>
        <v>283.94</v>
      </c>
      <c r="F36" s="6">
        <f>VLOOKUP($C36,'BS Input'!$C$30:$H$36,COUNTBLANK('Balance Sheet'!$C$6:F$6),0)</f>
        <v>106.48</v>
      </c>
      <c r="G36" s="6">
        <f>VLOOKUP($C36,'BS Input'!$C$30:$H$36,COUNTBLANK('Balance Sheet'!$C$6:G$6),0)</f>
        <v>150.47</v>
      </c>
      <c r="H36" s="6">
        <f>VLOOKUP($C36,'BS Input'!$C$30:$H$36,COUNTBLANK('Balance Sheet'!$C$6:H$6),0)</f>
        <v>218.72</v>
      </c>
      <c r="I36" s="55">
        <f>'BS items '!I30</f>
        <v>320.06994109728839</v>
      </c>
      <c r="J36" s="55">
        <f>'BS items '!J30</f>
        <v>382.61610616245537</v>
      </c>
      <c r="K36" s="55">
        <f>'BS items '!K30</f>
        <v>453.29338478569269</v>
      </c>
      <c r="L36" s="55">
        <f>'BS items '!L30</f>
        <v>532.21799347864453</v>
      </c>
      <c r="M36" s="55">
        <f>'BS items '!M30</f>
        <v>619.28731369209891</v>
      </c>
      <c r="N36" s="55">
        <f>'BS items '!N30</f>
        <v>714.14748717539408</v>
      </c>
      <c r="O36" s="55">
        <f>'BS items '!O30</f>
        <v>816.16813127801845</v>
      </c>
      <c r="P36" s="55">
        <f>'BS items '!P30</f>
        <v>924.42669127401348</v>
      </c>
      <c r="Q36" s="55">
        <f>'BS items '!Q30</f>
        <v>1037.7046098804885</v>
      </c>
      <c r="R36" s="55">
        <f>'BS items '!R30</f>
        <v>1154.4969365550394</v>
      </c>
    </row>
    <row r="37" spans="2:18" x14ac:dyDescent="0.2">
      <c r="B37" s="2"/>
      <c r="C37" s="34"/>
      <c r="D37" s="6"/>
      <c r="E37" s="6"/>
      <c r="F37" s="6"/>
      <c r="G37" s="6"/>
      <c r="H37" s="6"/>
      <c r="I37" s="55"/>
      <c r="J37" s="55"/>
      <c r="K37" s="55"/>
      <c r="L37" s="55"/>
      <c r="M37" s="55"/>
      <c r="N37" s="55"/>
      <c r="O37" s="55"/>
      <c r="P37" s="55"/>
      <c r="Q37" s="55"/>
      <c r="R37" s="55"/>
    </row>
    <row r="38" spans="2:18" s="133" customFormat="1" x14ac:dyDescent="0.2">
      <c r="B38" s="4" t="s">
        <v>191</v>
      </c>
      <c r="C38" s="44"/>
      <c r="D38" s="132">
        <f t="shared" ref="D38:R38" si="5">SUM(D30:D37)</f>
        <v>1365.37</v>
      </c>
      <c r="E38" s="132">
        <f t="shared" si="5"/>
        <v>1515.21</v>
      </c>
      <c r="F38" s="132">
        <f t="shared" si="5"/>
        <v>1240.2</v>
      </c>
      <c r="G38" s="132">
        <f t="shared" si="5"/>
        <v>1543.4399999999998</v>
      </c>
      <c r="H38" s="132">
        <f t="shared" si="5"/>
        <v>1825.8500000000001</v>
      </c>
      <c r="I38" s="56">
        <f t="shared" ca="1" si="5"/>
        <v>3157.5834751977573</v>
      </c>
      <c r="J38" s="56">
        <f t="shared" ca="1" si="5"/>
        <v>4179.8887965325821</v>
      </c>
      <c r="K38" s="56">
        <f t="shared" ca="1" si="5"/>
        <v>5364.9798138392589</v>
      </c>
      <c r="L38" s="56">
        <f t="shared" ca="1" si="5"/>
        <v>6734.1572494668862</v>
      </c>
      <c r="M38" s="56">
        <f t="shared" ca="1" si="5"/>
        <v>8288.8388709893607</v>
      </c>
      <c r="N38" s="56">
        <f t="shared" ca="1" si="5"/>
        <v>10050.430526911472</v>
      </c>
      <c r="O38" s="56">
        <f t="shared" ca="1" si="5"/>
        <v>12009.320712634793</v>
      </c>
      <c r="P38" s="56">
        <f t="shared" ca="1" si="5"/>
        <v>14185.311149337913</v>
      </c>
      <c r="Q38" s="56">
        <f t="shared" ca="1" si="5"/>
        <v>16557.626638580365</v>
      </c>
      <c r="R38" s="56">
        <f t="shared" ca="1" si="5"/>
        <v>19140.515222643622</v>
      </c>
    </row>
    <row r="39" spans="2:18" x14ac:dyDescent="0.2">
      <c r="B39" s="2"/>
      <c r="C39" s="34"/>
      <c r="D39" s="9"/>
      <c r="E39" s="9"/>
      <c r="F39" s="9"/>
      <c r="G39" s="9"/>
      <c r="H39" s="9"/>
      <c r="I39" s="54"/>
      <c r="J39" s="54"/>
      <c r="K39" s="54"/>
      <c r="L39" s="54"/>
      <c r="M39" s="54"/>
      <c r="N39" s="54"/>
      <c r="O39" s="54"/>
      <c r="P39" s="54"/>
      <c r="Q39" s="54"/>
      <c r="R39" s="54"/>
    </row>
    <row r="40" spans="2:18" x14ac:dyDescent="0.2">
      <c r="B40" s="532" t="s">
        <v>36</v>
      </c>
      <c r="C40" s="533"/>
      <c r="D40" s="101">
        <f t="shared" ref="D40:R40" si="6">D38+D27</f>
        <v>2295.75</v>
      </c>
      <c r="E40" s="101">
        <f t="shared" si="6"/>
        <v>2488.17</v>
      </c>
      <c r="F40" s="101">
        <f t="shared" si="6"/>
        <v>3140.8999999999996</v>
      </c>
      <c r="G40" s="101">
        <f t="shared" si="6"/>
        <v>3685.13</v>
      </c>
      <c r="H40" s="101">
        <f t="shared" si="6"/>
        <v>3861.88</v>
      </c>
      <c r="I40" s="101">
        <f t="shared" ca="1" si="6"/>
        <v>5246.2746351542664</v>
      </c>
      <c r="J40" s="101">
        <f t="shared" ca="1" si="6"/>
        <v>6302.5824829042685</v>
      </c>
      <c r="K40" s="101">
        <f t="shared" ca="1" si="6"/>
        <v>7528.2623896812092</v>
      </c>
      <c r="L40" s="101">
        <f t="shared" ca="1" si="6"/>
        <v>8943.942820979446</v>
      </c>
      <c r="M40" s="101">
        <f t="shared" ca="1" si="6"/>
        <v>10551.724925981427</v>
      </c>
      <c r="N40" s="101">
        <f t="shared" ca="1" si="6"/>
        <v>12372.728561412734</v>
      </c>
      <c r="O40" s="101">
        <f t="shared" ca="1" si="6"/>
        <v>14396.035766525298</v>
      </c>
      <c r="P40" s="101">
        <f t="shared" ca="1" si="6"/>
        <v>16641.49946106672</v>
      </c>
      <c r="Q40" s="101">
        <f t="shared" ca="1" si="6"/>
        <v>19087.359434691585</v>
      </c>
      <c r="R40" s="101">
        <f t="shared" ca="1" si="6"/>
        <v>21745.81839852755</v>
      </c>
    </row>
    <row r="41" spans="2:18" x14ac:dyDescent="0.2">
      <c r="B41" s="2"/>
      <c r="C41" s="34"/>
      <c r="D41" s="9"/>
      <c r="E41" s="9"/>
      <c r="F41" s="9"/>
      <c r="G41" s="9"/>
      <c r="H41" s="9"/>
      <c r="I41" s="54"/>
      <c r="J41" s="54"/>
      <c r="K41" s="222"/>
      <c r="L41" s="54"/>
      <c r="M41" s="54"/>
      <c r="N41" s="54"/>
      <c r="O41" s="54"/>
      <c r="P41" s="54"/>
      <c r="Q41" s="54"/>
      <c r="R41" s="54"/>
    </row>
    <row r="42" spans="2:18" x14ac:dyDescent="0.2">
      <c r="B42" s="508" t="s">
        <v>27</v>
      </c>
      <c r="C42" s="530"/>
      <c r="D42" s="9"/>
      <c r="E42" s="9"/>
      <c r="F42" s="9"/>
      <c r="G42" s="9"/>
      <c r="H42" s="9"/>
      <c r="I42" s="54"/>
      <c r="J42" s="54"/>
      <c r="K42" s="222"/>
      <c r="L42" s="54"/>
      <c r="M42" s="54"/>
      <c r="N42" s="54"/>
      <c r="O42" s="54"/>
      <c r="P42" s="54"/>
      <c r="Q42" s="54"/>
      <c r="R42" s="54"/>
    </row>
    <row r="43" spans="2:18" x14ac:dyDescent="0.2">
      <c r="B43" s="10"/>
      <c r="C43" s="87"/>
      <c r="D43" s="9"/>
      <c r="E43" s="9"/>
      <c r="F43" s="9"/>
      <c r="G43" s="9"/>
      <c r="H43" s="9"/>
      <c r="I43" s="54"/>
      <c r="J43" s="54"/>
      <c r="K43" s="54"/>
      <c r="L43" s="54"/>
      <c r="M43" s="54"/>
      <c r="N43" s="54"/>
      <c r="O43" s="54"/>
      <c r="P43" s="54"/>
      <c r="Q43" s="54"/>
      <c r="R43" s="54"/>
    </row>
    <row r="44" spans="2:18" x14ac:dyDescent="0.2">
      <c r="B44" s="525" t="s">
        <v>28</v>
      </c>
      <c r="C44" s="526"/>
      <c r="D44" s="9"/>
      <c r="E44" s="9"/>
      <c r="F44" s="9"/>
      <c r="G44" s="9"/>
      <c r="H44" s="9"/>
      <c r="I44" s="54"/>
      <c r="J44" s="54"/>
      <c r="K44" s="54"/>
      <c r="L44" s="54"/>
      <c r="M44" s="54"/>
      <c r="N44" s="54"/>
      <c r="O44" s="54"/>
      <c r="P44" s="54"/>
      <c r="Q44" s="54"/>
      <c r="R44" s="54"/>
    </row>
    <row r="45" spans="2:18" x14ac:dyDescent="0.2">
      <c r="B45" s="2"/>
      <c r="C45" s="34" t="s">
        <v>29</v>
      </c>
      <c r="D45" s="6">
        <v>12.62</v>
      </c>
      <c r="E45" s="6">
        <v>15.01</v>
      </c>
      <c r="F45" s="6">
        <v>15.26</v>
      </c>
      <c r="G45" s="6">
        <v>15.42</v>
      </c>
      <c r="H45" s="6">
        <v>15.47</v>
      </c>
      <c r="I45" s="55">
        <f t="shared" ref="I45:R45" si="7">H45</f>
        <v>15.47</v>
      </c>
      <c r="J45" s="55">
        <f t="shared" si="7"/>
        <v>15.47</v>
      </c>
      <c r="K45" s="55">
        <f t="shared" si="7"/>
        <v>15.47</v>
      </c>
      <c r="L45" s="55">
        <f t="shared" si="7"/>
        <v>15.47</v>
      </c>
      <c r="M45" s="55">
        <f t="shared" si="7"/>
        <v>15.47</v>
      </c>
      <c r="N45" s="55">
        <f t="shared" si="7"/>
        <v>15.47</v>
      </c>
      <c r="O45" s="55">
        <f t="shared" si="7"/>
        <v>15.47</v>
      </c>
      <c r="P45" s="55">
        <f t="shared" si="7"/>
        <v>15.47</v>
      </c>
      <c r="Q45" s="55">
        <f t="shared" si="7"/>
        <v>15.47</v>
      </c>
      <c r="R45" s="55">
        <f t="shared" si="7"/>
        <v>15.47</v>
      </c>
    </row>
    <row r="46" spans="2:18" x14ac:dyDescent="0.2">
      <c r="B46" s="2"/>
      <c r="C46" s="34" t="s">
        <v>30</v>
      </c>
      <c r="D46" s="6">
        <v>845.92</v>
      </c>
      <c r="E46" s="6">
        <v>1056.3499999999999</v>
      </c>
      <c r="F46" s="6">
        <v>1668.15</v>
      </c>
      <c r="G46" s="6">
        <v>2071.9899999999998</v>
      </c>
      <c r="H46" s="6">
        <v>2446.87</v>
      </c>
      <c r="I46" s="249">
        <f ca="1">H46+'Income Statement'!H40-'Income Statement'!H44</f>
        <v>2951.0442783271278</v>
      </c>
      <c r="J46" s="249">
        <f ca="1">I46+'Income Statement'!I40-'Income Statement'!I44</f>
        <v>3561.8549103801624</v>
      </c>
      <c r="K46" s="249">
        <f ca="1">J46+'Income Statement'!J40-'Income Statement'!J44</f>
        <v>4284.122164968353</v>
      </c>
      <c r="L46" s="249">
        <f ca="1">K46+'Income Statement'!K40-'Income Statement'!K44</f>
        <v>5137.6467328967319</v>
      </c>
      <c r="M46" s="249">
        <f ca="1">L46+'Income Statement'!L40-'Income Statement'!L44</f>
        <v>6125.260683907064</v>
      </c>
      <c r="N46" s="249">
        <f ca="1">M46+'Income Statement'!M40-'Income Statement'!M44</f>
        <v>7270.6042988829431</v>
      </c>
      <c r="O46" s="249">
        <f ca="1">N46+'Income Statement'!N40-'Income Statement'!N44</f>
        <v>8567.2496400111067</v>
      </c>
      <c r="P46" s="249">
        <f ca="1">O46+'Income Statement'!O40-'Income Statement'!O44</f>
        <v>10041.620702361106</v>
      </c>
      <c r="Q46" s="249">
        <f ca="1">P46+'Income Statement'!P40-'Income Statement'!P44</f>
        <v>11680.636686645414</v>
      </c>
      <c r="R46" s="249">
        <f ca="1">Q46+'Income Statement'!Q40-'Income Statement'!Q44</f>
        <v>13507.21960669721</v>
      </c>
    </row>
    <row r="47" spans="2:18" x14ac:dyDescent="0.2">
      <c r="B47" s="2"/>
      <c r="C47" s="34" t="s">
        <v>308</v>
      </c>
      <c r="D47" s="6">
        <v>182.03</v>
      </c>
      <c r="E47" s="6">
        <v>150.34</v>
      </c>
      <c r="F47" s="6">
        <v>91.1</v>
      </c>
      <c r="G47" s="6">
        <v>0</v>
      </c>
      <c r="H47" s="6">
        <v>0</v>
      </c>
      <c r="I47" s="249">
        <f t="shared" ref="I47:R47" si="8">H47</f>
        <v>0</v>
      </c>
      <c r="J47" s="249">
        <f t="shared" si="8"/>
        <v>0</v>
      </c>
      <c r="K47" s="249">
        <f t="shared" si="8"/>
        <v>0</v>
      </c>
      <c r="L47" s="249">
        <f t="shared" si="8"/>
        <v>0</v>
      </c>
      <c r="M47" s="249">
        <f t="shared" si="8"/>
        <v>0</v>
      </c>
      <c r="N47" s="249">
        <f t="shared" si="8"/>
        <v>0</v>
      </c>
      <c r="O47" s="249">
        <f t="shared" si="8"/>
        <v>0</v>
      </c>
      <c r="P47" s="249">
        <f t="shared" si="8"/>
        <v>0</v>
      </c>
      <c r="Q47" s="249">
        <f t="shared" si="8"/>
        <v>0</v>
      </c>
      <c r="R47" s="249">
        <f t="shared" si="8"/>
        <v>0</v>
      </c>
    </row>
    <row r="48" spans="2:18" x14ac:dyDescent="0.2">
      <c r="B48" s="2"/>
      <c r="C48" s="34"/>
      <c r="D48" s="9"/>
      <c r="E48" s="9"/>
      <c r="F48" s="9"/>
      <c r="G48" s="9"/>
      <c r="H48" s="9"/>
      <c r="I48" s="54"/>
      <c r="J48" s="54"/>
      <c r="K48" s="54"/>
      <c r="L48" s="54"/>
      <c r="M48" s="54"/>
      <c r="N48" s="54"/>
      <c r="O48" s="54"/>
      <c r="P48" s="54"/>
      <c r="Q48" s="54"/>
      <c r="R48" s="54"/>
    </row>
    <row r="49" spans="2:18" x14ac:dyDescent="0.2">
      <c r="B49" s="106" t="s">
        <v>187</v>
      </c>
      <c r="C49" s="114"/>
      <c r="D49" s="131">
        <f>SUM(D45:D48)</f>
        <v>1040.57</v>
      </c>
      <c r="E49" s="132">
        <f>SUM(E45:E48)</f>
        <v>1221.6999999999998</v>
      </c>
      <c r="F49" s="132">
        <f>SUM(F45:F48)</f>
        <v>1774.51</v>
      </c>
      <c r="G49" s="132">
        <f>SUM(G45:G48)</f>
        <v>2087.41</v>
      </c>
      <c r="H49" s="132">
        <f t="shared" ref="H49:R49" si="9">SUM(H45:H48)</f>
        <v>2462.3399999999997</v>
      </c>
      <c r="I49" s="47">
        <f t="shared" ca="1" si="9"/>
        <v>2966.5142783271276</v>
      </c>
      <c r="J49" s="47">
        <f t="shared" ca="1" si="9"/>
        <v>3577.3249103801622</v>
      </c>
      <c r="K49" s="47">
        <f t="shared" ca="1" si="9"/>
        <v>4299.5921649683532</v>
      </c>
      <c r="L49" s="47">
        <f t="shared" ca="1" si="9"/>
        <v>5153.1167328967322</v>
      </c>
      <c r="M49" s="47">
        <f t="shared" ca="1" si="9"/>
        <v>6140.7306839070643</v>
      </c>
      <c r="N49" s="47">
        <f t="shared" ca="1" si="9"/>
        <v>7286.0742988829434</v>
      </c>
      <c r="O49" s="47">
        <f t="shared" ca="1" si="9"/>
        <v>8582.7196400111061</v>
      </c>
      <c r="P49" s="47">
        <f t="shared" ca="1" si="9"/>
        <v>10057.090702361105</v>
      </c>
      <c r="Q49" s="47">
        <f t="shared" ca="1" si="9"/>
        <v>11696.106686645413</v>
      </c>
      <c r="R49" s="47">
        <f t="shared" ca="1" si="9"/>
        <v>13522.689606697209</v>
      </c>
    </row>
    <row r="50" spans="2:18" x14ac:dyDescent="0.2">
      <c r="B50" s="2"/>
      <c r="C50" s="34"/>
      <c r="D50" s="9"/>
      <c r="E50" s="9"/>
      <c r="F50" s="9"/>
      <c r="G50" s="9"/>
      <c r="H50" s="9"/>
      <c r="I50" s="222"/>
      <c r="J50" s="54"/>
      <c r="K50" s="54"/>
      <c r="L50" s="54"/>
      <c r="M50" s="54"/>
      <c r="N50" s="54"/>
      <c r="O50" s="54"/>
      <c r="P50" s="54"/>
      <c r="Q50" s="54"/>
      <c r="R50" s="54"/>
    </row>
    <row r="51" spans="2:18" x14ac:dyDescent="0.2">
      <c r="B51" s="525" t="s">
        <v>31</v>
      </c>
      <c r="C51" s="526"/>
      <c r="D51" s="8"/>
      <c r="E51" s="8"/>
      <c r="F51" s="8"/>
      <c r="G51" s="8"/>
      <c r="H51" s="8"/>
      <c r="I51" s="54"/>
      <c r="J51" s="54"/>
      <c r="K51" s="54"/>
      <c r="L51" s="54"/>
      <c r="M51" s="54"/>
      <c r="N51" s="54"/>
      <c r="O51" s="54"/>
      <c r="P51" s="54"/>
      <c r="Q51" s="54"/>
      <c r="R51" s="54"/>
    </row>
    <row r="52" spans="2:18" x14ac:dyDescent="0.2">
      <c r="B52" s="106"/>
      <c r="C52" s="176" t="s">
        <v>203</v>
      </c>
      <c r="D52" s="8"/>
      <c r="E52" s="8"/>
      <c r="F52" s="8"/>
      <c r="G52" s="8"/>
      <c r="H52" s="8"/>
      <c r="I52" s="54"/>
      <c r="J52" s="54"/>
      <c r="K52" s="54"/>
      <c r="L52" s="54"/>
      <c r="M52" s="54"/>
      <c r="N52" s="54"/>
      <c r="O52" s="54"/>
      <c r="P52" s="54"/>
      <c r="Q52" s="54"/>
      <c r="R52" s="54"/>
    </row>
    <row r="53" spans="2:18" x14ac:dyDescent="0.2">
      <c r="B53" s="2"/>
      <c r="C53" s="34" t="s">
        <v>204</v>
      </c>
      <c r="D53" s="6">
        <f>VLOOKUP($C53,'BS Input'!$C$53:$H$57,COUNTBLANK('Balance Sheet'!$C$6:D$6),0)</f>
        <v>190.24</v>
      </c>
      <c r="E53" s="6">
        <f>VLOOKUP($C53,'BS Input'!$C$53:$H$57,COUNTBLANK('Balance Sheet'!$C$6:E$6),0)</f>
        <v>120.8</v>
      </c>
      <c r="F53" s="6">
        <f>VLOOKUP($C53,'BS Input'!$C$53:$H$57,COUNTBLANK('Balance Sheet'!$C$6:F$6),0)</f>
        <v>269.04000000000002</v>
      </c>
      <c r="G53" s="6">
        <f>VLOOKUP($C53,'BS Input'!$C$53:$H$57,COUNTBLANK('Balance Sheet'!$C$6:G$6),0)</f>
        <v>313.3</v>
      </c>
      <c r="H53" s="6">
        <f>VLOOKUP($C53,'BS Input'!$C$53:$H$57,COUNTBLANK('Balance Sheet'!$C$6:H$6),0)</f>
        <v>379.23</v>
      </c>
      <c r="I53" s="55">
        <f>'BS items '!I36</f>
        <v>397.67185756748677</v>
      </c>
      <c r="J53" s="55">
        <f>'BS items '!J36</f>
        <v>475.38252780386256</v>
      </c>
      <c r="K53" s="55">
        <f>'BS items '!K36</f>
        <v>563.19572444944947</v>
      </c>
      <c r="L53" s="55">
        <f>'BS items '!L36</f>
        <v>661.25584105744133</v>
      </c>
      <c r="M53" s="55">
        <f>'BS items '!M36</f>
        <v>769.43537890382129</v>
      </c>
      <c r="N53" s="55">
        <f>'BS items '!N36</f>
        <v>887.29468574453983</v>
      </c>
      <c r="O53" s="55">
        <f>'BS items '!O36</f>
        <v>1014.050540766209</v>
      </c>
      <c r="P53" s="55">
        <f>'BS items '!P36</f>
        <v>1148.5567130846607</v>
      </c>
      <c r="Q53" s="55">
        <f>'BS items '!Q36</f>
        <v>1289.2992025517453</v>
      </c>
      <c r="R53" s="55">
        <f>'BS items '!R36</f>
        <v>1434.4081788557087</v>
      </c>
    </row>
    <row r="54" spans="2:18" x14ac:dyDescent="0.2">
      <c r="B54" s="2"/>
      <c r="C54" s="34" t="s">
        <v>205</v>
      </c>
      <c r="D54" s="6">
        <f>VLOOKUP($C54,'BS Input'!$C$53:$H$57,COUNTBLANK('Balance Sheet'!$C$6:D$6),0)</f>
        <v>6.86</v>
      </c>
      <c r="E54" s="6">
        <f>VLOOKUP($C54,'BS Input'!$C$53:$H$57,COUNTBLANK('Balance Sheet'!$C$6:E$6),0)</f>
        <v>8.0399999999999991</v>
      </c>
      <c r="F54" s="6">
        <f>VLOOKUP($C54,'BS Input'!$C$53:$H$57,COUNTBLANK('Balance Sheet'!$C$6:F$6),0)</f>
        <v>22.49</v>
      </c>
      <c r="G54" s="6">
        <f>VLOOKUP($C54,'BS Input'!$C$53:$H$57,COUNTBLANK('Balance Sheet'!$C$6:G$6),0)</f>
        <v>21.55</v>
      </c>
      <c r="H54" s="6">
        <f>VLOOKUP($C54,'BS Input'!$C$53:$H$57,COUNTBLANK('Balance Sheet'!$C$6:H$6),0)</f>
        <v>16.39</v>
      </c>
      <c r="I54" s="55">
        <f>'BS items '!I38</f>
        <v>23.247753015582298</v>
      </c>
      <c r="J54" s="55">
        <f>'BS items '!J38</f>
        <v>27.790690701395377</v>
      </c>
      <c r="K54" s="55">
        <f>'BS items '!K38</f>
        <v>32.924218428533869</v>
      </c>
      <c r="L54" s="55">
        <f>'BS items '!L38</f>
        <v>38.656777391912172</v>
      </c>
      <c r="M54" s="55">
        <f>'BS items '!M38</f>
        <v>44.980914062221267</v>
      </c>
      <c r="N54" s="55">
        <f>'BS items '!N38</f>
        <v>51.870926528229802</v>
      </c>
      <c r="O54" s="55">
        <f>'BS items '!O38</f>
        <v>59.281027984359724</v>
      </c>
      <c r="P54" s="55">
        <f>'BS items '!P38</f>
        <v>67.144210187541049</v>
      </c>
      <c r="Q54" s="55">
        <f>'BS items '!Q38</f>
        <v>75.371965236497985</v>
      </c>
      <c r="R54" s="55">
        <f>'BS items '!R38</f>
        <v>83.854983527240449</v>
      </c>
    </row>
    <row r="55" spans="2:18" x14ac:dyDescent="0.2">
      <c r="B55" s="2"/>
      <c r="C55" s="34" t="s">
        <v>206</v>
      </c>
      <c r="D55" s="6">
        <f>VLOOKUP($C55,'BS Input'!$C$53:$H$57,COUNTBLANK('Balance Sheet'!$C$6:D$6),0)</f>
        <v>284.32</v>
      </c>
      <c r="E55" s="6">
        <f>VLOOKUP($C55,'BS Input'!$C$53:$H$57,COUNTBLANK('Balance Sheet'!$C$6:E$6),0)</f>
        <v>237.17</v>
      </c>
      <c r="F55" s="6">
        <f>VLOOKUP($C55,'BS Input'!$C$53:$H$57,COUNTBLANK('Balance Sheet'!$C$6:F$6),0)</f>
        <v>276.17</v>
      </c>
      <c r="G55" s="6">
        <f>VLOOKUP($C55,'BS Input'!$C$53:$H$57,COUNTBLANK('Balance Sheet'!$C$6:G$6),0)</f>
        <v>98.81</v>
      </c>
      <c r="H55" s="6">
        <f>VLOOKUP($C55,'BS Input'!$C$53:$H$57,COUNTBLANK('Balance Sheet'!$C$6:H$6),0)</f>
        <v>0.32</v>
      </c>
      <c r="I55" s="55">
        <f>'BS items '!I40</f>
        <v>340.63909829447994</v>
      </c>
      <c r="J55" s="55">
        <f>'BS items '!J40</f>
        <v>407.2047657749514</v>
      </c>
      <c r="K55" s="55">
        <f>'BS items '!K40</f>
        <v>482.42408933151523</v>
      </c>
      <c r="L55" s="55">
        <f>'BS items '!L40</f>
        <v>566.4207540799863</v>
      </c>
      <c r="M55" s="55">
        <f>'BS items '!M40</f>
        <v>659.08554673419314</v>
      </c>
      <c r="N55" s="55">
        <f>'BS items '!N40</f>
        <v>760.04186849508505</v>
      </c>
      <c r="O55" s="55">
        <f>'BS items '!O40</f>
        <v>868.61882544205673</v>
      </c>
      <c r="P55" s="55">
        <f>'BS items '!P40</f>
        <v>983.83457526620361</v>
      </c>
      <c r="Q55" s="55">
        <f>'BS items '!Q40</f>
        <v>1104.3922506245913</v>
      </c>
      <c r="R55" s="55">
        <f>'BS items '!R40</f>
        <v>1228.6901859750419</v>
      </c>
    </row>
    <row r="56" spans="2:18" x14ac:dyDescent="0.2">
      <c r="B56" s="2"/>
      <c r="C56" s="34" t="s">
        <v>33</v>
      </c>
      <c r="D56" s="6">
        <f>VLOOKUP($C56,'BS Input'!$C$53:$H$57,COUNTBLANK('Balance Sheet'!$C$6:D$6),0)</f>
        <v>23.67</v>
      </c>
      <c r="E56" s="6">
        <f>VLOOKUP($C56,'BS Input'!$C$53:$H$57,COUNTBLANK('Balance Sheet'!$C$6:E$6),0)</f>
        <v>27.2</v>
      </c>
      <c r="F56" s="6">
        <f>VLOOKUP($C56,'BS Input'!$C$53:$H$57,COUNTBLANK('Balance Sheet'!$C$6:F$6),0)</f>
        <v>33.57</v>
      </c>
      <c r="G56" s="6">
        <f>VLOOKUP($C56,'BS Input'!$C$53:$H$57,COUNTBLANK('Balance Sheet'!$C$6:G$6),0)</f>
        <v>40.08</v>
      </c>
      <c r="H56" s="6">
        <f>VLOOKUP($C56,'BS Input'!$C$53:$H$57,COUNTBLANK('Balance Sheet'!$C$6:H$6),0)</f>
        <v>51.76</v>
      </c>
      <c r="I56" s="55">
        <f>'BS items '!I42</f>
        <v>55.484747688119214</v>
      </c>
      <c r="J56" s="55">
        <f>'BS items '!J42</f>
        <v>66.327247223073655</v>
      </c>
      <c r="K56" s="55">
        <f>'BS items '!K42</f>
        <v>78.579291130255939</v>
      </c>
      <c r="L56" s="55">
        <f>'BS items '!L42</f>
        <v>92.261025768313999</v>
      </c>
      <c r="M56" s="55">
        <f>'BS items '!M42</f>
        <v>107.35466201187221</v>
      </c>
      <c r="N56" s="55">
        <f>'BS items '!N42</f>
        <v>123.7988578439701</v>
      </c>
      <c r="O56" s="55">
        <f>'BS items '!O42</f>
        <v>141.48433520434781</v>
      </c>
      <c r="P56" s="55">
        <f>'BS items '!P42</f>
        <v>160.25116743440438</v>
      </c>
      <c r="Q56" s="55">
        <f>'BS items '!Q42</f>
        <v>179.88811525577171</v>
      </c>
      <c r="R56" s="55">
        <f>'BS items '!R42</f>
        <v>200.13429256073812</v>
      </c>
    </row>
    <row r="57" spans="2:18" x14ac:dyDescent="0.2">
      <c r="B57" s="2"/>
      <c r="C57" s="34" t="s">
        <v>248</v>
      </c>
      <c r="D57" s="6">
        <f>VLOOKUP($C57,'BS Input'!$C$53:$H$57,COUNTBLANK('Balance Sheet'!$C$6:D$6),0)</f>
        <v>18.309999999999999</v>
      </c>
      <c r="E57" s="6">
        <f>VLOOKUP($C57,'BS Input'!$C$53:$H$57,COUNTBLANK('Balance Sheet'!$C$6:E$6),0)</f>
        <v>21.24</v>
      </c>
      <c r="F57" s="6">
        <f>VLOOKUP($C57,'BS Input'!$C$53:$H$57,COUNTBLANK('Balance Sheet'!$C$6:F$6),0)</f>
        <v>29.61</v>
      </c>
      <c r="G57" s="6">
        <f>VLOOKUP($C57,'BS Input'!$C$53:$H$57,COUNTBLANK('Balance Sheet'!$C$6:G$6),0)</f>
        <v>33.54</v>
      </c>
      <c r="H57" s="6">
        <f>VLOOKUP($C57,'BS Input'!$C$53:$H$57,COUNTBLANK('Balance Sheet'!$C$6:H$6),0)</f>
        <v>13.39</v>
      </c>
      <c r="I57" s="55">
        <f>'BS items '!I44</f>
        <v>38.496786583930628</v>
      </c>
      <c r="J57" s="55">
        <f>'BS items '!J44</f>
        <v>46.019599753771992</v>
      </c>
      <c r="K57" s="55">
        <f>'BS items '!K44</f>
        <v>54.520392118603091</v>
      </c>
      <c r="L57" s="55">
        <f>'BS items '!L44</f>
        <v>64.013141755312247</v>
      </c>
      <c r="M57" s="55">
        <f>'BS items '!M44</f>
        <v>74.48550609784958</v>
      </c>
      <c r="N57" s="55">
        <f>'BS items '!N44</f>
        <v>85.894924431172683</v>
      </c>
      <c r="O57" s="55">
        <f>'BS items '!O44</f>
        <v>98.165576744568398</v>
      </c>
      <c r="P57" s="55">
        <f>'BS items '!P44</f>
        <v>111.18650168916571</v>
      </c>
      <c r="Q57" s="55">
        <f>'BS items '!Q44</f>
        <v>124.81113586229417</v>
      </c>
      <c r="R57" s="55">
        <f>'BS items '!R44</f>
        <v>138.85846957697203</v>
      </c>
    </row>
    <row r="58" spans="2:18" x14ac:dyDescent="0.2">
      <c r="B58" s="2"/>
      <c r="C58" s="34"/>
      <c r="D58" s="6"/>
      <c r="E58" s="6"/>
      <c r="F58" s="6"/>
      <c r="G58" s="6"/>
      <c r="H58" s="6"/>
      <c r="I58" s="55"/>
      <c r="J58" s="55"/>
      <c r="K58" s="55"/>
      <c r="L58" s="55"/>
      <c r="M58" s="55"/>
      <c r="N58" s="55"/>
      <c r="O58" s="55"/>
      <c r="P58" s="55"/>
      <c r="Q58" s="55"/>
      <c r="R58" s="55"/>
    </row>
    <row r="59" spans="2:18" s="133" customFormat="1" x14ac:dyDescent="0.2">
      <c r="B59" s="4" t="s">
        <v>189</v>
      </c>
      <c r="C59" s="44"/>
      <c r="D59" s="131">
        <f>SUM(D53:D58)</f>
        <v>523.4</v>
      </c>
      <c r="E59" s="132">
        <f>SUM(E53:E58)</f>
        <v>414.45</v>
      </c>
      <c r="F59" s="132">
        <f>SUM(F53:F58)</f>
        <v>630.88000000000011</v>
      </c>
      <c r="G59" s="132">
        <f>SUM(G53:G58)</f>
        <v>507.28000000000003</v>
      </c>
      <c r="H59" s="132">
        <f t="shared" ref="H59:R59" si="10">SUM(H53:H58)</f>
        <v>461.09</v>
      </c>
      <c r="I59" s="56">
        <f t="shared" si="10"/>
        <v>855.54024314959884</v>
      </c>
      <c r="J59" s="56">
        <f t="shared" si="10"/>
        <v>1022.724831257055</v>
      </c>
      <c r="K59" s="56">
        <f t="shared" si="10"/>
        <v>1211.6437154583577</v>
      </c>
      <c r="L59" s="56">
        <f t="shared" si="10"/>
        <v>1422.6075400529662</v>
      </c>
      <c r="M59" s="56">
        <f t="shared" si="10"/>
        <v>1655.3420078099575</v>
      </c>
      <c r="N59" s="56">
        <f t="shared" si="10"/>
        <v>1908.9012630429975</v>
      </c>
      <c r="O59" s="56">
        <f t="shared" si="10"/>
        <v>2181.6003061415413</v>
      </c>
      <c r="P59" s="56">
        <f t="shared" si="10"/>
        <v>2470.9731676619758</v>
      </c>
      <c r="Q59" s="56">
        <f t="shared" si="10"/>
        <v>2773.7626695309004</v>
      </c>
      <c r="R59" s="56">
        <f t="shared" si="10"/>
        <v>3085.9461104957009</v>
      </c>
    </row>
    <row r="60" spans="2:18" x14ac:dyDescent="0.2">
      <c r="B60" s="2"/>
      <c r="C60" s="34"/>
      <c r="D60" s="9"/>
      <c r="E60" s="9"/>
      <c r="F60" s="9"/>
      <c r="G60" s="9"/>
      <c r="H60" s="9"/>
      <c r="I60" s="54"/>
      <c r="J60" s="54"/>
      <c r="K60" s="54"/>
      <c r="L60" s="54"/>
      <c r="M60" s="54"/>
      <c r="N60" s="54"/>
      <c r="O60" s="54"/>
      <c r="P60" s="54"/>
      <c r="Q60" s="54"/>
      <c r="R60" s="54"/>
    </row>
    <row r="61" spans="2:18" x14ac:dyDescent="0.2">
      <c r="B61" s="525" t="s">
        <v>382</v>
      </c>
      <c r="C61" s="526"/>
      <c r="D61" s="8"/>
      <c r="E61" s="8"/>
      <c r="F61" s="8"/>
      <c r="G61" s="8"/>
      <c r="H61" s="8"/>
      <c r="I61" s="54"/>
      <c r="J61" s="54"/>
      <c r="K61" s="54"/>
      <c r="L61" s="54"/>
      <c r="M61" s="54"/>
      <c r="N61" s="54"/>
      <c r="O61" s="54"/>
      <c r="P61" s="54"/>
      <c r="Q61" s="54"/>
      <c r="R61" s="54"/>
    </row>
    <row r="62" spans="2:18" x14ac:dyDescent="0.2">
      <c r="B62" s="106"/>
      <c r="C62" s="176" t="s">
        <v>203</v>
      </c>
      <c r="D62" s="8"/>
      <c r="E62" s="8"/>
      <c r="F62" s="8"/>
      <c r="G62" s="8"/>
      <c r="H62" s="8"/>
      <c r="I62" s="54"/>
      <c r="J62" s="54"/>
      <c r="K62" s="54"/>
      <c r="L62" s="54"/>
      <c r="M62" s="54"/>
      <c r="N62" s="54"/>
      <c r="O62" s="54"/>
      <c r="P62" s="54"/>
      <c r="Q62" s="54"/>
      <c r="R62" s="54"/>
    </row>
    <row r="63" spans="2:18" x14ac:dyDescent="0.2">
      <c r="B63" s="2"/>
      <c r="C63" s="34" t="s">
        <v>204</v>
      </c>
      <c r="D63" s="6">
        <f>VLOOKUP($C63,'BS Input'!$C$63:$H$70,COUNTBLANK('Balance Sheet'!$C$6:D$6),0)</f>
        <v>69.98</v>
      </c>
      <c r="E63" s="6">
        <f>VLOOKUP($C63,'BS Input'!$C$63:$H$70,COUNTBLANK('Balance Sheet'!$C$6:E$6),0)</f>
        <v>69.459999999999994</v>
      </c>
      <c r="F63" s="6">
        <f>VLOOKUP($C63,'BS Input'!$C$63:$H$70,COUNTBLANK('Balance Sheet'!$C$6:F$6),0)</f>
        <v>102.63</v>
      </c>
      <c r="G63" s="6">
        <f>VLOOKUP($C63,'BS Input'!$C$63:$H$70,COUNTBLANK('Balance Sheet'!$C$6:G$6),0)</f>
        <v>173.25</v>
      </c>
      <c r="H63" s="6">
        <f>VLOOKUP($C63,'BS Input'!$C$63:$H$70,COUNTBLANK('Balance Sheet'!$C$6:H$6),0)</f>
        <v>175.94</v>
      </c>
      <c r="I63" s="55">
        <f>'BS items '!I48</f>
        <v>181.21427397108235</v>
      </c>
      <c r="J63" s="55">
        <f>'BS items '!J48</f>
        <v>216.62609006697292</v>
      </c>
      <c r="K63" s="55">
        <f>'BS items '!K48</f>
        <v>256.64150572285547</v>
      </c>
      <c r="L63" s="55">
        <f>'BS items '!L48</f>
        <v>301.32631934113192</v>
      </c>
      <c r="M63" s="55">
        <f>'BS items '!M48</f>
        <v>350.62243128949154</v>
      </c>
      <c r="N63" s="55">
        <f>'BS items '!N48</f>
        <v>404.32949733766247</v>
      </c>
      <c r="O63" s="55">
        <f>'BS items '!O48</f>
        <v>462.09061319796058</v>
      </c>
      <c r="P63" s="55">
        <f>'BS items '!P48</f>
        <v>523.38345526733201</v>
      </c>
      <c r="Q63" s="55">
        <f>'BS items '!Q48</f>
        <v>587.5181119203545</v>
      </c>
      <c r="R63" s="55">
        <f>'BS items '!R48</f>
        <v>653.64252401342594</v>
      </c>
    </row>
    <row r="64" spans="2:18" x14ac:dyDescent="0.2">
      <c r="B64" s="2"/>
      <c r="C64" s="34" t="s">
        <v>210</v>
      </c>
      <c r="D64" s="6">
        <f>VLOOKUP($C64,'BS Input'!$C$63:$H$70,COUNTBLANK('Balance Sheet'!$C$6:D$6),0)</f>
        <v>5.97</v>
      </c>
      <c r="E64" s="6">
        <f>VLOOKUP($C64,'BS Input'!$C$63:$H$70,COUNTBLANK('Balance Sheet'!$C$6:E$6),0)</f>
        <v>4.53</v>
      </c>
      <c r="F64" s="6">
        <f>VLOOKUP($C64,'BS Input'!$C$63:$H$70,COUNTBLANK('Balance Sheet'!$C$6:F$6),0)</f>
        <v>10.07</v>
      </c>
      <c r="G64" s="6">
        <f>VLOOKUP($C64,'BS Input'!$C$63:$H$70,COUNTBLANK('Balance Sheet'!$C$6:G$6),0)</f>
        <v>10.86</v>
      </c>
      <c r="H64" s="6">
        <f>VLOOKUP($C64,'BS Input'!$C$63:$H$70,COUNTBLANK('Balance Sheet'!$C$6:H$6),0)</f>
        <v>11.57</v>
      </c>
      <c r="I64" s="55">
        <f>'BS items '!I50</f>
        <v>13.479182650924942</v>
      </c>
      <c r="J64" s="55">
        <f>'BS items '!J50</f>
        <v>16.113204390479755</v>
      </c>
      <c r="K64" s="55">
        <f>'BS items '!K50</f>
        <v>19.089653677054137</v>
      </c>
      <c r="L64" s="55">
        <f>'BS items '!L50</f>
        <v>22.413424764641874</v>
      </c>
      <c r="M64" s="55">
        <f>'BS items '!M50</f>
        <v>26.080196053521785</v>
      </c>
      <c r="N64" s="55">
        <f>'BS items '!N50</f>
        <v>30.075065425810347</v>
      </c>
      <c r="O64" s="55">
        <f>'BS items '!O50</f>
        <v>34.371485424857653</v>
      </c>
      <c r="P64" s="55">
        <f>'BS items '!P50</f>
        <v>38.930604280909755</v>
      </c>
      <c r="Q64" s="55">
        <f>'BS items '!Q50</f>
        <v>43.701104597117741</v>
      </c>
      <c r="R64" s="55">
        <f>'BS items '!R50</f>
        <v>48.619608028198293</v>
      </c>
    </row>
    <row r="65" spans="2:18" x14ac:dyDescent="0.2">
      <c r="B65" s="2"/>
      <c r="C65" s="34" t="s">
        <v>207</v>
      </c>
      <c r="D65" s="6">
        <f>VLOOKUP($C65,'BS Input'!$C$63:$H$70,COUNTBLANK('Balance Sheet'!$C$6:D$6),0)</f>
        <v>30.69</v>
      </c>
      <c r="E65" s="6">
        <f>VLOOKUP($C65,'BS Input'!$C$63:$H$70,COUNTBLANK('Balance Sheet'!$C$6:E$6),0)</f>
        <v>33.270000000000003</v>
      </c>
      <c r="F65" s="6">
        <f>VLOOKUP($C65,'BS Input'!$C$63:$H$70,COUNTBLANK('Balance Sheet'!$C$6:F$6),0)</f>
        <v>182.94</v>
      </c>
      <c r="G65" s="6">
        <f>VLOOKUP($C65,'BS Input'!$C$63:$H$70,COUNTBLANK('Balance Sheet'!$C$6:G$6),0)</f>
        <v>220.41</v>
      </c>
      <c r="H65" s="6">
        <f>VLOOKUP($C65,'BS Input'!$C$63:$H$70,COUNTBLANK('Balance Sheet'!$C$6:H$6),0)</f>
        <v>255.99</v>
      </c>
      <c r="I65" s="55">
        <f>'Working Capital'!H13</f>
        <v>206.00738633025878</v>
      </c>
      <c r="J65" s="55">
        <f>'Working Capital'!I13</f>
        <v>246.26412504768638</v>
      </c>
      <c r="K65" s="55">
        <f>'Working Capital'!J13</f>
        <v>291.754311949314</v>
      </c>
      <c r="L65" s="55">
        <f>'Working Capital'!K13</f>
        <v>342.55274774816752</v>
      </c>
      <c r="M65" s="55">
        <f>'Working Capital'!L13</f>
        <v>398.59338382050021</v>
      </c>
      <c r="N65" s="55">
        <f>'Working Capital'!M13</f>
        <v>459.6484655289965</v>
      </c>
      <c r="O65" s="55">
        <f>'Working Capital'!N13</f>
        <v>525.31225817150164</v>
      </c>
      <c r="P65" s="55">
        <f>'Working Capital'!O13</f>
        <v>594.99097562992597</v>
      </c>
      <c r="Q65" s="55">
        <f>'Working Capital'!P13</f>
        <v>667.90031494822972</v>
      </c>
      <c r="R65" s="55">
        <f>'Working Capital'!Q13</f>
        <v>743.07164118764274</v>
      </c>
    </row>
    <row r="66" spans="2:18" x14ac:dyDescent="0.2">
      <c r="B66" s="2"/>
      <c r="C66" s="34" t="s">
        <v>209</v>
      </c>
      <c r="D66" s="6">
        <f>VLOOKUP($C66,'BS Input'!$C$63:$H$70,COUNTBLANK('Balance Sheet'!$C$6:D$6),0)</f>
        <v>426.94</v>
      </c>
      <c r="E66" s="6">
        <f>VLOOKUP($C66,'BS Input'!$C$63:$H$70,COUNTBLANK('Balance Sheet'!$C$6:E$6),0)</f>
        <v>518.71</v>
      </c>
      <c r="F66" s="6">
        <f>VLOOKUP($C66,'BS Input'!$C$63:$H$70,COUNTBLANK('Balance Sheet'!$C$6:F$6),0)</f>
        <v>203.21</v>
      </c>
      <c r="G66" s="6">
        <f>VLOOKUP($C66,'BS Input'!$C$63:$H$70,COUNTBLANK('Balance Sheet'!$C$6:G$6),0)</f>
        <v>458.96</v>
      </c>
      <c r="H66" s="6">
        <f>VLOOKUP($C66,'BS Input'!$C$63:$H$70,COUNTBLANK('Balance Sheet'!$C$6:H$6),0)</f>
        <v>180.5</v>
      </c>
      <c r="I66" s="55">
        <f>'BS items '!I52</f>
        <v>631.47911717310831</v>
      </c>
      <c r="J66" s="55">
        <f>'BS items '!J52</f>
        <v>754.87901209141853</v>
      </c>
      <c r="K66" s="55">
        <f>'BS items '!K52</f>
        <v>894.321114515006</v>
      </c>
      <c r="L66" s="55">
        <f>'BS items '!L52</f>
        <v>1050.0347127672992</v>
      </c>
      <c r="M66" s="55">
        <f>'BS items '!M52</f>
        <v>1221.8173465027874</v>
      </c>
      <c r="N66" s="55">
        <f>'BS items '!N52</f>
        <v>1408.9708742622445</v>
      </c>
      <c r="O66" s="55">
        <f>'BS items '!O52</f>
        <v>1610.2515882539867</v>
      </c>
      <c r="P66" s="55">
        <f>'BS items '!P52</f>
        <v>1823.8393424127671</v>
      </c>
      <c r="Q66" s="55">
        <f>'BS items '!Q52</f>
        <v>2047.329995085712</v>
      </c>
      <c r="R66" s="55">
        <f>'BS items '!R52</f>
        <v>2277.7543676094069</v>
      </c>
    </row>
    <row r="67" spans="2:18" x14ac:dyDescent="0.2">
      <c r="B67" s="2"/>
      <c r="C67" s="34" t="s">
        <v>299</v>
      </c>
      <c r="D67" s="6">
        <f>VLOOKUP($C67,'BS Input'!$C$63:$H$70,COUNTBLANK('Balance Sheet'!$C$6:D$6),0)</f>
        <v>0</v>
      </c>
      <c r="E67" s="6">
        <f>VLOOKUP($C67,'BS Input'!$C$63:$H$70,COUNTBLANK('Balance Sheet'!$C$6:E$6),0)</f>
        <v>0</v>
      </c>
      <c r="F67" s="6">
        <f>VLOOKUP($C67,'BS Input'!$C$63:$H$70,COUNTBLANK('Balance Sheet'!$C$6:F$6),0)</f>
        <v>59.27</v>
      </c>
      <c r="G67" s="6">
        <f>VLOOKUP($C67,'BS Input'!$C$63:$H$70,COUNTBLANK('Balance Sheet'!$C$6:G$6),0)</f>
        <v>73.489999999999995</v>
      </c>
      <c r="H67" s="6">
        <f>VLOOKUP($C67,'BS Input'!$C$63:$H$70,COUNTBLANK('Balance Sheet'!$C$6:H$6),0)</f>
        <v>109.18</v>
      </c>
      <c r="I67" s="55">
        <f>'BS items '!I54</f>
        <v>64.873184605726848</v>
      </c>
      <c r="J67" s="55">
        <f>'BS items '!J54</f>
        <v>77.550316668620255</v>
      </c>
      <c r="K67" s="55">
        <f>'BS items '!K54</f>
        <v>91.87549862052991</v>
      </c>
      <c r="L67" s="55">
        <f>'BS items '!L54</f>
        <v>107.87228573561961</v>
      </c>
      <c r="M67" s="55">
        <f>'BS items '!M54</f>
        <v>125.51987883460937</v>
      </c>
      <c r="N67" s="55">
        <f>'BS items '!N54</f>
        <v>144.74655636957522</v>
      </c>
      <c r="O67" s="55">
        <f>'BS items '!O54</f>
        <v>165.42454960997446</v>
      </c>
      <c r="P67" s="55">
        <f>'BS items '!P54</f>
        <v>187.36687110287468</v>
      </c>
      <c r="Q67" s="55">
        <f>'BS items '!Q54</f>
        <v>210.32653829410475</v>
      </c>
      <c r="R67" s="55">
        <f>'BS items '!R54</f>
        <v>233.99852118295556</v>
      </c>
    </row>
    <row r="68" spans="2:18" x14ac:dyDescent="0.2">
      <c r="B68" s="2"/>
      <c r="C68" s="34" t="s">
        <v>300</v>
      </c>
      <c r="D68" s="6">
        <f>VLOOKUP($C68,'BS Input'!$C$63:$H$70,COUNTBLANK('Balance Sheet'!$C$6:D$6),0)</f>
        <v>132.19</v>
      </c>
      <c r="E68" s="6">
        <f>VLOOKUP($C68,'BS Input'!$C$63:$H$70,COUNTBLANK('Balance Sheet'!$C$6:E$6),0)</f>
        <v>136</v>
      </c>
      <c r="F68" s="6">
        <f>VLOOKUP($C68,'BS Input'!$C$63:$H$70,COUNTBLANK('Balance Sheet'!$C$6:F$6),0)</f>
        <v>82.23</v>
      </c>
      <c r="G68" s="6">
        <f>VLOOKUP($C68,'BS Input'!$C$63:$H$70,COUNTBLANK('Balance Sheet'!$C$6:G$6),0)</f>
        <v>91.43</v>
      </c>
      <c r="H68" s="6">
        <f>VLOOKUP($C68,'BS Input'!$C$63:$H$70,COUNTBLANK('Balance Sheet'!$C$6:H$6),0)</f>
        <v>125.4</v>
      </c>
      <c r="I68" s="55">
        <f>'BS items '!I56</f>
        <v>195.3594505280779</v>
      </c>
      <c r="J68" s="55">
        <f>'BS items '!J56</f>
        <v>233.53543293329665</v>
      </c>
      <c r="K68" s="55">
        <f>'BS items '!K56</f>
        <v>276.67436147285167</v>
      </c>
      <c r="L68" s="55">
        <f>'BS items '!L56</f>
        <v>324.84717062368657</v>
      </c>
      <c r="M68" s="55">
        <f>'BS items '!M56</f>
        <v>377.99122562753774</v>
      </c>
      <c r="N68" s="55">
        <f>'BS items '!N56</f>
        <v>435.89054383643429</v>
      </c>
      <c r="O68" s="55">
        <f>'BS items '!O56</f>
        <v>498.16036182084531</v>
      </c>
      <c r="P68" s="55">
        <f>'BS items '!P56</f>
        <v>564.23758457807389</v>
      </c>
      <c r="Q68" s="55">
        <f>'BS items '!Q56</f>
        <v>633.37844754089326</v>
      </c>
      <c r="R68" s="55">
        <f>'BS items '!R56</f>
        <v>704.66438175519284</v>
      </c>
    </row>
    <row r="69" spans="2:18" x14ac:dyDescent="0.2">
      <c r="B69" s="2"/>
      <c r="C69" s="34" t="s">
        <v>33</v>
      </c>
      <c r="D69" s="6">
        <f>VLOOKUP($C69,'BS Input'!$C$63:$H$70,COUNTBLANK('Balance Sheet'!$C$6:D$6),0)</f>
        <v>23.23</v>
      </c>
      <c r="E69" s="6">
        <f>VLOOKUP($C69,'BS Input'!$C$63:$H$70,COUNTBLANK('Balance Sheet'!$C$6:E$6),0)</f>
        <v>27.8</v>
      </c>
      <c r="F69" s="6">
        <f>VLOOKUP($C69,'BS Input'!$C$63:$H$70,COUNTBLANK('Balance Sheet'!$C$6:F$6),0)</f>
        <v>33.24</v>
      </c>
      <c r="G69" s="6">
        <f>VLOOKUP($C69,'BS Input'!$C$63:$H$70,COUNTBLANK('Balance Sheet'!$C$6:G$6),0)</f>
        <v>32.19</v>
      </c>
      <c r="H69" s="6">
        <f>VLOOKUP($C69,'BS Input'!$C$63:$H$70,COUNTBLANK('Balance Sheet'!$C$6:H$6),0)</f>
        <v>39.5</v>
      </c>
      <c r="I69" s="55">
        <f>'BS items '!I58</f>
        <v>50.345879432355837</v>
      </c>
      <c r="J69" s="55">
        <f>'BS items '!J58</f>
        <v>60.184171883473482</v>
      </c>
      <c r="K69" s="55">
        <f>'BS items '!K58</f>
        <v>71.301459986110217</v>
      </c>
      <c r="L69" s="55">
        <f>'BS items '!L58</f>
        <v>83.716024190042845</v>
      </c>
      <c r="M69" s="55">
        <f>'BS items '!M58</f>
        <v>97.411722957304846</v>
      </c>
      <c r="N69" s="55">
        <f>'BS items '!N58</f>
        <v>112.33289562584568</v>
      </c>
      <c r="O69" s="55">
        <f>'BS items '!O58</f>
        <v>128.38038521513133</v>
      </c>
      <c r="P69" s="55">
        <f>'BS items '!P58</f>
        <v>145.40907710164041</v>
      </c>
      <c r="Q69" s="55">
        <f>'BS items '!Q58</f>
        <v>163.22729649755769</v>
      </c>
      <c r="R69" s="55">
        <f>'BS items '!R58</f>
        <v>181.59831995956398</v>
      </c>
    </row>
    <row r="70" spans="2:18" x14ac:dyDescent="0.2">
      <c r="B70" s="2"/>
      <c r="C70" s="34" t="s">
        <v>383</v>
      </c>
      <c r="D70" s="6">
        <f>'BS items '!D60</f>
        <v>42.78</v>
      </c>
      <c r="E70" s="6">
        <f>'BS items '!E60</f>
        <v>62.25</v>
      </c>
      <c r="F70" s="6">
        <f>'BS items '!F60</f>
        <v>61.92</v>
      </c>
      <c r="G70" s="6">
        <f>'BS items '!G60</f>
        <v>29.85</v>
      </c>
      <c r="H70" s="6">
        <f>'BS items '!H60</f>
        <v>40.369999999999997</v>
      </c>
      <c r="I70" s="55">
        <f>'BS items '!I60</f>
        <v>81.461638986004928</v>
      </c>
      <c r="J70" s="55">
        <f>'BS items '!J60</f>
        <v>97.380388185102618</v>
      </c>
      <c r="K70" s="55">
        <f>'BS items '!K60</f>
        <v>115.36860331077541</v>
      </c>
      <c r="L70" s="55">
        <f>'BS items '!L60</f>
        <v>135.4558628591586</v>
      </c>
      <c r="M70" s="55">
        <f>'BS items '!M60</f>
        <v>157.61604917865228</v>
      </c>
      <c r="N70" s="55">
        <f>'BS items '!N60</f>
        <v>181.75910110022321</v>
      </c>
      <c r="O70" s="55">
        <f>'BS items '!O60</f>
        <v>207.72457867839273</v>
      </c>
      <c r="P70" s="55">
        <f>'BS items '!P60</f>
        <v>235.27768067011621</v>
      </c>
      <c r="Q70" s="55">
        <f>'BS items '!Q60</f>
        <v>264.10826963130148</v>
      </c>
      <c r="R70" s="55">
        <f>'BS items '!R60</f>
        <v>293.83331759825796</v>
      </c>
    </row>
    <row r="71" spans="2:18" x14ac:dyDescent="0.2">
      <c r="B71" s="2"/>
      <c r="C71" s="34"/>
      <c r="D71" s="6"/>
      <c r="E71" s="6"/>
      <c r="F71" s="6"/>
      <c r="G71" s="6"/>
      <c r="H71" s="6"/>
      <c r="I71" s="55"/>
      <c r="J71" s="55"/>
      <c r="K71" s="55"/>
      <c r="L71" s="55"/>
      <c r="M71" s="55"/>
      <c r="N71" s="55"/>
      <c r="O71" s="55"/>
      <c r="P71" s="55"/>
      <c r="Q71" s="55"/>
      <c r="R71" s="55"/>
    </row>
    <row r="72" spans="2:18" s="133" customFormat="1" x14ac:dyDescent="0.2">
      <c r="B72" s="4" t="s">
        <v>188</v>
      </c>
      <c r="C72" s="44"/>
      <c r="D72" s="131">
        <f>SUM(D63:D70)</f>
        <v>731.78</v>
      </c>
      <c r="E72" s="132">
        <f>SUM(E63:E70)</f>
        <v>852.02</v>
      </c>
      <c r="F72" s="132">
        <f t="shared" ref="F72:G72" si="11">SUM(F63:F70)</f>
        <v>735.51</v>
      </c>
      <c r="G72" s="132">
        <f t="shared" si="11"/>
        <v>1090.44</v>
      </c>
      <c r="H72" s="132">
        <f t="shared" ref="H72:R72" si="12">SUM(H63:H70)</f>
        <v>938.45</v>
      </c>
      <c r="I72" s="56">
        <f t="shared" si="12"/>
        <v>1424.2201136775398</v>
      </c>
      <c r="J72" s="56">
        <f t="shared" si="12"/>
        <v>1702.5327412670508</v>
      </c>
      <c r="K72" s="56">
        <f t="shared" si="12"/>
        <v>2017.0265092544967</v>
      </c>
      <c r="L72" s="56">
        <f t="shared" si="12"/>
        <v>2368.218548029748</v>
      </c>
      <c r="M72" s="56">
        <f t="shared" si="12"/>
        <v>2755.6522342644053</v>
      </c>
      <c r="N72" s="56">
        <f t="shared" si="12"/>
        <v>3177.7529994867919</v>
      </c>
      <c r="O72" s="56">
        <f t="shared" si="12"/>
        <v>3631.7158203726499</v>
      </c>
      <c r="P72" s="56">
        <f t="shared" si="12"/>
        <v>4113.4355910436398</v>
      </c>
      <c r="Q72" s="56">
        <f t="shared" si="12"/>
        <v>4617.4900785152713</v>
      </c>
      <c r="R72" s="56">
        <f t="shared" si="12"/>
        <v>5137.1826813346443</v>
      </c>
    </row>
    <row r="73" spans="2:18" x14ac:dyDescent="0.2">
      <c r="B73" s="2"/>
      <c r="C73" s="34"/>
      <c r="D73" s="9"/>
      <c r="E73" s="9"/>
      <c r="F73" s="9"/>
      <c r="G73" s="9"/>
      <c r="H73" s="9"/>
      <c r="I73" s="54"/>
      <c r="J73" s="54"/>
      <c r="K73" s="54"/>
      <c r="L73" s="54"/>
      <c r="M73" s="54"/>
      <c r="N73" s="54"/>
      <c r="O73" s="54"/>
      <c r="P73" s="54"/>
      <c r="Q73" s="54"/>
      <c r="R73" s="54"/>
    </row>
    <row r="74" spans="2:18" x14ac:dyDescent="0.2">
      <c r="B74" s="532" t="s">
        <v>36</v>
      </c>
      <c r="C74" s="533"/>
      <c r="D74" s="101">
        <f>D72+D59+D49</f>
        <v>2295.75</v>
      </c>
      <c r="E74" s="101">
        <f>E72+E59+E49</f>
        <v>2488.17</v>
      </c>
      <c r="F74" s="101">
        <f>F72+F59+F49</f>
        <v>3140.9</v>
      </c>
      <c r="G74" s="101">
        <f>G72+G59+G49</f>
        <v>3685.13</v>
      </c>
      <c r="H74" s="101">
        <f t="shared" ref="H74:R74" si="13">H72+H59+H49</f>
        <v>3861.8799999999997</v>
      </c>
      <c r="I74" s="101">
        <f t="shared" ca="1" si="13"/>
        <v>5246.2746351542664</v>
      </c>
      <c r="J74" s="101">
        <f t="shared" ca="1" si="13"/>
        <v>6302.5824829042685</v>
      </c>
      <c r="K74" s="101">
        <f t="shared" ca="1" si="13"/>
        <v>7528.2623896812074</v>
      </c>
      <c r="L74" s="101">
        <f t="shared" ca="1" si="13"/>
        <v>8943.942820979446</v>
      </c>
      <c r="M74" s="101">
        <f t="shared" ca="1" si="13"/>
        <v>10551.724925981427</v>
      </c>
      <c r="N74" s="101">
        <f t="shared" ca="1" si="13"/>
        <v>12372.728561412732</v>
      </c>
      <c r="O74" s="101">
        <f t="shared" ca="1" si="13"/>
        <v>14396.035766525298</v>
      </c>
      <c r="P74" s="101">
        <f t="shared" ca="1" si="13"/>
        <v>16641.49946106672</v>
      </c>
      <c r="Q74" s="101">
        <f t="shared" ca="1" si="13"/>
        <v>19087.359434691585</v>
      </c>
      <c r="R74" s="101">
        <f t="shared" ca="1" si="13"/>
        <v>21745.818398527554</v>
      </c>
    </row>
    <row r="76" spans="2:18" x14ac:dyDescent="0.2">
      <c r="D76" s="49">
        <f t="shared" ref="D76:R76" si="14">D40-D74</f>
        <v>0</v>
      </c>
      <c r="E76" s="49">
        <f t="shared" si="14"/>
        <v>0</v>
      </c>
      <c r="F76" s="49">
        <f t="shared" si="14"/>
        <v>0</v>
      </c>
      <c r="G76" s="49">
        <f t="shared" si="14"/>
        <v>0</v>
      </c>
      <c r="H76" s="49">
        <f t="shared" si="14"/>
        <v>0</v>
      </c>
      <c r="I76" s="49">
        <f t="shared" ca="1" si="14"/>
        <v>0</v>
      </c>
      <c r="J76" s="49">
        <f t="shared" ca="1" si="14"/>
        <v>0</v>
      </c>
      <c r="K76" s="49">
        <f t="shared" ca="1" si="14"/>
        <v>0</v>
      </c>
      <c r="L76" s="49">
        <f t="shared" ca="1" si="14"/>
        <v>0</v>
      </c>
      <c r="M76" s="49">
        <f t="shared" ca="1" si="14"/>
        <v>0</v>
      </c>
      <c r="N76" s="49">
        <f t="shared" ca="1" si="14"/>
        <v>0</v>
      </c>
      <c r="O76" s="49">
        <f t="shared" ca="1" si="14"/>
        <v>0</v>
      </c>
      <c r="P76" s="49">
        <f t="shared" ca="1" si="14"/>
        <v>0</v>
      </c>
      <c r="Q76" s="49">
        <f t="shared" ca="1" si="14"/>
        <v>0</v>
      </c>
      <c r="R76" s="49">
        <f t="shared" ca="1" si="14"/>
        <v>0</v>
      </c>
    </row>
  </sheetData>
  <mergeCells count="12">
    <mergeCell ref="B10:C10"/>
    <mergeCell ref="B40:C40"/>
    <mergeCell ref="B42:C42"/>
    <mergeCell ref="B74:C74"/>
    <mergeCell ref="Q6:R6"/>
    <mergeCell ref="B8:C9"/>
    <mergeCell ref="B12:C12"/>
    <mergeCell ref="B29:C29"/>
    <mergeCell ref="B44:C44"/>
    <mergeCell ref="B51:C51"/>
    <mergeCell ref="B61:C61"/>
    <mergeCell ref="B7:R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tabColor rgb="FF92D050"/>
  </sheetPr>
  <dimension ref="B6:T44"/>
  <sheetViews>
    <sheetView showGridLines="0" topLeftCell="A4" zoomScale="89" zoomScaleNormal="100" workbookViewId="0">
      <selection activeCell="T16" sqref="T16"/>
    </sheetView>
  </sheetViews>
  <sheetFormatPr baseColWidth="10" defaultColWidth="8.83203125" defaultRowHeight="15" x14ac:dyDescent="0.2"/>
  <cols>
    <col min="1" max="1" width="6.1640625" customWidth="1"/>
    <col min="2" max="2" width="24.1640625" bestFit="1" customWidth="1"/>
    <col min="3" max="3" width="9.5" customWidth="1"/>
    <col min="18" max="18" width="15.1640625" customWidth="1"/>
    <col min="20" max="20" width="206.6640625" customWidth="1"/>
  </cols>
  <sheetData>
    <row r="6" spans="2:20" ht="12" customHeight="1" x14ac:dyDescent="0.2">
      <c r="P6" s="534" t="str">
        <f>'Income Statement'!P6:Q6</f>
        <v>(INR in Crores)</v>
      </c>
      <c r="Q6" s="534"/>
      <c r="R6" s="24"/>
    </row>
    <row r="7" spans="2:20" ht="16" x14ac:dyDescent="0.2">
      <c r="B7" s="538" t="s">
        <v>160</v>
      </c>
      <c r="C7" s="539"/>
      <c r="D7" s="539"/>
      <c r="E7" s="539"/>
      <c r="F7" s="539"/>
      <c r="G7" s="539"/>
      <c r="H7" s="539"/>
      <c r="I7" s="539"/>
      <c r="J7" s="539"/>
      <c r="K7" s="539"/>
      <c r="L7" s="539"/>
      <c r="M7" s="539"/>
      <c r="N7" s="539"/>
      <c r="O7" s="539"/>
      <c r="P7" s="539"/>
      <c r="Q7" s="539"/>
      <c r="R7" s="539"/>
      <c r="T7" s="535" t="s">
        <v>192</v>
      </c>
    </row>
    <row r="8" spans="2:20" x14ac:dyDescent="0.2">
      <c r="B8" s="531" t="s">
        <v>0</v>
      </c>
      <c r="C8" s="195">
        <f>'Cash Flows'!C8</f>
        <v>2021</v>
      </c>
      <c r="D8" s="195">
        <f>'Cash Flows'!D8</f>
        <v>2022</v>
      </c>
      <c r="E8" s="195">
        <f>'Cash Flows'!E8</f>
        <v>2023</v>
      </c>
      <c r="F8" s="195">
        <f>'Cash Flows'!F8</f>
        <v>2024</v>
      </c>
      <c r="G8" s="195">
        <f>'Cash Flows'!G8</f>
        <v>2025</v>
      </c>
      <c r="H8" s="217">
        <f>'Cash Flows'!H8</f>
        <v>2026</v>
      </c>
      <c r="I8" s="217">
        <f>'Cash Flows'!I8</f>
        <v>2027</v>
      </c>
      <c r="J8" s="217">
        <f>'Cash Flows'!J8</f>
        <v>2028</v>
      </c>
      <c r="K8" s="217">
        <f>'Cash Flows'!K8</f>
        <v>2029</v>
      </c>
      <c r="L8" s="217">
        <f>'Cash Flows'!L8</f>
        <v>2030</v>
      </c>
      <c r="M8" s="217">
        <f>'Cash Flows'!M8</f>
        <v>2031</v>
      </c>
      <c r="N8" s="217">
        <f>'Cash Flows'!N8</f>
        <v>2032</v>
      </c>
      <c r="O8" s="217">
        <f>'Cash Flows'!O8</f>
        <v>2033</v>
      </c>
      <c r="P8" s="217">
        <f>'Cash Flows'!P8</f>
        <v>2034</v>
      </c>
      <c r="Q8" s="217">
        <f>'Cash Flows'!Q8</f>
        <v>2035</v>
      </c>
      <c r="R8" s="536" t="s">
        <v>219</v>
      </c>
      <c r="T8" s="535"/>
    </row>
    <row r="9" spans="2:20" x14ac:dyDescent="0.2">
      <c r="B9" s="529"/>
      <c r="C9" s="13" t="s">
        <v>1</v>
      </c>
      <c r="D9" s="13" t="s">
        <v>1</v>
      </c>
      <c r="E9" s="13" t="s">
        <v>1</v>
      </c>
      <c r="F9" s="13" t="s">
        <v>1</v>
      </c>
      <c r="G9" s="13" t="s">
        <v>1</v>
      </c>
      <c r="H9" s="110" t="s">
        <v>52</v>
      </c>
      <c r="I9" s="110" t="s">
        <v>53</v>
      </c>
      <c r="J9" s="110" t="s">
        <v>53</v>
      </c>
      <c r="K9" s="110" t="s">
        <v>53</v>
      </c>
      <c r="L9" s="110" t="s">
        <v>53</v>
      </c>
      <c r="M9" s="110" t="s">
        <v>53</v>
      </c>
      <c r="N9" s="110" t="s">
        <v>53</v>
      </c>
      <c r="O9" s="110" t="s">
        <v>53</v>
      </c>
      <c r="P9" s="110" t="s">
        <v>53</v>
      </c>
      <c r="Q9" s="110" t="s">
        <v>53</v>
      </c>
      <c r="R9" s="537"/>
      <c r="T9" s="535"/>
    </row>
    <row r="10" spans="2:20" x14ac:dyDescent="0.2">
      <c r="B10" s="135"/>
      <c r="H10" s="54"/>
      <c r="I10" s="54"/>
      <c r="J10" s="54"/>
      <c r="K10" s="54"/>
      <c r="L10" s="54"/>
      <c r="M10" s="54"/>
      <c r="N10" s="54"/>
      <c r="O10" s="54"/>
      <c r="P10" s="54"/>
      <c r="Q10" s="54"/>
      <c r="R10" s="54"/>
      <c r="T10" s="119"/>
    </row>
    <row r="11" spans="2:20" x14ac:dyDescent="0.2">
      <c r="B11" s="136" t="s">
        <v>161</v>
      </c>
      <c r="C11" s="118"/>
      <c r="D11" s="4"/>
      <c r="E11" s="4"/>
      <c r="F11" s="4"/>
      <c r="G11" s="4"/>
      <c r="H11" s="39"/>
      <c r="I11" s="39"/>
      <c r="J11" s="39"/>
      <c r="K11" s="39"/>
      <c r="L11" s="39"/>
      <c r="M11" s="39"/>
      <c r="N11" s="39"/>
      <c r="O11" s="39"/>
      <c r="P11" s="39"/>
      <c r="Q11" s="39"/>
      <c r="R11" s="39"/>
      <c r="T11" s="118"/>
    </row>
    <row r="12" spans="2:20" ht="32" customHeight="1" x14ac:dyDescent="0.2">
      <c r="B12" s="137" t="s">
        <v>162</v>
      </c>
      <c r="C12" s="129">
        <f>'Income Statement'!C22/'Income Statement'!C14</f>
        <v>0.21167226139175072</v>
      </c>
      <c r="D12" s="129">
        <f>'Income Statement'!D22/'Income Statement'!D14</f>
        <v>0.21178749358927398</v>
      </c>
      <c r="E12" s="129">
        <f>'Income Statement'!E22/'Income Statement'!E14</f>
        <v>0.17783091921244912</v>
      </c>
      <c r="F12" s="129">
        <f>'Income Statement'!F22/'Income Statement'!F14</f>
        <v>0.1665155378929484</v>
      </c>
      <c r="G12" s="129">
        <f>'Income Statement'!G22/'Income Statement'!G14</f>
        <v>0.15815155575750386</v>
      </c>
      <c r="H12" s="130">
        <f>'Income Statement'!H22/'Income Statement'!H14</f>
        <v>0.18519155356878531</v>
      </c>
      <c r="I12" s="130">
        <f>'Income Statement'!I22/'Income Statement'!I14</f>
        <v>0.18519155356878525</v>
      </c>
      <c r="J12" s="130">
        <f>'Income Statement'!J22/'Income Statement'!J14</f>
        <v>0.18519155356878528</v>
      </c>
      <c r="K12" s="130">
        <f>'Income Statement'!K22/'Income Statement'!K14</f>
        <v>0.18519155356878528</v>
      </c>
      <c r="L12" s="130">
        <f>'Income Statement'!L22/'Income Statement'!L14</f>
        <v>0.18519155356878525</v>
      </c>
      <c r="M12" s="130">
        <f>'Income Statement'!M22/'Income Statement'!M14</f>
        <v>0.18519155356878522</v>
      </c>
      <c r="N12" s="130">
        <f>'Income Statement'!N22/'Income Statement'!N14</f>
        <v>0.18519155356878522</v>
      </c>
      <c r="O12" s="130">
        <f>'Income Statement'!O22/'Income Statement'!O14</f>
        <v>0.18519155356878519</v>
      </c>
      <c r="P12" s="130">
        <f>'Income Statement'!P22/'Income Statement'!P14</f>
        <v>0.18519155356878525</v>
      </c>
      <c r="Q12" s="130">
        <f>'Income Statement'!Q22/'Income Statement'!Q14</f>
        <v>0.18519155356878531</v>
      </c>
      <c r="R12" s="120"/>
      <c r="T12" s="134" t="s">
        <v>460</v>
      </c>
    </row>
    <row r="13" spans="2:20" ht="48" customHeight="1" x14ac:dyDescent="0.2">
      <c r="B13" s="137" t="s">
        <v>163</v>
      </c>
      <c r="C13" s="129">
        <f>'Income Statement'!C26/'Income Statement'!C14</f>
        <v>0.18556677081760414</v>
      </c>
      <c r="D13" s="129">
        <f>'Income Statement'!D26/'Income Statement'!D14</f>
        <v>0.19215693457396149</v>
      </c>
      <c r="E13" s="129">
        <f>'Income Statement'!E26/'Income Statement'!E14</f>
        <v>0.15154931555479265</v>
      </c>
      <c r="F13" s="129">
        <f>'Income Statement'!F26/'Income Statement'!F14</f>
        <v>0.13708307281351578</v>
      </c>
      <c r="G13" s="129">
        <f>'Income Statement'!G26/'Income Statement'!G14</f>
        <v>0.13641060074148467</v>
      </c>
      <c r="H13" s="130">
        <f ca="1">'Income Statement'!H26/'Income Statement'!H14</f>
        <v>0.17057856535010199</v>
      </c>
      <c r="I13" s="130">
        <f ca="1">'Income Statement'!I26/'Income Statement'!I14</f>
        <v>0.17296734710419004</v>
      </c>
      <c r="J13" s="130">
        <f ca="1">'Income Statement'!J26/'Income Statement'!J14</f>
        <v>0.17487333928330523</v>
      </c>
      <c r="K13" s="130">
        <f ca="1">'Income Statement'!K26/'Income Statement'!K14</f>
        <v>0.17605217676436907</v>
      </c>
      <c r="L13" s="130">
        <f ca="1">'Income Statement'!L26/'Income Statement'!L14</f>
        <v>0.1773371366011707</v>
      </c>
      <c r="M13" s="130">
        <f ca="1">'Income Statement'!M26/'Income Statement'!M14</f>
        <v>0.17838043839742143</v>
      </c>
      <c r="N13" s="130">
        <f ca="1">'Income Statement'!N26/'Income Statement'!N14</f>
        <v>0.17899358822689401</v>
      </c>
      <c r="O13" s="130">
        <f ca="1">'Income Statement'!O26/'Income Statement'!O14</f>
        <v>0.17971942490940421</v>
      </c>
      <c r="P13" s="130">
        <f ca="1">'Income Statement'!P26/'Income Statement'!P14</f>
        <v>0.1803167734602148</v>
      </c>
      <c r="Q13" s="130">
        <f ca="1">'Income Statement'!Q26/'Income Statement'!Q14</f>
        <v>0.18063476327266387</v>
      </c>
      <c r="R13" s="120"/>
      <c r="T13" s="134" t="s">
        <v>466</v>
      </c>
    </row>
    <row r="14" spans="2:20" ht="45" customHeight="1" x14ac:dyDescent="0.2">
      <c r="B14" s="137" t="s">
        <v>164</v>
      </c>
      <c r="C14" s="129">
        <f>'Income Statement'!C36/'Income Statement'!C14</f>
        <v>0.19707177122414127</v>
      </c>
      <c r="D14" s="129">
        <f>'Income Statement'!D36/'Income Statement'!D14</f>
        <v>0.20516155029672506</v>
      </c>
      <c r="E14" s="129">
        <f>'Income Statement'!E36/'Income Statement'!E14</f>
        <v>0.16672063166353929</v>
      </c>
      <c r="F14" s="129">
        <f>'Income Statement'!F36/'Income Statement'!F14</f>
        <v>0.12642112878462999</v>
      </c>
      <c r="G14" s="129">
        <f>'Income Statement'!G36/'Income Statement'!G14</f>
        <v>0.13288840395574247</v>
      </c>
      <c r="H14" s="130">
        <f ca="1">'Income Statement'!H36/'Income Statement'!H14</f>
        <v>0.17744394972703839</v>
      </c>
      <c r="I14" s="130">
        <f ca="1">'Income Statement'!I36/'Income Statement'!I14</f>
        <v>0.17983273148112641</v>
      </c>
      <c r="J14" s="130">
        <f ca="1">'Income Statement'!J36/'Income Statement'!J14</f>
        <v>0.1817387236602416</v>
      </c>
      <c r="K14" s="130">
        <f ca="1">'Income Statement'!K36/'Income Statement'!K14</f>
        <v>0.18291756114130542</v>
      </c>
      <c r="L14" s="130">
        <f ca="1">'Income Statement'!L36/'Income Statement'!L14</f>
        <v>0.18420252097810708</v>
      </c>
      <c r="M14" s="130">
        <f ca="1">'Income Statement'!M36/'Income Statement'!M14</f>
        <v>0.1852458227743578</v>
      </c>
      <c r="N14" s="130">
        <f ca="1">'Income Statement'!N36/'Income Statement'!N14</f>
        <v>0.18585897260383039</v>
      </c>
      <c r="O14" s="130">
        <f ca="1">'Income Statement'!O36/'Income Statement'!O14</f>
        <v>0.18658480928634058</v>
      </c>
      <c r="P14" s="130">
        <f ca="1">'Income Statement'!P36/'Income Statement'!P14</f>
        <v>0.18718215783715117</v>
      </c>
      <c r="Q14" s="130">
        <f ca="1">'Income Statement'!Q36/'Income Statement'!Q14</f>
        <v>0.18750014764960027</v>
      </c>
      <c r="R14" s="120"/>
      <c r="T14" s="134" t="s">
        <v>467</v>
      </c>
    </row>
    <row r="15" spans="2:20" ht="17" customHeight="1" x14ac:dyDescent="0.2">
      <c r="B15" s="137" t="s">
        <v>165</v>
      </c>
      <c r="C15" s="129">
        <f>'Cost Buildup'!C22</f>
        <v>0.2580968378864234</v>
      </c>
      <c r="D15" s="129">
        <f>'Cost Buildup'!D22</f>
        <v>0.25582537273457717</v>
      </c>
      <c r="E15" s="129">
        <f>'Cost Buildup'!E22</f>
        <v>0.27400145073355642</v>
      </c>
      <c r="F15" s="129">
        <f>'Cost Buildup'!F22</f>
        <v>0.19477459281700715</v>
      </c>
      <c r="G15" s="129">
        <f>'Cost Buildup'!G22</f>
        <v>0.18126578970293569</v>
      </c>
      <c r="H15" s="130">
        <f>'Cost Buildup'!H22</f>
        <v>0.1912657897029357</v>
      </c>
      <c r="I15" s="130">
        <f>'Cost Buildup'!I22</f>
        <v>0.1912657897029357</v>
      </c>
      <c r="J15" s="130">
        <f>'Cost Buildup'!J22</f>
        <v>0.20126578970293571</v>
      </c>
      <c r="K15" s="130">
        <f>'Cost Buildup'!K22</f>
        <v>0.20126578970293571</v>
      </c>
      <c r="L15" s="130">
        <f>'Cost Buildup'!L22</f>
        <v>0.21126578970293572</v>
      </c>
      <c r="M15" s="130">
        <f>'Cost Buildup'!M22</f>
        <v>0.21126578970293572</v>
      </c>
      <c r="N15" s="130">
        <f>'Cost Buildup'!N22</f>
        <v>0.22126578970293573</v>
      </c>
      <c r="O15" s="130">
        <f>'Cost Buildup'!O22</f>
        <v>0.22126578970293573</v>
      </c>
      <c r="P15" s="130">
        <f>'Cost Buildup'!P22</f>
        <v>0.23126578970293574</v>
      </c>
      <c r="Q15" s="130">
        <f>'Cost Buildup'!Q22</f>
        <v>0.23126578970293574</v>
      </c>
      <c r="R15" s="120"/>
      <c r="T15" s="134" t="s">
        <v>394</v>
      </c>
    </row>
    <row r="16" spans="2:20" ht="47" customHeight="1" x14ac:dyDescent="0.2">
      <c r="B16" s="137" t="s">
        <v>166</v>
      </c>
      <c r="C16" s="129">
        <f>'Income Statement'!C40/'Income Statement'!C14</f>
        <v>0.1462081702345138</v>
      </c>
      <c r="D16" s="129">
        <f>'Income Statement'!D40/'Income Statement'!D14</f>
        <v>0.15267602022126164</v>
      </c>
      <c r="E16" s="129">
        <f>'Income Statement'!E40/'Income Statement'!E14</f>
        <v>0.12103893672051463</v>
      </c>
      <c r="F16" s="129">
        <f>'Income Statement'!F40/'Income Statement'!F14</f>
        <v>0.10179750490213724</v>
      </c>
      <c r="G16" s="129">
        <f>'Income Statement'!G40/'Income Statement'!G14</f>
        <v>0.10880028247034207</v>
      </c>
      <c r="H16" s="130">
        <f ca="1">'Income Statement'!H40/'Income Statement'!H14</f>
        <v>0.1435049925544884</v>
      </c>
      <c r="I16" s="130">
        <f ca="1">'Income Statement'!I40/'Income Statement'!I14</f>
        <v>0.14543688207995278</v>
      </c>
      <c r="J16" s="130">
        <f ca="1">'Income Statement'!J40/'Income Statement'!J14</f>
        <v>0.14516093592315946</v>
      </c>
      <c r="K16" s="130">
        <f ca="1">'Income Statement'!K40/'Income Statement'!K14</f>
        <v>0.14610251374766556</v>
      </c>
      <c r="L16" s="130">
        <f ca="1">'Income Statement'!L40/'Income Statement'!L14</f>
        <v>0.1452868299183957</v>
      </c>
      <c r="M16" s="130">
        <f ca="1">'Income Statement'!M40/'Income Statement'!M14</f>
        <v>0.14610971773676304</v>
      </c>
      <c r="N16" s="130">
        <f ca="1">'Income Statement'!N40/'Income Statement'!N14</f>
        <v>0.14473474025726757</v>
      </c>
      <c r="O16" s="130">
        <f ca="1">'Income Statement'!O40/'Income Statement'!O14</f>
        <v>0.14529997411302678</v>
      </c>
      <c r="P16" s="130">
        <f ca="1">'Income Statement'!P40/'Income Statement'!P14</f>
        <v>0.14389332828664284</v>
      </c>
      <c r="Q16" s="130">
        <f ca="1">'Income Statement'!Q40/'Income Statement'!Q14</f>
        <v>0.1441377779339984</v>
      </c>
      <c r="R16" s="120"/>
      <c r="T16" s="134" t="s">
        <v>468</v>
      </c>
    </row>
    <row r="17" spans="2:20" x14ac:dyDescent="0.2">
      <c r="B17" s="137"/>
      <c r="C17" s="119"/>
      <c r="D17" s="119"/>
      <c r="E17" s="119"/>
      <c r="F17" s="119" t="s">
        <v>167</v>
      </c>
      <c r="G17" s="119"/>
      <c r="H17" s="121"/>
      <c r="I17" s="121"/>
      <c r="J17" s="121"/>
      <c r="K17" s="121"/>
      <c r="L17" s="121"/>
      <c r="M17" s="121"/>
      <c r="N17" s="121"/>
      <c r="O17" s="121"/>
      <c r="P17" s="121"/>
      <c r="Q17" s="121"/>
      <c r="R17" s="121"/>
      <c r="T17" s="434"/>
    </row>
    <row r="18" spans="2:20" ht="15" customHeight="1" x14ac:dyDescent="0.2">
      <c r="B18" s="136" t="s">
        <v>168</v>
      </c>
      <c r="C18" s="118"/>
      <c r="D18" s="118"/>
      <c r="E18" s="118"/>
      <c r="F18" s="118"/>
      <c r="G18" s="118"/>
      <c r="H18" s="122"/>
      <c r="I18" s="122"/>
      <c r="J18" s="122"/>
      <c r="K18" s="122"/>
      <c r="L18" s="122"/>
      <c r="M18" s="122"/>
      <c r="N18" s="122"/>
      <c r="O18" s="122"/>
      <c r="P18" s="122"/>
      <c r="Q18" s="122"/>
      <c r="R18" s="122"/>
      <c r="T18" s="435"/>
    </row>
    <row r="19" spans="2:20" ht="45" x14ac:dyDescent="0.2">
      <c r="B19" s="137" t="s">
        <v>169</v>
      </c>
      <c r="C19" s="119"/>
      <c r="D19" s="129">
        <f>'Income Statement'!D14/AVERAGE('Balance Sheet'!D40:E40)</f>
        <v>0.91299185605110456</v>
      </c>
      <c r="E19" s="129">
        <f>'Income Statement'!E14/AVERAGE('Balance Sheet'!E40:F40)</f>
        <v>0.91076856390131944</v>
      </c>
      <c r="F19" s="129">
        <f>'Income Statement'!F14/AVERAGE('Balance Sheet'!F40:G40)</f>
        <v>0.89504148091936309</v>
      </c>
      <c r="G19" s="129">
        <f>'Income Statement'!G14/AVERAGE('Balance Sheet'!G40:H40)</f>
        <v>0.91565533900180329</v>
      </c>
      <c r="H19" s="130">
        <f ca="1">'Income Statement'!H14/AVERAGE('Balance Sheet'!H40:I40)</f>
        <v>0.90231694504446736</v>
      </c>
      <c r="I19" s="130">
        <f ca="1">'Income Statement'!I14/AVERAGE('Balance Sheet'!I40:J40)</f>
        <v>0.85068516248875536</v>
      </c>
      <c r="J19" s="130">
        <f ca="1">'Income Statement'!J14/AVERAGE('Balance Sheet'!J40:K40)</f>
        <v>0.84154101900626965</v>
      </c>
      <c r="K19" s="130">
        <f ca="1">'Income Statement'!K14/AVERAGE('Balance Sheet'!K40:L40)</f>
        <v>0.82962614085842434</v>
      </c>
      <c r="L19" s="130">
        <f ca="1">'Income Statement'!L14/AVERAGE('Balance Sheet'!L40:M40)</f>
        <v>0.81564032171421053</v>
      </c>
      <c r="M19" s="130">
        <f ca="1">'Income Statement'!M14/AVERAGE('Balance Sheet'!M40:N40)</f>
        <v>0.79989602766148682</v>
      </c>
      <c r="N19" s="130">
        <f ca="1">'Income Statement'!N14/AVERAGE('Balance Sheet'!N40:O40)</f>
        <v>0.78288131416345941</v>
      </c>
      <c r="O19" s="130">
        <f ca="1">'Income Statement'!O14/AVERAGE('Balance Sheet'!O40:P40)</f>
        <v>0.76476828546892683</v>
      </c>
      <c r="P19" s="130">
        <f ca="1">'Income Statement'!P14/AVERAGE('Balance Sheet'!P40:Q40)</f>
        <v>0.74576022860794</v>
      </c>
      <c r="Q19" s="130">
        <f ca="1">'Income Statement'!Q14/AVERAGE('Balance Sheet'!Q40:R40)</f>
        <v>0.72597927601909251</v>
      </c>
      <c r="R19" s="120"/>
      <c r="T19" s="134" t="s">
        <v>469</v>
      </c>
    </row>
    <row r="20" spans="2:20" ht="45" x14ac:dyDescent="0.2">
      <c r="B20" s="137" t="s">
        <v>170</v>
      </c>
      <c r="C20" s="119"/>
      <c r="D20" s="129">
        <f>'Income Statement'!D36/AVERAGE('Balance Sheet'!D40:E40)</f>
        <v>0.18731082459572906</v>
      </c>
      <c r="E20" s="129">
        <f>'Income Statement'!E36/AVERAGE('Balance Sheet'!E40:F40)</f>
        <v>0.15184391027292252</v>
      </c>
      <c r="F20" s="129">
        <f>'Income Statement'!F36/AVERAGE('Balance Sheet'!F40:G40)</f>
        <v>0.11315215432689274</v>
      </c>
      <c r="G20" s="129">
        <f>'Income Statement'!G36/AVERAGE('Balance Sheet'!G40:H40)</f>
        <v>0.12167997657350395</v>
      </c>
      <c r="H20" s="130">
        <f ca="1">'Income Statement'!H36/AVERAGE('Balance Sheet'!H40:I40)</f>
        <v>0.16011068263432532</v>
      </c>
      <c r="I20" s="130">
        <f ca="1">'Income Statement'!I36/AVERAGE('Balance Sheet'!I40:J40)</f>
        <v>0.15298103640081875</v>
      </c>
      <c r="J20" s="130">
        <f ca="1">'Income Statement'!J36/AVERAGE('Balance Sheet'!J40:K40)</f>
        <v>0.15294059070193855</v>
      </c>
      <c r="K20" s="130">
        <f ca="1">'Income Statement'!K36/AVERAGE('Balance Sheet'!K40:L40)</f>
        <v>0.15175319034489609</v>
      </c>
      <c r="L20" s="130">
        <f ca="1">'Income Statement'!L36/AVERAGE('Balance Sheet'!L40:M40)</f>
        <v>0.15024300347115188</v>
      </c>
      <c r="M20" s="130">
        <f ca="1">'Income Statement'!M36/AVERAGE('Balance Sheet'!M40:N40)</f>
        <v>0.14817739777809261</v>
      </c>
      <c r="N20" s="130">
        <f ca="1">'Income Statement'!N36/AVERAGE('Balance Sheet'!N40:O40)</f>
        <v>0.14550551672115714</v>
      </c>
      <c r="O20" s="130">
        <f ca="1">'Income Statement'!O36/AVERAGE('Balance Sheet'!O40:P40)</f>
        <v>0.14269414469246139</v>
      </c>
      <c r="P20" s="130">
        <f ca="1">'Income Statement'!P36/AVERAGE('Balance Sheet'!P40:Q40)</f>
        <v>0.13959300881996134</v>
      </c>
      <c r="Q20" s="130">
        <f ca="1">'Income Statement'!Q36/AVERAGE('Balance Sheet'!Q40:R40)</f>
        <v>0.13612122144412975</v>
      </c>
      <c r="R20" s="120"/>
      <c r="T20" s="134" t="s">
        <v>470</v>
      </c>
    </row>
    <row r="21" spans="2:20" ht="45" x14ac:dyDescent="0.2">
      <c r="B21" s="137" t="s">
        <v>171</v>
      </c>
      <c r="C21" s="119"/>
      <c r="D21" s="129">
        <f>'Income Statement'!D36/AVERAGE('Balance Sheet'!D49:E49)</f>
        <v>0.39609772485158729</v>
      </c>
      <c r="E21" s="129">
        <f>'Income Statement'!E36/AVERAGE('Balance Sheet'!E49:F49)</f>
        <v>0.28527372914448584</v>
      </c>
      <c r="F21" s="129">
        <f>'Income Statement'!F36/AVERAGE('Balance Sheet'!F49:G49)</f>
        <v>0.19999896424576366</v>
      </c>
      <c r="G21" s="129">
        <f>'Income Statement'!G36/AVERAGE('Balance Sheet'!G49:H49)</f>
        <v>0.20183966151986374</v>
      </c>
      <c r="H21" s="130">
        <f ca="1">'Income Statement'!H36/AVERAGE('Balance Sheet'!H49:I49)</f>
        <v>0.26862258248399978</v>
      </c>
      <c r="I21" s="130">
        <f ca="1">'Income Statement'!I36/AVERAGE('Balance Sheet'!I49:J49)</f>
        <v>0.2699877060265265</v>
      </c>
      <c r="J21" s="130">
        <f ca="1">'Income Statement'!J36/AVERAGE('Balance Sheet'!J49:K49)</f>
        <v>0.26854384329373038</v>
      </c>
      <c r="K21" s="130">
        <f ca="1">'Income Statement'!K36/AVERAGE('Balance Sheet'!K49:L49)</f>
        <v>0.26444373985727421</v>
      </c>
      <c r="L21" s="130">
        <f ca="1">'Income Statement'!L36/AVERAGE('Balance Sheet'!L49:M49)</f>
        <v>0.25935251016592975</v>
      </c>
      <c r="M21" s="130">
        <f ca="1">'Income Statement'!M36/AVERAGE('Balance Sheet'!M49:N49)</f>
        <v>0.25299286521260955</v>
      </c>
      <c r="N21" s="130">
        <f ca="1">'Income Statement'!N36/AVERAGE('Balance Sheet'!N49:O49)</f>
        <v>0.24545046715723864</v>
      </c>
      <c r="O21" s="130">
        <f ca="1">'Income Statement'!O36/AVERAGE('Balance Sheet'!O49:P49)</f>
        <v>0.23760298314815029</v>
      </c>
      <c r="P21" s="130">
        <f ca="1">'Income Statement'!P36/AVERAGE('Balance Sheet'!P49:Q49)</f>
        <v>0.22927658981678212</v>
      </c>
      <c r="Q21" s="130">
        <f ca="1">'Income Statement'!Q36/AVERAGE('Balance Sheet'!Q49:R49)</f>
        <v>0.22040155990991717</v>
      </c>
      <c r="R21" s="120"/>
      <c r="T21" s="134" t="s">
        <v>471</v>
      </c>
    </row>
    <row r="22" spans="2:20" x14ac:dyDescent="0.2">
      <c r="B22" s="137" t="s">
        <v>172</v>
      </c>
      <c r="C22" s="125">
        <f>'Income Statement'!C40/'Income Statement'!C36</f>
        <v>0.74190316211357665</v>
      </c>
      <c r="D22" s="125">
        <f>'Income Statement'!D40/'Income Statement'!D36</f>
        <v>0.74417462726542272</v>
      </c>
      <c r="E22" s="125">
        <f>'Income Statement'!E40/'Income Statement'!E36</f>
        <v>0.72599854926644369</v>
      </c>
      <c r="F22" s="125">
        <f>'Income Statement'!F40/'Income Statement'!F36</f>
        <v>0.80522540718299263</v>
      </c>
      <c r="G22" s="125">
        <f>'Income Statement'!G40/'Income Statement'!G36</f>
        <v>0.81873421029706417</v>
      </c>
      <c r="H22" s="126">
        <f ca="1">'Income Statement'!H40/'Income Statement'!H36</f>
        <v>0.80873421029706438</v>
      </c>
      <c r="I22" s="126">
        <f ca="1">'Income Statement'!I40/'Income Statement'!I36</f>
        <v>0.80873421029706427</v>
      </c>
      <c r="J22" s="126">
        <f ca="1">'Income Statement'!J40/'Income Statement'!J36</f>
        <v>0.79873421029706426</v>
      </c>
      <c r="K22" s="126">
        <f ca="1">'Income Statement'!K40/'Income Statement'!K36</f>
        <v>0.79873421029706426</v>
      </c>
      <c r="L22" s="126">
        <f ca="1">'Income Statement'!L40/'Income Statement'!L36</f>
        <v>0.78873421029706425</v>
      </c>
      <c r="M22" s="126">
        <f ca="1">'Income Statement'!M40/'Income Statement'!M36</f>
        <v>0.78873421029706425</v>
      </c>
      <c r="N22" s="126">
        <f ca="1">'Income Statement'!N40/'Income Statement'!N36</f>
        <v>0.77873421029706436</v>
      </c>
      <c r="O22" s="126">
        <f ca="1">'Income Statement'!O40/'Income Statement'!O36</f>
        <v>0.77873421029706424</v>
      </c>
      <c r="P22" s="126">
        <f ca="1">'Income Statement'!P40/'Income Statement'!P36</f>
        <v>0.76873421029706424</v>
      </c>
      <c r="Q22" s="126">
        <f ca="1">'Income Statement'!Q40/'Income Statement'!Q36</f>
        <v>0.76873421029706424</v>
      </c>
      <c r="R22" s="120"/>
      <c r="T22" s="134"/>
    </row>
    <row r="23" spans="2:20" ht="45" x14ac:dyDescent="0.2">
      <c r="B23" s="137" t="s">
        <v>173</v>
      </c>
      <c r="C23" s="119"/>
      <c r="D23" s="129">
        <f>'Income Statement'!D40/AVERAGE('Balance Sheet'!D49:E49)</f>
        <v>0.29476587675211197</v>
      </c>
      <c r="E23" s="129">
        <f>'Income Statement'!E40/AVERAGE('Balance Sheet'!E49:F49)</f>
        <v>0.2071083135027251</v>
      </c>
      <c r="F23" s="129">
        <f>'Income Statement'!F40/AVERAGE('Balance Sheet'!F49:G49)</f>
        <v>0.16104424742097184</v>
      </c>
      <c r="G23" s="129">
        <f>'Income Statement'!G40/AVERAGE('Balance Sheet'!G49:H49)</f>
        <v>0.16525303588109236</v>
      </c>
      <c r="H23" s="130">
        <f ca="1">'Income Statement'!H40/AVERAGE('Balance Sheet'!H49:I49)</f>
        <v>0.21724427211315561</v>
      </c>
      <c r="I23" s="130">
        <f ca="1">'Income Statement'!I40/AVERAGE('Balance Sheet'!I49:J49)</f>
        <v>0.21834829422327884</v>
      </c>
      <c r="J23" s="130">
        <f ca="1">'Income Statement'!J40/AVERAGE('Balance Sheet'!J49:K49)</f>
        <v>0.21449515460335633</v>
      </c>
      <c r="K23" s="130">
        <f ca="1">'Income Statement'!K40/AVERAGE('Balance Sheet'!K49:L49)</f>
        <v>0.2112202617229022</v>
      </c>
      <c r="L23" s="130">
        <f ca="1">'Income Statement'!L40/AVERAGE('Balance Sheet'!L49:M49)</f>
        <v>0.20456019729428593</v>
      </c>
      <c r="M23" s="130">
        <f ca="1">'Income Statement'!M40/AVERAGE('Balance Sheet'!M49:N49)</f>
        <v>0.19954412775425923</v>
      </c>
      <c r="N23" s="130">
        <f ca="1">'Income Statement'!N40/AVERAGE('Balance Sheet'!N49:O49)</f>
        <v>0.19114067570873777</v>
      </c>
      <c r="O23" s="130">
        <f ca="1">'Income Statement'!O40/AVERAGE('Balance Sheet'!O49:P49)</f>
        <v>0.18502957144610147</v>
      </c>
      <c r="P23" s="130">
        <f ca="1">'Income Statement'!P40/AVERAGE('Balance Sheet'!P49:Q49)</f>
        <v>0.17625275821240793</v>
      </c>
      <c r="Q23" s="130">
        <f ca="1">'Income Statement'!Q40/AVERAGE('Balance Sheet'!Q49:R49)</f>
        <v>0.16943021910559128</v>
      </c>
      <c r="R23" s="120"/>
      <c r="T23" s="134" t="s">
        <v>472</v>
      </c>
    </row>
    <row r="24" spans="2:20" ht="45" x14ac:dyDescent="0.2">
      <c r="B24" s="137" t="s">
        <v>174</v>
      </c>
      <c r="C24" s="127">
        <f>('Income Statement'!C40-'Income Statement'!C44)/'Income Statement'!C40</f>
        <v>0.94589870903674278</v>
      </c>
      <c r="D24" s="127">
        <f>('Income Statement'!D40-'Income Statement'!D44)/'Income Statement'!D40</f>
        <v>0.85744706376342161</v>
      </c>
      <c r="E24" s="127">
        <f>('Income Statement'!E40-'Income Statement'!E44)/'Income Statement'!E40</f>
        <v>0.81496760885680219</v>
      </c>
      <c r="F24" s="127">
        <f>('Income Statement'!F40-'Income Statement'!F44)/'Income Statement'!F40</f>
        <v>0.81271505289899337</v>
      </c>
      <c r="G24" s="127">
        <f>('Income Statement'!G40-'Income Statement'!G44)/'Income Statement'!G40</f>
        <v>0.84385390897241508</v>
      </c>
      <c r="H24" s="128">
        <f ca="1">('Income Statement'!H40-'Income Statement'!H44)/'Income Statement'!H40</f>
        <v>0.85497646870567501</v>
      </c>
      <c r="I24" s="128">
        <f ca="1">('Income Statement'!I40-'Income Statement'!I44)/'Income Statement'!I40</f>
        <v>0.85497646870567501</v>
      </c>
      <c r="J24" s="128">
        <f ca="1">('Income Statement'!J40-'Income Statement'!J44)/'Income Statement'!J40</f>
        <v>0.8549764687056749</v>
      </c>
      <c r="K24" s="128">
        <f ca="1">('Income Statement'!K40-'Income Statement'!K44)/'Income Statement'!K40</f>
        <v>0.85497646870567501</v>
      </c>
      <c r="L24" s="128">
        <f ca="1">('Income Statement'!L40-'Income Statement'!L44)/'Income Statement'!L40</f>
        <v>0.8549764687056749</v>
      </c>
      <c r="M24" s="128">
        <f ca="1">('Income Statement'!M40-'Income Statement'!M44)/'Income Statement'!M40</f>
        <v>0.8549764687056749</v>
      </c>
      <c r="N24" s="128">
        <f ca="1">('Income Statement'!N40-'Income Statement'!N44)/'Income Statement'!N40</f>
        <v>0.85497646870567501</v>
      </c>
      <c r="O24" s="128">
        <f ca="1">('Income Statement'!O40-'Income Statement'!O44)/'Income Statement'!O40</f>
        <v>0.85497646870567501</v>
      </c>
      <c r="P24" s="128">
        <f ca="1">('Income Statement'!P40-'Income Statement'!P44)/'Income Statement'!P40</f>
        <v>0.8549764687056749</v>
      </c>
      <c r="Q24" s="128">
        <f ca="1">('Income Statement'!Q40-'Income Statement'!Q44)/'Income Statement'!Q40</f>
        <v>0.85497646870567501</v>
      </c>
      <c r="R24" s="120"/>
      <c r="T24" s="134" t="s">
        <v>458</v>
      </c>
    </row>
    <row r="25" spans="2:20" ht="50" customHeight="1" x14ac:dyDescent="0.2">
      <c r="B25" s="137" t="s">
        <v>175</v>
      </c>
      <c r="C25" s="119"/>
      <c r="D25" s="129">
        <f>('Income Statement'!D40-'Income Statement'!D44)/AVERAGE('Balance Sheet'!D49:E49)</f>
        <v>0.25274613551874903</v>
      </c>
      <c r="E25" s="129">
        <f>('Income Statement'!E40-'Income Statement'!E44)/AVERAGE('Balance Sheet'!E49:F49)</f>
        <v>0.16878656702968081</v>
      </c>
      <c r="F25" s="129">
        <f>('Income Statement'!F40-'Income Statement'!F44)/AVERAGE('Balance Sheet'!F49:G49)</f>
        <v>0.1308830840618137</v>
      </c>
      <c r="G25" s="129">
        <f>('Income Statement'!G40-'Income Statement'!G44)/AVERAGE('Balance Sheet'!G49:H49)</f>
        <v>0.13944942029781857</v>
      </c>
      <c r="H25" s="130">
        <f ca="1">('Income Statement'!H40-'Income Statement'!H44)/AVERAGE('Balance Sheet'!H49:I49)</f>
        <v>0.18573874061784054</v>
      </c>
      <c r="I25" s="130">
        <f ca="1">('Income Statement'!I40-'Income Statement'!I44)/AVERAGE('Balance Sheet'!I49:J49)</f>
        <v>0.18668265354292668</v>
      </c>
      <c r="J25" s="130">
        <f ca="1">('Income Statement'!J40-'Income Statement'!J44)/AVERAGE('Balance Sheet'!J49:K49)</f>
        <v>0.18338830983725538</v>
      </c>
      <c r="K25" s="130">
        <f ca="1">('Income Statement'!K40-'Income Statement'!K44)/AVERAGE('Balance Sheet'!K49:L49)</f>
        <v>0.18058835348693539</v>
      </c>
      <c r="L25" s="130">
        <f ca="1">('Income Statement'!L40-'Income Statement'!L44)/AVERAGE('Balance Sheet'!L49:M49)</f>
        <v>0.17489415512040474</v>
      </c>
      <c r="M25" s="130">
        <f ca="1">('Income Statement'!M40-'Income Statement'!M44)/AVERAGE('Balance Sheet'!M49:N49)</f>
        <v>0.1706055336982906</v>
      </c>
      <c r="N25" s="130">
        <f ca="1">('Income Statement'!N40-'Income Statement'!N44)/AVERAGE('Balance Sheet'!N49:O49)</f>
        <v>0.1634207799434732</v>
      </c>
      <c r="O25" s="130">
        <f ca="1">('Income Statement'!O40-'Income Statement'!O44)/AVERAGE('Balance Sheet'!O49:P49)</f>
        <v>0.15819592960111223</v>
      </c>
      <c r="P25" s="130">
        <f ca="1">('Income Statement'!P40-'Income Statement'!P44)/AVERAGE('Balance Sheet'!P49:Q49)</f>
        <v>0.15069196081607966</v>
      </c>
      <c r="Q25" s="130">
        <f ca="1">('Income Statement'!Q40-'Income Statement'!Q44)/AVERAGE('Balance Sheet'!Q49:R49)</f>
        <v>0.1448588504229272</v>
      </c>
      <c r="R25" s="120"/>
      <c r="T25" s="134" t="s">
        <v>473</v>
      </c>
    </row>
    <row r="26" spans="2:20" x14ac:dyDescent="0.2">
      <c r="B26" s="137"/>
      <c r="C26" s="119"/>
      <c r="D26" s="119"/>
      <c r="E26" s="119"/>
      <c r="F26" s="119"/>
      <c r="G26" s="119"/>
      <c r="H26" s="121"/>
      <c r="I26" s="121"/>
      <c r="J26" s="121"/>
      <c r="K26" s="121"/>
      <c r="L26" s="121"/>
      <c r="M26" s="121"/>
      <c r="N26" s="121"/>
      <c r="O26" s="121"/>
      <c r="P26" s="121"/>
      <c r="Q26" s="121"/>
      <c r="R26" s="121"/>
      <c r="T26" s="434"/>
    </row>
    <row r="27" spans="2:20" ht="14" customHeight="1" x14ac:dyDescent="0.2">
      <c r="B27" s="136" t="s">
        <v>176</v>
      </c>
      <c r="C27" s="118"/>
      <c r="D27" s="118"/>
      <c r="E27" s="118"/>
      <c r="F27" s="118"/>
      <c r="G27" s="118"/>
      <c r="H27" s="122"/>
      <c r="I27" s="122"/>
      <c r="J27" s="122"/>
      <c r="K27" s="122"/>
      <c r="L27" s="122"/>
      <c r="M27" s="122"/>
      <c r="N27" s="122"/>
      <c r="O27" s="122"/>
      <c r="P27" s="122"/>
      <c r="Q27" s="122"/>
      <c r="R27" s="122"/>
      <c r="T27" s="435"/>
    </row>
    <row r="28" spans="2:20" ht="45" x14ac:dyDescent="0.2">
      <c r="B28" s="137" t="s">
        <v>136</v>
      </c>
      <c r="C28" s="127">
        <f>'Balance Sheet'!D38/'Balance Sheet'!D72</f>
        <v>1.8658203285140342</v>
      </c>
      <c r="D28" s="127">
        <f>'Balance Sheet'!E38/'Balance Sheet'!E72</f>
        <v>1.7783737470951386</v>
      </c>
      <c r="E28" s="127">
        <f>'Balance Sheet'!F38/'Balance Sheet'!F72</f>
        <v>1.6861769384508709</v>
      </c>
      <c r="F28" s="127">
        <f>'Balance Sheet'!G38/'Balance Sheet'!G72</f>
        <v>1.4154286343127542</v>
      </c>
      <c r="G28" s="127">
        <f>'Balance Sheet'!H38/'Balance Sheet'!H72</f>
        <v>1.945601790185945</v>
      </c>
      <c r="H28" s="128">
        <f ca="1">'Balance Sheet'!I38/'Balance Sheet'!I72</f>
        <v>2.2170614253188896</v>
      </c>
      <c r="I28" s="128">
        <f ca="1">'Balance Sheet'!J38/'Balance Sheet'!J72</f>
        <v>2.4551003896828703</v>
      </c>
      <c r="J28" s="128">
        <f ca="1">'Balance Sheet'!K38/'Balance Sheet'!K72</f>
        <v>2.6598459609845104</v>
      </c>
      <c r="K28" s="128">
        <f ca="1">'Balance Sheet'!L38/'Balance Sheet'!L72</f>
        <v>2.8435539680530768</v>
      </c>
      <c r="L28" s="128">
        <f ca="1">'Balance Sheet'!M38/'Balance Sheet'!M72</f>
        <v>3.0079408308218496</v>
      </c>
      <c r="M28" s="128">
        <f ca="1">'Balance Sheet'!N38/'Balance Sheet'!N72</f>
        <v>3.1627475541788868</v>
      </c>
      <c r="N28" s="128">
        <f ca="1">'Balance Sheet'!O38/'Balance Sheet'!O72</f>
        <v>3.3067897673234019</v>
      </c>
      <c r="O28" s="128">
        <f ca="1">'Balance Sheet'!P38/'Balance Sheet'!P72</f>
        <v>3.4485312424057888</v>
      </c>
      <c r="P28" s="128">
        <f ca="1">'Balance Sheet'!Q38/'Balance Sheet'!Q72</f>
        <v>3.5858499654653029</v>
      </c>
      <c r="Q28" s="128">
        <f ca="1">'Balance Sheet'!R38/'Balance Sheet'!R72</f>
        <v>3.7258778614567198</v>
      </c>
      <c r="R28" s="120"/>
      <c r="T28" s="134" t="s">
        <v>474</v>
      </c>
    </row>
    <row r="29" spans="2:20" ht="45" x14ac:dyDescent="0.2">
      <c r="B29" s="137" t="s">
        <v>137</v>
      </c>
      <c r="C29" s="123">
        <f>('Balance Sheet'!D32+'Balance Sheet'!D33)/'Balance Sheet'!D72</f>
        <v>1.3432998988767115</v>
      </c>
      <c r="D29" s="123">
        <f>('Balance Sheet'!E32+'Balance Sheet'!E33)/'Balance Sheet'!E72</f>
        <v>1.3645571700194832</v>
      </c>
      <c r="E29" s="123">
        <f>('Balance Sheet'!F32+'Balance Sheet'!F33)/'Balance Sheet'!F72</f>
        <v>0.97226414324754251</v>
      </c>
      <c r="F29" s="123">
        <f>('Balance Sheet'!G32+'Balance Sheet'!G33)/'Balance Sheet'!G72</f>
        <v>0.86563222185539779</v>
      </c>
      <c r="G29" s="123">
        <f>('Balance Sheet'!H32+'Balance Sheet'!H33)/'Balance Sheet'!H72</f>
        <v>1.2777239064414725</v>
      </c>
      <c r="H29" s="124">
        <f ca="1">('Balance Sheet'!I32+'Balance Sheet'!I33)/'Balance Sheet'!I72</f>
        <v>1.6587029326774205</v>
      </c>
      <c r="I29" s="124">
        <f ca="1">('Balance Sheet'!J32+'Balance Sheet'!J33)/'Balance Sheet'!J72</f>
        <v>1.8967418970414014</v>
      </c>
      <c r="J29" s="124">
        <f ca="1">('Balance Sheet'!K32+'Balance Sheet'!K33)/'Balance Sheet'!K72</f>
        <v>2.1014874683430409</v>
      </c>
      <c r="K29" s="124">
        <f ca="1">('Balance Sheet'!L32+'Balance Sheet'!L33)/'Balance Sheet'!L72</f>
        <v>2.2851954754116082</v>
      </c>
      <c r="L29" s="124">
        <f ca="1">('Balance Sheet'!M32+'Balance Sheet'!M33)/'Balance Sheet'!M72</f>
        <v>2.4495823381803801</v>
      </c>
      <c r="M29" s="124">
        <f ca="1">('Balance Sheet'!N32+'Balance Sheet'!N33)/'Balance Sheet'!N72</f>
        <v>2.6043890615374172</v>
      </c>
      <c r="N29" s="124">
        <f ca="1">('Balance Sheet'!O32+'Balance Sheet'!O33)/'Balance Sheet'!O72</f>
        <v>2.7484312746819333</v>
      </c>
      <c r="O29" s="124">
        <f ca="1">('Balance Sheet'!P32+'Balance Sheet'!P33)/'Balance Sheet'!P72</f>
        <v>2.8901727497643193</v>
      </c>
      <c r="P29" s="124">
        <f ca="1">('Balance Sheet'!Q32+'Balance Sheet'!Q33)/'Balance Sheet'!Q72</f>
        <v>3.0274914728238338</v>
      </c>
      <c r="Q29" s="124">
        <f ca="1">('Balance Sheet'!R32+'Balance Sheet'!R33)/'Balance Sheet'!R72</f>
        <v>3.1675193688152516</v>
      </c>
      <c r="R29" s="120"/>
      <c r="T29" s="134" t="s">
        <v>475</v>
      </c>
    </row>
    <row r="30" spans="2:20" ht="45" x14ac:dyDescent="0.2">
      <c r="B30" s="137" t="s">
        <v>395</v>
      </c>
      <c r="C30" s="127">
        <f>'Balance Sheet'!D33/'Balance Sheet'!D72</f>
        <v>0.8310147858646042</v>
      </c>
      <c r="D30" s="127">
        <f>'Balance Sheet'!E33/'Balance Sheet'!E72</f>
        <v>0.85333677613201575</v>
      </c>
      <c r="E30" s="127">
        <f>'Balance Sheet'!F33/'Balance Sheet'!F72</f>
        <v>0.28344957920354585</v>
      </c>
      <c r="F30" s="127">
        <f>'Balance Sheet'!G33/'Balance Sheet'!G72</f>
        <v>0.35087671031877038</v>
      </c>
      <c r="G30" s="127">
        <f>'Balance Sheet'!H33/'Balance Sheet'!H72</f>
        <v>0.4917363738078746</v>
      </c>
      <c r="H30" s="128">
        <f ca="1">'Balance Sheet'!I33/'Balance Sheet'!I72</f>
        <v>1.0747101431012496</v>
      </c>
      <c r="I30" s="128">
        <f ca="1">'Balance Sheet'!J33/'Balance Sheet'!J72</f>
        <v>1.3127491074652307</v>
      </c>
      <c r="J30" s="128">
        <f ca="1">'Balance Sheet'!K33/'Balance Sheet'!K72</f>
        <v>1.5174946787668699</v>
      </c>
      <c r="K30" s="128">
        <f ca="1">'Balance Sheet'!L33/'Balance Sheet'!L72</f>
        <v>1.701202685835437</v>
      </c>
      <c r="L30" s="128">
        <f ca="1">'Balance Sheet'!M33/'Balance Sheet'!M72</f>
        <v>1.8655895486042093</v>
      </c>
      <c r="M30" s="128">
        <f ca="1">'Balance Sheet'!N33/'Balance Sheet'!N72</f>
        <v>2.0203962719612463</v>
      </c>
      <c r="N30" s="128">
        <f ca="1">'Balance Sheet'!O33/'Balance Sheet'!O72</f>
        <v>2.1644384851057619</v>
      </c>
      <c r="O30" s="128">
        <f ca="1">'Balance Sheet'!P33/'Balance Sheet'!P72</f>
        <v>2.3061799601881487</v>
      </c>
      <c r="P30" s="128">
        <f ca="1">'Balance Sheet'!Q33/'Balance Sheet'!Q72</f>
        <v>2.4434986832476628</v>
      </c>
      <c r="Q30" s="128">
        <f ca="1">'Balance Sheet'!R33/'Balance Sheet'!R72</f>
        <v>2.5835265792390807</v>
      </c>
      <c r="R30" s="120"/>
      <c r="T30" s="134" t="s">
        <v>476</v>
      </c>
    </row>
    <row r="31" spans="2:20" x14ac:dyDescent="0.2">
      <c r="B31" s="137"/>
      <c r="C31" s="119"/>
      <c r="D31" s="119"/>
      <c r="E31" s="119"/>
      <c r="F31" s="119"/>
      <c r="G31" s="119"/>
      <c r="H31" s="121"/>
      <c r="I31" s="121"/>
      <c r="J31" s="121"/>
      <c r="K31" s="121"/>
      <c r="L31" s="121"/>
      <c r="M31" s="121"/>
      <c r="N31" s="121"/>
      <c r="O31" s="121"/>
      <c r="P31" s="121"/>
      <c r="Q31" s="121"/>
      <c r="R31" s="120"/>
      <c r="T31" s="434"/>
    </row>
    <row r="32" spans="2:20" x14ac:dyDescent="0.2">
      <c r="B32" s="136" t="s">
        <v>177</v>
      </c>
      <c r="C32" s="118"/>
      <c r="D32" s="118"/>
      <c r="E32" s="118"/>
      <c r="F32" s="118"/>
      <c r="G32" s="118"/>
      <c r="H32" s="122"/>
      <c r="I32" s="122"/>
      <c r="J32" s="122"/>
      <c r="K32" s="122"/>
      <c r="L32" s="122"/>
      <c r="M32" s="122"/>
      <c r="N32" s="122"/>
      <c r="O32" s="122"/>
      <c r="P32" s="122"/>
      <c r="Q32" s="122"/>
      <c r="R32" s="120"/>
      <c r="T32" s="435"/>
    </row>
    <row r="33" spans="2:20" ht="45" x14ac:dyDescent="0.2">
      <c r="B33" s="137" t="s">
        <v>178</v>
      </c>
      <c r="C33" s="123">
        <f>'Balance Sheet'!D40/'Balance Sheet'!D49</f>
        <v>2.2062427323486169</v>
      </c>
      <c r="D33" s="123">
        <f>'Balance Sheet'!E40/'Balance Sheet'!E49</f>
        <v>2.0366456576901042</v>
      </c>
      <c r="E33" s="123">
        <f>'Balance Sheet'!F40/'Balance Sheet'!F49</f>
        <v>1.7700097491701932</v>
      </c>
      <c r="F33" s="123">
        <f>'Balance Sheet'!G40/'Balance Sheet'!G49</f>
        <v>1.7654078499192782</v>
      </c>
      <c r="G33" s="123">
        <f>'Balance Sheet'!H40/'Balance Sheet'!H49</f>
        <v>1.5683780468984789</v>
      </c>
      <c r="H33" s="124">
        <f ca="1">'Balance Sheet'!I40/'Balance Sheet'!I49</f>
        <v>1.7684980225723834</v>
      </c>
      <c r="I33" s="124">
        <f ca="1">'Balance Sheet'!J40/'Balance Sheet'!J49</f>
        <v>1.761814383875602</v>
      </c>
      <c r="J33" s="124">
        <f ca="1">'Balance Sheet'!K40/'Balance Sheet'!K49</f>
        <v>1.7509247623574595</v>
      </c>
      <c r="K33" s="124">
        <f ca="1">'Balance Sheet'!L40/'Balance Sheet'!L49</f>
        <v>1.7356375344425332</v>
      </c>
      <c r="L33" s="124">
        <f ca="1">'Balance Sheet'!M40/'Balance Sheet'!M49</f>
        <v>1.7183174884438752</v>
      </c>
      <c r="M33" s="124">
        <f ca="1">'Balance Sheet'!N40/'Balance Sheet'!N49</f>
        <v>1.6981337348302425</v>
      </c>
      <c r="N33" s="124">
        <f ca="1">'Balance Sheet'!O40/'Balance Sheet'!O49</f>
        <v>1.6773279764858624</v>
      </c>
      <c r="O33" s="124">
        <f ca="1">'Balance Sheet'!P40/'Balance Sheet'!P49</f>
        <v>1.6547031297191932</v>
      </c>
      <c r="P33" s="124">
        <f ca="1">'Balance Sheet'!Q40/'Balance Sheet'!Q49</f>
        <v>1.631941290043591</v>
      </c>
      <c r="Q33" s="124">
        <f ca="1">'Balance Sheet'!R40/'Balance Sheet'!R49</f>
        <v>1.6080986128497528</v>
      </c>
      <c r="R33" s="120"/>
      <c r="T33" s="134" t="s">
        <v>477</v>
      </c>
    </row>
    <row r="34" spans="2:20" ht="45" x14ac:dyDescent="0.2">
      <c r="B34" s="137" t="s">
        <v>179</v>
      </c>
      <c r="C34" s="127">
        <f>('Balance Sheet'!D53+'Balance Sheet'!D63)/'Balance Sheet'!D49</f>
        <v>0.25007447841087099</v>
      </c>
      <c r="D34" s="127">
        <f>('Balance Sheet'!E53+'Balance Sheet'!E63)/'Balance Sheet'!E49</f>
        <v>0.15573381353851193</v>
      </c>
      <c r="E34" s="127">
        <f>('Balance Sheet'!F53+'Balance Sheet'!F63)/'Balance Sheet'!F49</f>
        <v>0.20944936912161669</v>
      </c>
      <c r="F34" s="127">
        <f>('Balance Sheet'!G53+'Balance Sheet'!G63)/'Balance Sheet'!G49</f>
        <v>0.23308789360978441</v>
      </c>
      <c r="G34" s="127">
        <f>('Balance Sheet'!H53+'Balance Sheet'!H63)/'Balance Sheet'!H49</f>
        <v>0.22546439565616452</v>
      </c>
      <c r="H34" s="128">
        <f ca="1">('Balance Sheet'!I53+'Balance Sheet'!I63)/'Balance Sheet'!I49</f>
        <v>0.19514018043594711</v>
      </c>
      <c r="I34" s="128">
        <f ca="1">('Balance Sheet'!J53+'Balance Sheet'!J63)/'Balance Sheet'!J49</f>
        <v>0.19344304339336504</v>
      </c>
      <c r="J34" s="128">
        <f ca="1">('Balance Sheet'!K53+'Balance Sheet'!K63)/'Balance Sheet'!K49</f>
        <v>0.19067790588420597</v>
      </c>
      <c r="K34" s="128">
        <f ca="1">('Balance Sheet'!L53+'Balance Sheet'!L63)/'Balance Sheet'!L49</f>
        <v>0.1867961100616238</v>
      </c>
      <c r="L34" s="128">
        <f ca="1">('Balance Sheet'!M53+'Balance Sheet'!M63)/'Balance Sheet'!M49</f>
        <v>0.18239813270571112</v>
      </c>
      <c r="M34" s="128">
        <f ca="1">('Balance Sheet'!N53+'Balance Sheet'!N63)/'Balance Sheet'!N49</f>
        <v>0.17727299092739507</v>
      </c>
      <c r="N34" s="128">
        <f ca="1">('Balance Sheet'!O53+'Balance Sheet'!O63)/'Balance Sheet'!O49</f>
        <v>0.17198990714815651</v>
      </c>
      <c r="O34" s="128">
        <f ca="1">('Balance Sheet'!P53+'Balance Sheet'!P63)/'Balance Sheet'!P49</f>
        <v>0.16624491295076727</v>
      </c>
      <c r="P34" s="128">
        <f ca="1">('Balance Sheet'!Q53+'Balance Sheet'!Q63)/'Balance Sheet'!Q49</f>
        <v>0.16046513295018466</v>
      </c>
      <c r="Q34" s="128">
        <f ca="1">('Balance Sheet'!R53+'Balance Sheet'!R63)/'Balance Sheet'!R49</f>
        <v>0.15441090223907916</v>
      </c>
      <c r="R34" s="120"/>
      <c r="T34" s="134" t="s">
        <v>478</v>
      </c>
    </row>
    <row r="35" spans="2:20" ht="45" x14ac:dyDescent="0.2">
      <c r="B35" s="137" t="s">
        <v>180</v>
      </c>
      <c r="C35" s="129">
        <f>'Balance Sheet'!D53/('Balance Sheet'!D49+'Balance Sheet'!D53+'Balance Sheet'!D63)</f>
        <v>0.14624958678956634</v>
      </c>
      <c r="D35" s="129">
        <f>'Balance Sheet'!E53/('Balance Sheet'!E49+'Balance Sheet'!E53+'Balance Sheet'!E63)</f>
        <v>8.5554831581631213E-2</v>
      </c>
      <c r="E35" s="129">
        <f>'Balance Sheet'!F53/('Balance Sheet'!F49+'Balance Sheet'!F53+'Balance Sheet'!F63)</f>
        <v>0.12535761212945795</v>
      </c>
      <c r="F35" s="129">
        <f>'Balance Sheet'!G53/('Balance Sheet'!G49+'Balance Sheet'!G53+'Balance Sheet'!G63)</f>
        <v>0.12171906323330588</v>
      </c>
      <c r="G35" s="129">
        <f>'Balance Sheet'!H53/('Balance Sheet'!H49+'Balance Sheet'!H53+'Balance Sheet'!H63)</f>
        <v>0.1256764683464181</v>
      </c>
      <c r="H35" s="130">
        <f ca="1">'Balance Sheet'!I53/('Balance Sheet'!I49+'Balance Sheet'!I53+'Balance Sheet'!I63)</f>
        <v>0.11216556992008442</v>
      </c>
      <c r="I35" s="130">
        <f ca="1">'Balance Sheet'!J53/('Balance Sheet'!J49+'Balance Sheet'!J53+'Balance Sheet'!J63)</f>
        <v>0.11134818225331081</v>
      </c>
      <c r="J35" s="130">
        <f ca="1">'Balance Sheet'!K53/('Balance Sheet'!K49+'Balance Sheet'!K53+'Balance Sheet'!K63)</f>
        <v>0.11001142529361428</v>
      </c>
      <c r="K35" s="130">
        <f ca="1">'Balance Sheet'!L53/('Balance Sheet'!L49+'Balance Sheet'!L53+'Balance Sheet'!L63)</f>
        <v>0.10812432930312869</v>
      </c>
      <c r="L35" s="130">
        <f ca="1">'Balance Sheet'!M53/('Balance Sheet'!M49+'Balance Sheet'!M53+'Balance Sheet'!M63)</f>
        <v>0.10597132522576744</v>
      </c>
      <c r="M35" s="130">
        <f ca="1">'Balance Sheet'!N53/('Balance Sheet'!N49+'Balance Sheet'!N53+'Balance Sheet'!N63)</f>
        <v>0.1034420465594707</v>
      </c>
      <c r="N35" s="130">
        <f ca="1">'Balance Sheet'!O53/('Balance Sheet'!O49+'Balance Sheet'!O53+'Balance Sheet'!O63)</f>
        <v>0.10081166859109646</v>
      </c>
      <c r="O35" s="130">
        <f ca="1">'Balance Sheet'!P53/('Balance Sheet'!P49+'Balance Sheet'!P53+'Balance Sheet'!P63)</f>
        <v>9.7924263798517139E-2</v>
      </c>
      <c r="P35" s="130">
        <f ca="1">'Balance Sheet'!Q53/('Balance Sheet'!Q49+'Balance Sheet'!Q53+'Balance Sheet'!Q63)</f>
        <v>9.4990526908247053E-2</v>
      </c>
      <c r="Q35" s="130">
        <f ca="1">'Balance Sheet'!R53/('Balance Sheet'!R49+'Balance Sheet'!R53+'Balance Sheet'!R63)</f>
        <v>9.1885980447493298E-2</v>
      </c>
      <c r="R35" s="120"/>
      <c r="T35" s="134" t="s">
        <v>479</v>
      </c>
    </row>
    <row r="36" spans="2:20" x14ac:dyDescent="0.2">
      <c r="B36" s="137"/>
      <c r="C36" s="119"/>
      <c r="D36" s="119"/>
      <c r="E36" s="119"/>
      <c r="F36" s="119"/>
      <c r="G36" s="119"/>
      <c r="H36" s="121"/>
      <c r="I36" s="121"/>
      <c r="J36" s="121"/>
      <c r="K36" s="121"/>
      <c r="L36" s="121"/>
      <c r="M36" s="121"/>
      <c r="N36" s="121"/>
      <c r="O36" s="121"/>
      <c r="P36" s="121"/>
      <c r="Q36" s="121"/>
      <c r="R36" s="120"/>
      <c r="T36" s="435"/>
    </row>
    <row r="37" spans="2:20" x14ac:dyDescent="0.2">
      <c r="B37" s="136" t="s">
        <v>181</v>
      </c>
      <c r="C37" s="118"/>
      <c r="D37" s="118"/>
      <c r="E37" s="118"/>
      <c r="F37" s="118"/>
      <c r="G37" s="118"/>
      <c r="H37" s="122"/>
      <c r="I37" s="122"/>
      <c r="J37" s="122"/>
      <c r="K37" s="122"/>
      <c r="L37" s="122"/>
      <c r="M37" s="122"/>
      <c r="N37" s="122"/>
      <c r="O37" s="122"/>
      <c r="P37" s="122"/>
      <c r="Q37" s="122"/>
      <c r="R37" s="120"/>
      <c r="T37" s="434"/>
    </row>
    <row r="38" spans="2:20" ht="45" x14ac:dyDescent="0.2">
      <c r="B38" s="137" t="s">
        <v>182</v>
      </c>
      <c r="C38" s="119"/>
      <c r="D38" s="123">
        <f>'Income Statement'!D14/AVERAGE('Balance Sheet'!D32:E32)</f>
        <v>5.3892035289036953</v>
      </c>
      <c r="E38" s="123">
        <f>'Income Statement'!E14/AVERAGE('Balance Sheet'!E32:F32)</f>
        <v>5.4412863510931855</v>
      </c>
      <c r="F38" s="123">
        <f>'Income Statement'!F14/AVERAGE('Balance Sheet'!F32:G32)</f>
        <v>5.7209019233290253</v>
      </c>
      <c r="G38" s="123">
        <f>'Income Statement'!G14/AVERAGE('Balance Sheet'!G32:H32)</f>
        <v>5.320158285344748</v>
      </c>
      <c r="H38" s="124">
        <f>'Income Statement'!H14/AVERAGE('Balance Sheet'!H32:I32)</f>
        <v>5.2368638195012318</v>
      </c>
      <c r="I38" s="124">
        <f>'Income Statement'!I14/AVERAGE('Balance Sheet'!I32:J32)</f>
        <v>5.380304138517956</v>
      </c>
      <c r="J38" s="124">
        <f>'Income Statement'!J14/AVERAGE('Balance Sheet'!J32:K32)</f>
        <v>5.3582754282370004</v>
      </c>
      <c r="K38" s="124">
        <f>'Income Statement'!K14/AVERAGE('Balance Sheet'!K32:L32)</f>
        <v>5.3362088553727745</v>
      </c>
      <c r="L38" s="124">
        <f>'Income Statement'!L14/AVERAGE('Balance Sheet'!L32:M32)</f>
        <v>5.3141174438016456</v>
      </c>
      <c r="M38" s="124">
        <f>'Income Statement'!M14/AVERAGE('Balance Sheet'!M32:N32)</f>
        <v>5.2920146245144437</v>
      </c>
      <c r="N38" s="124">
        <f>'Income Statement'!N14/AVERAGE('Balance Sheet'!N32:O32)</f>
        <v>5.2699140365068109</v>
      </c>
      <c r="O38" s="124">
        <f>'Income Statement'!O14/AVERAGE('Balance Sheet'!O32:P32)</f>
        <v>5.2478292745388169</v>
      </c>
      <c r="P38" s="124">
        <f>'Income Statement'!P14/AVERAGE('Balance Sheet'!P32:Q32)</f>
        <v>5.2257735790159323</v>
      </c>
      <c r="Q38" s="124">
        <f>'Income Statement'!Q14/AVERAGE('Balance Sheet'!Q32:R32)</f>
        <v>5.2037594648309131</v>
      </c>
      <c r="R38" s="120"/>
      <c r="T38" s="134" t="s">
        <v>484</v>
      </c>
    </row>
    <row r="39" spans="2:20" ht="45" x14ac:dyDescent="0.2">
      <c r="B39" s="137" t="s">
        <v>183</v>
      </c>
      <c r="C39" s="127"/>
      <c r="D39" s="127">
        <f>'Income Statement'!C20/AVERAGE('Balance Sheet'!D65:E65)</f>
        <v>14.842714196372732</v>
      </c>
      <c r="E39" s="127">
        <f>'Income Statement'!D20/AVERAGE('Balance Sheet'!E65:F65)</f>
        <v>5.7895564497479297</v>
      </c>
      <c r="F39" s="127">
        <f>'Income Statement'!E20/AVERAGE('Balance Sheet'!F65:G65)</f>
        <v>3.6236023304822109</v>
      </c>
      <c r="G39" s="127">
        <f>'Income Statement'!F20/AVERAGE('Balance Sheet'!G65:H65)</f>
        <v>3.6742653232577669</v>
      </c>
      <c r="H39" s="128">
        <f>'Income Statement'!G20/AVERAGE('Balance Sheet'!H65:I65)</f>
        <v>4.5443980033669984</v>
      </c>
      <c r="I39" s="128">
        <f>'Income Statement'!H20/AVERAGE('Balance Sheet'!I65:J65)</f>
        <v>5.2249368463919552</v>
      </c>
      <c r="J39" s="128">
        <f>'Income Statement'!I20/AVERAGE('Balance Sheet'!J65:K65)</f>
        <v>5.2505098445987937</v>
      </c>
      <c r="K39" s="128">
        <f>'Income Statement'!J20/AVERAGE('Balance Sheet'!K65:L65)</f>
        <v>5.2761267972524308</v>
      </c>
      <c r="L39" s="128">
        <f>'Income Statement'!K20/AVERAGE('Balance Sheet'!L65:M65)</f>
        <v>5.3017725850125723</v>
      </c>
      <c r="M39" s="128">
        <f>'Income Statement'!L20/AVERAGE('Balance Sheet'!M65:N65)</f>
        <v>5.3274316159221708</v>
      </c>
      <c r="N39" s="128">
        <f>'Income Statement'!M20/AVERAGE('Balance Sheet'!N65:O65)</f>
        <v>5.3530880565526466</v>
      </c>
      <c r="O39" s="128">
        <f>'Income Statement'!N20/AVERAGE('Balance Sheet'!O65:P65)</f>
        <v>5.3787261248282192</v>
      </c>
      <c r="P39" s="128">
        <f>'Income Statement'!O20/AVERAGE('Balance Sheet'!P65:Q65)</f>
        <v>5.4043304500412539</v>
      </c>
      <c r="Q39" s="128">
        <f>'Income Statement'!P20/AVERAGE('Balance Sheet'!Q65:R65)</f>
        <v>5.4298865037274906</v>
      </c>
      <c r="R39" s="120"/>
      <c r="T39" s="134" t="s">
        <v>480</v>
      </c>
    </row>
    <row r="40" spans="2:20" ht="45" x14ac:dyDescent="0.2">
      <c r="B40" s="137" t="s">
        <v>184</v>
      </c>
      <c r="C40" s="119"/>
      <c r="D40" s="123">
        <f>'Income Statement'!D14/AVERAGE('Balance Sheet'!E13,'Balance Sheet'!E16,'Balance Sheet'!D13,'Balance Sheet'!D16)</f>
        <v>83.921222019406287</v>
      </c>
      <c r="E40" s="123">
        <f>'Income Statement'!E14/AVERAGE('Balance Sheet'!F13,'Balance Sheet'!F16,'Balance Sheet'!E13,'Balance Sheet'!E16)</f>
        <v>88.553070213317213</v>
      </c>
      <c r="F40" s="123">
        <f>'Income Statement'!F14/AVERAGE('Balance Sheet'!G13,'Balance Sheet'!G16,'Balance Sheet'!F13,'Balance Sheet'!F16)</f>
        <v>103.06309041835357</v>
      </c>
      <c r="G40" s="123">
        <f>'Income Statement'!G14/AVERAGE('Balance Sheet'!H13,'Balance Sheet'!H16,'Balance Sheet'!G13,'Balance Sheet'!G16)</f>
        <v>118.03672388760782</v>
      </c>
      <c r="H40" s="124">
        <f>'Income Statement'!H14/AVERAGE('Balance Sheet'!I13,'Balance Sheet'!I16,'Balance Sheet'!H13,'Balance Sheet'!H16)</f>
        <v>129.42632585371427</v>
      </c>
      <c r="I40" s="124">
        <f>'Income Statement'!I14/AVERAGE('Balance Sheet'!J13,'Balance Sheet'!J16,'Balance Sheet'!I13,'Balance Sheet'!I16)</f>
        <v>145.73727814091026</v>
      </c>
      <c r="J40" s="124">
        <f>'Income Statement'!J14/AVERAGE('Balance Sheet'!K13,'Balance Sheet'!K16,'Balance Sheet'!J13,'Balance Sheet'!J16)</f>
        <v>182.03352029704757</v>
      </c>
      <c r="K40" s="124">
        <f>'Income Statement'!K14/AVERAGE('Balance Sheet'!L13,'Balance Sheet'!L16,'Balance Sheet'!K13,'Balance Sheet'!K16)</f>
        <v>226.25690140339944</v>
      </c>
      <c r="L40" s="124">
        <f>'Income Statement'!L14/AVERAGE('Balance Sheet'!M13,'Balance Sheet'!M16,'Balance Sheet'!L13,'Balance Sheet'!L16)</f>
        <v>280.00405551752215</v>
      </c>
      <c r="M40" s="124">
        <f>'Income Statement'!M14/AVERAGE('Balance Sheet'!N13,'Balance Sheet'!N16,'Balance Sheet'!M13,'Balance Sheet'!M16)</f>
        <v>344.80826314905204</v>
      </c>
      <c r="N40" s="124">
        <f>'Income Statement'!N14/AVERAGE('Balance Sheet'!O13,'Balance Sheet'!O16,'Balance Sheet'!N13,'Balance Sheet'!N16)</f>
        <v>423.36784838281284</v>
      </c>
      <c r="O40" s="124">
        <f>'Income Statement'!O14/AVERAGE('Balance Sheet'!P13,'Balance Sheet'!P16,'Balance Sheet'!O13,'Balance Sheet'!O16)</f>
        <v>518.85283362400992</v>
      </c>
      <c r="P40" s="124">
        <f>'Income Statement'!P14/AVERAGE('Balance Sheet'!Q13,'Balance Sheet'!Q16,'Balance Sheet'!P13,'Balance Sheet'!P16)</f>
        <v>634.46856069643741</v>
      </c>
      <c r="Q40" s="124">
        <f>'Income Statement'!Q14/AVERAGE('Balance Sheet'!R13,'Balance Sheet'!R16,'Balance Sheet'!Q13,'Balance Sheet'!Q16)</f>
        <v>776.63722768051321</v>
      </c>
      <c r="R40" s="120"/>
      <c r="T40" s="134" t="s">
        <v>481</v>
      </c>
    </row>
    <row r="41" spans="2:20" ht="45" x14ac:dyDescent="0.2">
      <c r="B41" s="137" t="s">
        <v>185</v>
      </c>
      <c r="C41" s="119"/>
      <c r="D41" s="129">
        <f>AVERAGE('Balance Sheet'!E38-'Balance Sheet'!E72,'Balance Sheet'!D38-'Balance Sheet'!D72)/'Income Statement'!D14-AVERAGE('Balance Sheet'!D38-'Balance Sheet'!D72,'Balance Sheet'!C38-'Balance Sheet'!C72)/'Income Statement'!C14</f>
        <v>0.11291943941428828</v>
      </c>
      <c r="E41" s="129">
        <f>AVERAGE('Balance Sheet'!F38-'Balance Sheet'!F72,'Balance Sheet'!E38-'Balance Sheet'!E72)/'Income Statement'!E14-AVERAGE('Balance Sheet'!E38-'Balance Sheet'!E72,'Balance Sheet'!D38-'Balance Sheet'!D72)/'Income Statement'!D14</f>
        <v>-6.9103713719005616E-2</v>
      </c>
      <c r="F41" s="129">
        <f>AVERAGE('Balance Sheet'!G38-'Balance Sheet'!G72,'Balance Sheet'!F38-'Balance Sheet'!F72)/'Income Statement'!F14-AVERAGE('Balance Sheet'!F38-'Balance Sheet'!F72,'Balance Sheet'!E38-'Balance Sheet'!E72)/'Income Statement'!E14</f>
        <v>-7.1047722956005505E-2</v>
      </c>
      <c r="G41" s="129">
        <f>AVERAGE('Balance Sheet'!H38-'Balance Sheet'!H72,'Balance Sheet'!G38-'Balance Sheet'!G72)/'Income Statement'!G14-AVERAGE('Balance Sheet'!G38-'Balance Sheet'!G72,'Balance Sheet'!F38-'Balance Sheet'!F72)/'Income Statement'!F14</f>
        <v>3.7214644462028795E-2</v>
      </c>
      <c r="H41" s="130">
        <f ca="1">AVERAGE('Balance Sheet'!I38-'Balance Sheet'!I72,'Balance Sheet'!H38-'Balance Sheet'!H72)/'Income Statement'!H14-AVERAGE('Balance Sheet'!H38-'Balance Sheet'!H72,'Balance Sheet'!G38-'Balance Sheet'!G72)/'Income Statement'!G14</f>
        <v>0.12492126347651614</v>
      </c>
      <c r="I41" s="130">
        <f ca="1">AVERAGE('Balance Sheet'!J38-'Balance Sheet'!J72,'Balance Sheet'!I38-'Balance Sheet'!I72)/'Income Statement'!I14-AVERAGE('Balance Sheet'!I38-'Balance Sheet'!I72,'Balance Sheet'!H38-'Balance Sheet'!H72)/'Income Statement'!H14</f>
        <v>0.10970822832914617</v>
      </c>
      <c r="J41" s="130">
        <f ca="1">AVERAGE('Balance Sheet'!K38-'Balance Sheet'!K72,'Balance Sheet'!J38-'Balance Sheet'!J72)/'Income Statement'!J14-AVERAGE('Balance Sheet'!J38-'Balance Sheet'!J72,'Balance Sheet'!I38-'Balance Sheet'!I72)/'Income Statement'!I14</f>
        <v>7.1893208257385322E-2</v>
      </c>
      <c r="K41" s="130">
        <f ca="1">AVERAGE('Balance Sheet'!L38-'Balance Sheet'!L72,'Balance Sheet'!K38-'Balance Sheet'!K72)/'Income Statement'!K14-AVERAGE('Balance Sheet'!K38-'Balance Sheet'!K72,'Balance Sheet'!J38-'Balance Sheet'!J72)/'Income Statement'!J14</f>
        <v>6.3978545570011258E-2</v>
      </c>
      <c r="L41" s="130">
        <f ca="1">AVERAGE('Balance Sheet'!M38-'Balance Sheet'!M72,'Balance Sheet'!L38-'Balance Sheet'!L72)/'Income Statement'!L14-AVERAGE('Balance Sheet'!L38-'Balance Sheet'!L72,'Balance Sheet'!K38-'Balance Sheet'!K72)/'Income Statement'!K14</f>
        <v>5.8061548725373058E-2</v>
      </c>
      <c r="M41" s="130">
        <f ca="1">AVERAGE('Balance Sheet'!N38-'Balance Sheet'!N72,'Balance Sheet'!M38-'Balance Sheet'!M72)/'Income Statement'!M14-AVERAGE('Balance Sheet'!M38-'Balance Sheet'!M72,'Balance Sheet'!L38-'Balance Sheet'!L72)/'Income Statement'!L14</f>
        <v>5.4011954218420311E-2</v>
      </c>
      <c r="N41" s="130">
        <f ca="1">AVERAGE('Balance Sheet'!O38-'Balance Sheet'!O72,'Balance Sheet'!N38-'Balance Sheet'!N72)/'Income Statement'!N14-AVERAGE('Balance Sheet'!N38-'Balance Sheet'!N72,'Balance Sheet'!M38-'Balance Sheet'!M72)/'Income Statement'!M14</f>
        <v>5.1160535399022544E-2</v>
      </c>
      <c r="O41" s="130">
        <f ca="1">AVERAGE('Balance Sheet'!P38-'Balance Sheet'!P72,'Balance Sheet'!O38-'Balance Sheet'!O72)/'Income Statement'!O14-AVERAGE('Balance Sheet'!O38-'Balance Sheet'!O72,'Balance Sheet'!N38-'Balance Sheet'!N72)/'Income Statement'!N14</f>
        <v>4.95591904442928E-2</v>
      </c>
      <c r="P41" s="130">
        <f ca="1">AVERAGE('Balance Sheet'!Q38-'Balance Sheet'!Q72,'Balance Sheet'!P38-'Balance Sheet'!P72)/'Income Statement'!P14-AVERAGE('Balance Sheet'!P38-'Balance Sheet'!P72,'Balance Sheet'!O38-'Balance Sheet'!O72)/'Income Statement'!O14</f>
        <v>4.8855354724531175E-2</v>
      </c>
      <c r="Q41" s="130">
        <f ca="1">AVERAGE('Balance Sheet'!R38-'Balance Sheet'!R72,'Balance Sheet'!Q38-'Balance Sheet'!Q72)/'Income Statement'!Q14-AVERAGE('Balance Sheet'!Q38-'Balance Sheet'!Q72,'Balance Sheet'!P38-'Balance Sheet'!P72)/'Income Statement'!P14</f>
        <v>4.9049762719429846E-2</v>
      </c>
      <c r="R41" s="120"/>
      <c r="T41" s="134" t="s">
        <v>482</v>
      </c>
    </row>
    <row r="42" spans="2:20" ht="45" x14ac:dyDescent="0.2">
      <c r="B42" s="137" t="s">
        <v>186</v>
      </c>
      <c r="C42" s="129">
        <f>'Income Statement'!C40/SUM('Balance Sheet'!D49,'Balance Sheet'!D53,'Balance Sheet'!D63)</f>
        <v>0.19353623567216838</v>
      </c>
      <c r="D42" s="129">
        <f>'Income Statement'!D40/SUM('Balance Sheet'!E49,'Balance Sheet'!E53,'Balance Sheet'!E63)</f>
        <v>0.23613983398963151</v>
      </c>
      <c r="E42" s="129">
        <f>'Income Statement'!E40/SUM('Balance Sheet'!F49,'Balance Sheet'!F53,'Balance Sheet'!F63)</f>
        <v>0.14456848912952316</v>
      </c>
      <c r="F42" s="129">
        <f>'Income Statement'!F40/SUM('Balance Sheet'!G49,'Balance Sheet'!G53,'Balance Sheet'!G63)</f>
        <v>0.12081384326096746</v>
      </c>
      <c r="G42" s="129">
        <f>'Income Statement'!G40/SUM('Balance Sheet'!H49,'Balance Sheet'!H53,'Balance Sheet'!H63)</f>
        <v>0.12458285142385611</v>
      </c>
      <c r="H42" s="130">
        <f ca="1">'Income Statement'!H40/SUM('Balance Sheet'!I49,'Balance Sheet'!I53,'Balance Sheet'!I63)</f>
        <v>0.16632641729573275</v>
      </c>
      <c r="I42" s="130">
        <f ca="1">'Income Statement'!I40/SUM('Balance Sheet'!J49,'Balance Sheet'!J53,'Balance Sheet'!J63)</f>
        <v>0.16733713998576116</v>
      </c>
      <c r="J42" s="130">
        <f ca="1">'Income Statement'!J40/SUM('Balance Sheet'!K49,'Balance Sheet'!K53,'Balance Sheet'!K63)</f>
        <v>0.16501453731136731</v>
      </c>
      <c r="K42" s="130">
        <f ca="1">'Income Statement'!K40/SUM('Balance Sheet'!L49,'Balance Sheet'!L53,'Balance Sheet'!L63)</f>
        <v>0.16323593445602466</v>
      </c>
      <c r="L42" s="130">
        <f ca="1">'Income Statement'!L40/SUM('Balance Sheet'!M49,'Balance Sheet'!M53,'Balance Sheet'!M63)</f>
        <v>0.15909233946630696</v>
      </c>
      <c r="M42" s="130">
        <f ca="1">'Income Statement'!M40/SUM('Balance Sheet'!N49,'Balance Sheet'!N53,'Balance Sheet'!N63)</f>
        <v>0.15617476497049596</v>
      </c>
      <c r="N42" s="130">
        <f ca="1">'Income Statement'!N40/SUM('Balance Sheet'!O49,'Balance Sheet'!O53,'Balance Sheet'!O63)</f>
        <v>0.15077114885512879</v>
      </c>
      <c r="O42" s="130">
        <f ca="1">'Income Statement'!O40/SUM('Balance Sheet'!P49,'Balance Sheet'!P53,'Balance Sheet'!P63)</f>
        <v>0.14702476945889623</v>
      </c>
      <c r="P42" s="130">
        <f ca="1">'Income Statement'!P40/SUM('Balance Sheet'!Q49,'Balance Sheet'!Q53,'Balance Sheet'!Q63)</f>
        <v>0.14123931731422337</v>
      </c>
      <c r="Q42" s="130">
        <f ca="1">'Income Statement'!Q40/SUM('Balance Sheet'!R49,'Balance Sheet'!R53,'Balance Sheet'!R63)</f>
        <v>0.13685533475122583</v>
      </c>
      <c r="R42" s="120"/>
      <c r="T42" s="134" t="s">
        <v>483</v>
      </c>
    </row>
    <row r="44" spans="2:20" x14ac:dyDescent="0.2">
      <c r="E44" s="49"/>
      <c r="F44" s="49"/>
      <c r="G44" s="49"/>
      <c r="H44" s="49"/>
      <c r="I44" s="49"/>
      <c r="J44" s="49"/>
      <c r="K44" s="49"/>
      <c r="L44" s="49"/>
      <c r="M44" s="49"/>
      <c r="N44" s="49"/>
      <c r="O44" s="49"/>
      <c r="P44" s="49"/>
      <c r="Q44" s="49"/>
      <c r="R44" s="49"/>
    </row>
  </sheetData>
  <mergeCells count="5">
    <mergeCell ref="B8:B9"/>
    <mergeCell ref="P6:Q6"/>
    <mergeCell ref="T7:T9"/>
    <mergeCell ref="R8:R9"/>
    <mergeCell ref="B7:R7"/>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DA73E46B-AB22-49B1-AB7C-00C24E8E73A2}">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'Ratio Analysis'!C28:Q28</xm:f>
              <xm:sqref>R28</xm:sqref>
            </x14:sparkline>
            <x14:sparkline>
              <xm:f>'Ratio Analysis'!C29:Q29</xm:f>
              <xm:sqref>R29</xm:sqref>
            </x14:sparkline>
            <x14:sparkline>
              <xm:f>'Ratio Analysis'!C30:Q30</xm:f>
              <xm:sqref>R30</xm:sqref>
            </x14:sparkline>
            <x14:sparkline>
              <xm:f>'Ratio Analysis'!C31:Q31</xm:f>
              <xm:sqref>R31</xm:sqref>
            </x14:sparkline>
            <x14:sparkline>
              <xm:f>'Ratio Analysis'!C32:Q32</xm:f>
              <xm:sqref>R32</xm:sqref>
            </x14:sparkline>
            <x14:sparkline>
              <xm:f>'Ratio Analysis'!C33:Q33</xm:f>
              <xm:sqref>R33</xm:sqref>
            </x14:sparkline>
            <x14:sparkline>
              <xm:f>'Ratio Analysis'!C34:Q34</xm:f>
              <xm:sqref>R34</xm:sqref>
            </x14:sparkline>
            <x14:sparkline>
              <xm:f>'Ratio Analysis'!C35:Q35</xm:f>
              <xm:sqref>R35</xm:sqref>
            </x14:sparkline>
            <x14:sparkline>
              <xm:f>'Ratio Analysis'!C36:Q36</xm:f>
              <xm:sqref>R36</xm:sqref>
            </x14:sparkline>
            <x14:sparkline>
              <xm:f>'Ratio Analysis'!C37:Q37</xm:f>
              <xm:sqref>R37</xm:sqref>
            </x14:sparkline>
            <x14:sparkline>
              <xm:f>'Ratio Analysis'!C38:Q38</xm:f>
              <xm:sqref>R38</xm:sqref>
            </x14:sparkline>
            <x14:sparkline>
              <xm:f>'Ratio Analysis'!C39:Q39</xm:f>
              <xm:sqref>R39</xm:sqref>
            </x14:sparkline>
            <x14:sparkline>
              <xm:f>'Ratio Analysis'!C40:Q40</xm:f>
              <xm:sqref>R40</xm:sqref>
            </x14:sparkline>
            <x14:sparkline>
              <xm:f>'Ratio Analysis'!C41:Q41</xm:f>
              <xm:sqref>R41</xm:sqref>
            </x14:sparkline>
            <x14:sparkline>
              <xm:f>'Ratio Analysis'!C42:Q42</xm:f>
              <xm:sqref>R42</xm:sqref>
            </x14:sparkline>
          </x14:sparklines>
        </x14:sparklineGroup>
        <x14:sparklineGroup displayEmptyCellsAs="gap" xr2:uid="{83E6E95F-B8BD-4F74-A3D8-9B9160FDF0C3}">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'Ratio Analysis'!C19:Q19</xm:f>
              <xm:sqref>R19</xm:sqref>
            </x14:sparkline>
            <x14:sparkline>
              <xm:f>'Ratio Analysis'!C20:Q20</xm:f>
              <xm:sqref>R20</xm:sqref>
            </x14:sparkline>
            <x14:sparkline>
              <xm:f>'Ratio Analysis'!C21:Q21</xm:f>
              <xm:sqref>R21</xm:sqref>
            </x14:sparkline>
            <x14:sparkline>
              <xm:f>'Ratio Analysis'!C22:Q22</xm:f>
              <xm:sqref>R22</xm:sqref>
            </x14:sparkline>
            <x14:sparkline>
              <xm:f>'Ratio Analysis'!C23:Q23</xm:f>
              <xm:sqref>R23</xm:sqref>
            </x14:sparkline>
            <x14:sparkline>
              <xm:f>'Ratio Analysis'!C24:Q24</xm:f>
              <xm:sqref>R24</xm:sqref>
            </x14:sparkline>
            <x14:sparkline>
              <xm:f>'Ratio Analysis'!C25:Q25</xm:f>
              <xm:sqref>R25</xm:sqref>
            </x14:sparkline>
          </x14:sparklines>
        </x14:sparklineGroup>
        <x14:sparklineGroup displayEmptyCellsAs="gap" xr2:uid="{E81036A0-41E1-474D-AA93-5EAB2B703F7F}">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'Ratio Analysis'!C12:Q12</xm:f>
              <xm:sqref>R12</xm:sqref>
            </x14:sparkline>
            <x14:sparkline>
              <xm:f>'Ratio Analysis'!C13:Q13</xm:f>
              <xm:sqref>R13</xm:sqref>
            </x14:sparkline>
            <x14:sparkline>
              <xm:f>'Ratio Analysis'!C14:Q14</xm:f>
              <xm:sqref>R14</xm:sqref>
            </x14:sparkline>
            <x14:sparkline>
              <xm:f>'Ratio Analysis'!C15:Q15</xm:f>
              <xm:sqref>R15</xm:sqref>
            </x14:sparkline>
            <x14:sparkline>
              <xm:f>'Ratio Analysis'!C16:Q16</xm:f>
              <xm:sqref>R16</xm:sqref>
            </x14:sparkline>
          </x14:sparklines>
        </x14:sparklineGroup>
      </x14:sparklineGroup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tabColor rgb="FF92D050"/>
  </sheetPr>
  <dimension ref="A2:Q80"/>
  <sheetViews>
    <sheetView showGridLines="0" topLeftCell="A51" zoomScale="140" zoomScaleNormal="140" workbookViewId="0">
      <selection activeCell="E5" sqref="E5"/>
    </sheetView>
  </sheetViews>
  <sheetFormatPr baseColWidth="10" defaultColWidth="8.83203125" defaultRowHeight="14" x14ac:dyDescent="0.15"/>
  <cols>
    <col min="1" max="1" width="5.1640625" style="2" customWidth="1"/>
    <col min="2" max="2" width="51.33203125" style="2" bestFit="1" customWidth="1"/>
    <col min="3" max="3" width="13.83203125" style="2" customWidth="1"/>
    <col min="4" max="4" width="12.83203125" style="2" customWidth="1"/>
    <col min="5" max="8" width="14.1640625" style="2" bestFit="1" customWidth="1"/>
    <col min="9" max="9" width="12.83203125" style="2" bestFit="1" customWidth="1"/>
    <col min="10" max="10" width="13.33203125" style="2" bestFit="1" customWidth="1"/>
    <col min="11" max="13" width="13.5" style="2" bestFit="1" customWidth="1"/>
    <col min="14" max="15" width="14.1640625" style="2" bestFit="1" customWidth="1"/>
    <col min="16" max="16" width="12.83203125" style="2" customWidth="1"/>
    <col min="17" max="17" width="14.1640625" style="2" bestFit="1" customWidth="1"/>
    <col min="18" max="16384" width="8.83203125" style="2"/>
  </cols>
  <sheetData>
    <row r="2" spans="2:17" x14ac:dyDescent="0.15">
      <c r="C2" s="67"/>
      <c r="D2" s="67"/>
      <c r="E2" s="67"/>
      <c r="F2" s="67"/>
      <c r="G2" s="67"/>
    </row>
    <row r="6" spans="2:17" ht="13.75" customHeight="1" x14ac:dyDescent="0.15">
      <c r="B6" s="3"/>
      <c r="C6" s="3"/>
      <c r="F6" s="111"/>
      <c r="G6" s="111"/>
      <c r="P6" s="503" t="s">
        <v>64</v>
      </c>
      <c r="Q6" s="503"/>
    </row>
    <row r="7" spans="2:17" ht="13.75" customHeight="1" x14ac:dyDescent="0.2">
      <c r="B7" s="504" t="s">
        <v>156</v>
      </c>
      <c r="C7" s="505"/>
      <c r="D7" s="505"/>
      <c r="E7" s="505"/>
      <c r="F7" s="505"/>
      <c r="G7" s="505"/>
      <c r="H7" s="505"/>
      <c r="I7" s="505"/>
      <c r="J7" s="505"/>
      <c r="K7" s="505"/>
      <c r="L7" s="505"/>
      <c r="M7" s="505"/>
      <c r="N7" s="505"/>
      <c r="O7" s="505"/>
      <c r="P7" s="505"/>
      <c r="Q7" s="506"/>
    </row>
    <row r="8" spans="2:17" x14ac:dyDescent="0.15">
      <c r="B8" s="531" t="s">
        <v>0</v>
      </c>
      <c r="C8" s="195">
        <f>'Balance Sheet'!D8</f>
        <v>2021</v>
      </c>
      <c r="D8" s="195">
        <f>'Balance Sheet'!E8</f>
        <v>2022</v>
      </c>
      <c r="E8" s="195">
        <f>'Balance Sheet'!F8</f>
        <v>2023</v>
      </c>
      <c r="F8" s="195">
        <f>'Balance Sheet'!G8</f>
        <v>2024</v>
      </c>
      <c r="G8" s="195">
        <f>'Balance Sheet'!H8</f>
        <v>2025</v>
      </c>
      <c r="H8" s="217">
        <f>'Balance Sheet'!I8</f>
        <v>2026</v>
      </c>
      <c r="I8" s="217">
        <f>'Balance Sheet'!J8</f>
        <v>2027</v>
      </c>
      <c r="J8" s="217">
        <f>'Balance Sheet'!K8</f>
        <v>2028</v>
      </c>
      <c r="K8" s="217">
        <f>'Balance Sheet'!L8</f>
        <v>2029</v>
      </c>
      <c r="L8" s="217">
        <f>'Balance Sheet'!M8</f>
        <v>2030</v>
      </c>
      <c r="M8" s="217">
        <f>'Balance Sheet'!N8</f>
        <v>2031</v>
      </c>
      <c r="N8" s="217">
        <f>'Balance Sheet'!O8</f>
        <v>2032</v>
      </c>
      <c r="O8" s="217">
        <f>'Balance Sheet'!P8</f>
        <v>2033</v>
      </c>
      <c r="P8" s="217">
        <f>'Balance Sheet'!Q8</f>
        <v>2034</v>
      </c>
      <c r="Q8" s="217">
        <f>'Balance Sheet'!R8</f>
        <v>2035</v>
      </c>
    </row>
    <row r="9" spans="2:17" x14ac:dyDescent="0.15">
      <c r="B9" s="529"/>
      <c r="C9" s="13" t="s">
        <v>1</v>
      </c>
      <c r="D9" s="13" t="s">
        <v>1</v>
      </c>
      <c r="E9" s="13" t="s">
        <v>1</v>
      </c>
      <c r="F9" s="13" t="s">
        <v>1</v>
      </c>
      <c r="G9" s="13" t="s">
        <v>1</v>
      </c>
      <c r="H9" s="110" t="s">
        <v>52</v>
      </c>
      <c r="I9" s="110" t="s">
        <v>53</v>
      </c>
      <c r="J9" s="110" t="s">
        <v>53</v>
      </c>
      <c r="K9" s="110" t="s">
        <v>53</v>
      </c>
      <c r="L9" s="110" t="s">
        <v>53</v>
      </c>
      <c r="M9" s="110" t="s">
        <v>53</v>
      </c>
      <c r="N9" s="110" t="s">
        <v>53</v>
      </c>
      <c r="O9" s="110" t="s">
        <v>53</v>
      </c>
      <c r="P9" s="110" t="s">
        <v>53</v>
      </c>
      <c r="Q9" s="110" t="s">
        <v>53</v>
      </c>
    </row>
    <row r="10" spans="2:17" x14ac:dyDescent="0.15">
      <c r="B10" s="34"/>
      <c r="H10" s="30"/>
      <c r="I10" s="30"/>
      <c r="J10" s="30"/>
      <c r="K10" s="30"/>
      <c r="L10" s="30"/>
      <c r="M10" s="30"/>
      <c r="N10" s="30"/>
      <c r="O10" s="30"/>
      <c r="P10" s="30"/>
      <c r="Q10" s="30"/>
    </row>
    <row r="11" spans="2:17" s="66" customFormat="1" x14ac:dyDescent="0.15">
      <c r="B11" s="73" t="s">
        <v>76</v>
      </c>
      <c r="H11" s="70"/>
      <c r="I11" s="70"/>
      <c r="J11" s="70"/>
      <c r="K11" s="70"/>
      <c r="L11" s="70"/>
      <c r="M11" s="70"/>
      <c r="N11" s="70"/>
      <c r="O11" s="70"/>
      <c r="P11" s="70"/>
      <c r="Q11" s="70"/>
    </row>
    <row r="12" spans="2:17" x14ac:dyDescent="0.15">
      <c r="B12" s="34"/>
      <c r="C12" s="67"/>
      <c r="H12" s="30"/>
      <c r="I12" s="30"/>
      <c r="J12" s="30"/>
      <c r="K12" s="30"/>
      <c r="L12" s="30"/>
      <c r="M12" s="30"/>
      <c r="N12" s="30"/>
      <c r="O12" s="30"/>
      <c r="P12" s="30"/>
      <c r="Q12" s="30"/>
    </row>
    <row r="13" spans="2:17" x14ac:dyDescent="0.15">
      <c r="B13" s="34" t="s">
        <v>78</v>
      </c>
      <c r="C13" s="67"/>
      <c r="D13" s="67">
        <f>'Income Statement'!D36</f>
        <v>448.04000000000008</v>
      </c>
      <c r="E13" s="67">
        <f>'Income Statement'!E36</f>
        <v>427.36999999999995</v>
      </c>
      <c r="F13" s="67">
        <f>'Income Statement'!F36</f>
        <v>386.18999999999983</v>
      </c>
      <c r="G13" s="67">
        <f>'Income Statement'!G36</f>
        <v>459.16</v>
      </c>
      <c r="H13" s="71">
        <f ca="1">'Income Statement'!H36</f>
        <v>729.15642808677205</v>
      </c>
      <c r="I13" s="71">
        <f ca="1">'Income Statement'!I36</f>
        <v>883.37806558278373</v>
      </c>
      <c r="J13" s="71">
        <f ca="1">'Income Statement'!J36</f>
        <v>1057.6487923600505</v>
      </c>
      <c r="K13" s="71">
        <f ca="1">'Income Statement'!K36</f>
        <v>1249.854846366788</v>
      </c>
      <c r="L13" s="71">
        <f ca="1">'Income Statement'!L36</f>
        <v>1464.5438384895331</v>
      </c>
      <c r="M13" s="71">
        <f ca="1">'Income Statement'!M36</f>
        <v>1698.4429316234932</v>
      </c>
      <c r="N13" s="71">
        <f ca="1">'Income Statement'!N36</f>
        <v>1947.5014427617509</v>
      </c>
      <c r="O13" s="71">
        <f ca="1">'Income Statement'!O36</f>
        <v>2214.4372713316911</v>
      </c>
      <c r="P13" s="71">
        <f ca="1">'Income Statement'!P36</f>
        <v>2493.7494574813718</v>
      </c>
      <c r="Q13" s="71">
        <f ca="1">'Income Statement'!Q36</f>
        <v>2779.1310210515758</v>
      </c>
    </row>
    <row r="14" spans="2:17" x14ac:dyDescent="0.15">
      <c r="B14" s="74" t="s">
        <v>79</v>
      </c>
      <c r="C14" s="67"/>
      <c r="D14" s="67"/>
      <c r="E14" s="67"/>
      <c r="F14" s="67"/>
      <c r="G14" s="67"/>
      <c r="H14" s="71"/>
      <c r="I14" s="71"/>
      <c r="J14" s="71"/>
      <c r="K14" s="71"/>
      <c r="L14" s="71"/>
      <c r="M14" s="71"/>
      <c r="N14" s="71"/>
      <c r="O14" s="71"/>
      <c r="P14" s="71"/>
      <c r="Q14" s="71"/>
    </row>
    <row r="15" spans="2:17" x14ac:dyDescent="0.15">
      <c r="B15" s="34" t="s">
        <v>11</v>
      </c>
      <c r="C15" s="67"/>
      <c r="D15" s="67">
        <f>'Income Statement'!D24</f>
        <v>42.87</v>
      </c>
      <c r="E15" s="67">
        <f>'Income Statement'!E24</f>
        <v>67.37</v>
      </c>
      <c r="F15" s="67">
        <f>'Income Statement'!F24</f>
        <v>89.91</v>
      </c>
      <c r="G15" s="67">
        <f>'Income Statement'!G24</f>
        <v>75.12</v>
      </c>
      <c r="H15" s="71">
        <f ca="1">'Income Statement'!H24</f>
        <v>60.048000000000002</v>
      </c>
      <c r="I15" s="71">
        <f ca="1">'Income Statement'!I24</f>
        <v>60.048000000000002</v>
      </c>
      <c r="J15" s="71">
        <f ca="1">'Income Statement'!J24</f>
        <v>60.048000000000002</v>
      </c>
      <c r="K15" s="71">
        <f ca="1">'Income Statement'!K24</f>
        <v>62.448320000000002</v>
      </c>
      <c r="L15" s="71">
        <f ca="1">'Income Statement'!L24</f>
        <v>62.448320000000002</v>
      </c>
      <c r="M15" s="71">
        <f ca="1">'Income Statement'!M24</f>
        <v>62.448320000000002</v>
      </c>
      <c r="N15" s="71">
        <f ca="1">'Income Statement'!N24</f>
        <v>64.9446528</v>
      </c>
      <c r="O15" s="71">
        <f ca="1">'Income Statement'!O24</f>
        <v>64.9446528</v>
      </c>
      <c r="P15" s="71">
        <f ca="1">'Income Statement'!P24</f>
        <v>64.9446528</v>
      </c>
      <c r="Q15" s="71">
        <f ca="1">'Income Statement'!Q24</f>
        <v>67.540838911999998</v>
      </c>
    </row>
    <row r="16" spans="2:17" x14ac:dyDescent="0.15">
      <c r="B16" s="34" t="s">
        <v>81</v>
      </c>
      <c r="C16" s="67"/>
      <c r="D16" s="67">
        <f>'Income Statement'!D30</f>
        <v>7.68</v>
      </c>
      <c r="E16" s="67">
        <f>'Income Statement'!E30</f>
        <v>24.72</v>
      </c>
      <c r="F16" s="67">
        <f>'Income Statement'!F30</f>
        <v>44.47</v>
      </c>
      <c r="G16" s="67">
        <f>'Income Statement'!G30</f>
        <v>42.06</v>
      </c>
      <c r="H16" s="71">
        <f>'Income Statement'!H30</f>
        <v>35.274755876921226</v>
      </c>
      <c r="I16" s="71">
        <f>'Income Statement'!I30</f>
        <v>42.167938961054567</v>
      </c>
      <c r="J16" s="71">
        <f>'Income Statement'!J30</f>
        <v>49.95724820056865</v>
      </c>
      <c r="K16" s="71">
        <f>'Income Statement'!K30</f>
        <v>58.655491761900691</v>
      </c>
      <c r="L16" s="71">
        <f>'Income Statement'!L30</f>
        <v>68.251360103581419</v>
      </c>
      <c r="M16" s="71">
        <f>'Income Statement'!M30</f>
        <v>78.705854676217754</v>
      </c>
      <c r="N16" s="71">
        <f>'Income Statement'!N30</f>
        <v>89.949501307915838</v>
      </c>
      <c r="O16" s="71">
        <f>'Income Statement'!O30</f>
        <v>101.88062568140083</v>
      </c>
      <c r="P16" s="71">
        <f>'Income Statement'!P30</f>
        <v>114.36493117847523</v>
      </c>
      <c r="Q16" s="71">
        <f>'Income Statement'!Q30</f>
        <v>127.23655791611429</v>
      </c>
    </row>
    <row r="17" spans="1:17" x14ac:dyDescent="0.15">
      <c r="B17" s="73" t="s">
        <v>89</v>
      </c>
      <c r="C17" s="67"/>
      <c r="D17" s="67"/>
      <c r="E17" s="67"/>
      <c r="F17" s="67"/>
      <c r="G17" s="67"/>
      <c r="H17" s="71"/>
      <c r="I17" s="71"/>
      <c r="J17" s="71"/>
      <c r="K17" s="71"/>
      <c r="L17" s="71"/>
      <c r="M17" s="71"/>
      <c r="N17" s="71"/>
      <c r="O17" s="71"/>
      <c r="P17" s="71"/>
      <c r="Q17" s="71"/>
    </row>
    <row r="18" spans="1:17" x14ac:dyDescent="0.15">
      <c r="A18" s="158"/>
      <c r="B18" s="34" t="s">
        <v>32</v>
      </c>
      <c r="C18" s="67"/>
      <c r="D18" s="67">
        <f>'Balance Sheet'!E63-'Balance Sheet'!D63</f>
        <v>-0.52000000000001023</v>
      </c>
      <c r="E18" s="67">
        <f>'Balance Sheet'!F63-'Balance Sheet'!E63</f>
        <v>33.17</v>
      </c>
      <c r="F18" s="67">
        <f>'Balance Sheet'!G63-'Balance Sheet'!F63</f>
        <v>70.62</v>
      </c>
      <c r="G18" s="67">
        <f>'Balance Sheet'!H63-'Balance Sheet'!G63</f>
        <v>2.6899999999999977</v>
      </c>
      <c r="H18" s="71">
        <f>'Balance Sheet'!I63-'Balance Sheet'!H63</f>
        <v>5.2742739710823514</v>
      </c>
      <c r="I18" s="71">
        <f>'Balance Sheet'!J63-'Balance Sheet'!I63</f>
        <v>35.411816095890572</v>
      </c>
      <c r="J18" s="71">
        <f>'Balance Sheet'!K63-'Balance Sheet'!J63</f>
        <v>40.015415655882549</v>
      </c>
      <c r="K18" s="71">
        <f>'Balance Sheet'!L63-'Balance Sheet'!K63</f>
        <v>44.684813618276451</v>
      </c>
      <c r="L18" s="71">
        <f>'Balance Sheet'!M63-'Balance Sheet'!L63</f>
        <v>49.296111948359624</v>
      </c>
      <c r="M18" s="71">
        <f>'Balance Sheet'!N63-'Balance Sheet'!M63</f>
        <v>53.70706604817093</v>
      </c>
      <c r="N18" s="71">
        <f>'Balance Sheet'!O63-'Balance Sheet'!N63</f>
        <v>57.761115860298105</v>
      </c>
      <c r="O18" s="71">
        <f>'Balance Sheet'!P63-'Balance Sheet'!O63</f>
        <v>61.292842069371432</v>
      </c>
      <c r="P18" s="71">
        <f>'Balance Sheet'!Q63-'Balance Sheet'!P63</f>
        <v>64.134656653022489</v>
      </c>
      <c r="Q18" s="71">
        <f>'Balance Sheet'!R63-'Balance Sheet'!Q63</f>
        <v>66.124412093071442</v>
      </c>
    </row>
    <row r="19" spans="1:17" x14ac:dyDescent="0.15">
      <c r="B19" s="34" t="s">
        <v>215</v>
      </c>
      <c r="C19" s="67"/>
      <c r="D19" s="67">
        <f>'Balance Sheet'!E64-'Balance Sheet'!D64</f>
        <v>-1.4399999999999995</v>
      </c>
      <c r="E19" s="67">
        <f>'Balance Sheet'!F64-'Balance Sheet'!E64</f>
        <v>5.54</v>
      </c>
      <c r="F19" s="67">
        <f>'Balance Sheet'!G64-'Balance Sheet'!F64</f>
        <v>0.78999999999999915</v>
      </c>
      <c r="G19" s="67">
        <f>'Balance Sheet'!H64-'Balance Sheet'!G64</f>
        <v>0.71000000000000085</v>
      </c>
      <c r="H19" s="71">
        <f>'Balance Sheet'!I64-'Balance Sheet'!H64</f>
        <v>1.9091826509249419</v>
      </c>
      <c r="I19" s="71">
        <f>'Balance Sheet'!J64-'Balance Sheet'!I64</f>
        <v>2.6340217395548127</v>
      </c>
      <c r="J19" s="71">
        <f>'Balance Sheet'!K64-'Balance Sheet'!J64</f>
        <v>2.9764492865743826</v>
      </c>
      <c r="K19" s="71">
        <f>'Balance Sheet'!L64-'Balance Sheet'!K64</f>
        <v>3.3237710875877369</v>
      </c>
      <c r="L19" s="71">
        <f>'Balance Sheet'!M64-'Balance Sheet'!L64</f>
        <v>3.6667712888799109</v>
      </c>
      <c r="M19" s="71">
        <f>'Balance Sheet'!N64-'Balance Sheet'!M64</f>
        <v>3.9948693722885622</v>
      </c>
      <c r="N19" s="71">
        <f>'Balance Sheet'!O64-'Balance Sheet'!N64</f>
        <v>4.2964199990473055</v>
      </c>
      <c r="O19" s="71">
        <f>'Balance Sheet'!P64-'Balance Sheet'!O64</f>
        <v>4.5591188560521019</v>
      </c>
      <c r="P19" s="71">
        <f>'Balance Sheet'!Q64-'Balance Sheet'!P64</f>
        <v>4.7705003162079862</v>
      </c>
      <c r="Q19" s="71">
        <f>'Balance Sheet'!R64-'Balance Sheet'!Q64</f>
        <v>4.918503431080552</v>
      </c>
    </row>
    <row r="20" spans="1:17" x14ac:dyDescent="0.15">
      <c r="B20" s="34" t="s">
        <v>37</v>
      </c>
      <c r="C20" s="67"/>
      <c r="D20" s="67">
        <f>'Balance Sheet'!E65-'Balance Sheet'!D65</f>
        <v>2.5800000000000018</v>
      </c>
      <c r="E20" s="67">
        <f>'Balance Sheet'!F65-'Balance Sheet'!E65</f>
        <v>149.66999999999999</v>
      </c>
      <c r="F20" s="67">
        <f>'Balance Sheet'!G65-'Balance Sheet'!F65</f>
        <v>37.47</v>
      </c>
      <c r="G20" s="67">
        <f>'Balance Sheet'!H65-'Balance Sheet'!G65</f>
        <v>35.580000000000013</v>
      </c>
      <c r="H20" s="71">
        <f>'Balance Sheet'!I65-'Balance Sheet'!H65</f>
        <v>-49.982613669741227</v>
      </c>
      <c r="I20" s="71">
        <f>'Balance Sheet'!J65-'Balance Sheet'!I65</f>
        <v>40.256738717427595</v>
      </c>
      <c r="J20" s="71">
        <f>'Balance Sheet'!K65-'Balance Sheet'!J65</f>
        <v>45.490186901627624</v>
      </c>
      <c r="K20" s="71">
        <f>'Balance Sheet'!L65-'Balance Sheet'!K65</f>
        <v>50.798435798853518</v>
      </c>
      <c r="L20" s="71">
        <f>'Balance Sheet'!M65-'Balance Sheet'!L65</f>
        <v>56.040636072332688</v>
      </c>
      <c r="M20" s="71">
        <f>'Balance Sheet'!N65-'Balance Sheet'!M65</f>
        <v>61.055081708496289</v>
      </c>
      <c r="N20" s="71">
        <f>'Balance Sheet'!O65-'Balance Sheet'!N65</f>
        <v>65.663792642505143</v>
      </c>
      <c r="O20" s="71">
        <f>'Balance Sheet'!P65-'Balance Sheet'!O65</f>
        <v>69.67871745842433</v>
      </c>
      <c r="P20" s="71">
        <f>'Balance Sheet'!Q65-'Balance Sheet'!P65</f>
        <v>72.909339318303751</v>
      </c>
      <c r="Q20" s="71">
        <f>'Balance Sheet'!R65-'Balance Sheet'!Q65</f>
        <v>75.17132623941302</v>
      </c>
    </row>
    <row r="21" spans="1:17" x14ac:dyDescent="0.15">
      <c r="B21" s="34" t="s">
        <v>325</v>
      </c>
      <c r="C21" s="67"/>
      <c r="D21" s="67">
        <f>'Balance Sheet'!E66-'Balance Sheet'!D66</f>
        <v>91.770000000000039</v>
      </c>
      <c r="E21" s="67">
        <f>'Balance Sheet'!F66-'Balance Sheet'!E66</f>
        <v>-315.5</v>
      </c>
      <c r="F21" s="67">
        <f>'Balance Sheet'!G66-'Balance Sheet'!F66</f>
        <v>255.74999999999997</v>
      </c>
      <c r="G21" s="67">
        <f>'Balance Sheet'!H66-'Balance Sheet'!G66</f>
        <v>-278.45999999999998</v>
      </c>
      <c r="H21" s="71">
        <f>'Balance Sheet'!I66-'Balance Sheet'!H66</f>
        <v>450.97911717310831</v>
      </c>
      <c r="I21" s="71">
        <f>'Balance Sheet'!J66-'Balance Sheet'!I66</f>
        <v>123.39989491831022</v>
      </c>
      <c r="J21" s="71">
        <f>'Balance Sheet'!K66-'Balance Sheet'!J66</f>
        <v>139.44210242358747</v>
      </c>
      <c r="K21" s="71">
        <f>'Balance Sheet'!L66-'Balance Sheet'!K66</f>
        <v>155.7135982522932</v>
      </c>
      <c r="L21" s="71">
        <f>'Balance Sheet'!M66-'Balance Sheet'!L66</f>
        <v>171.78263373548816</v>
      </c>
      <c r="M21" s="71">
        <f>'Balance Sheet'!N66-'Balance Sheet'!M66</f>
        <v>187.15352775945712</v>
      </c>
      <c r="N21" s="71">
        <f>'Balance Sheet'!O66-'Balance Sheet'!N66</f>
        <v>201.28071399174223</v>
      </c>
      <c r="O21" s="71">
        <f>'Balance Sheet'!P66-'Balance Sheet'!O66</f>
        <v>213.5877541587804</v>
      </c>
      <c r="P21" s="71">
        <f>'Balance Sheet'!Q66-'Balance Sheet'!P66</f>
        <v>223.49065267294486</v>
      </c>
      <c r="Q21" s="71">
        <f>'Balance Sheet'!R66-'Balance Sheet'!Q66</f>
        <v>230.42437252369496</v>
      </c>
    </row>
    <row r="22" spans="1:17" x14ac:dyDescent="0.15">
      <c r="B22" s="34" t="s">
        <v>299</v>
      </c>
      <c r="C22" s="67"/>
      <c r="D22" s="67">
        <f>'Balance Sheet'!E67-'Balance Sheet'!D67</f>
        <v>0</v>
      </c>
      <c r="E22" s="67">
        <f>'Balance Sheet'!F67-'Balance Sheet'!E67</f>
        <v>59.27</v>
      </c>
      <c r="F22" s="67">
        <f>'Balance Sheet'!G67-'Balance Sheet'!F67</f>
        <v>14.219999999999992</v>
      </c>
      <c r="G22" s="67">
        <f>'Balance Sheet'!H67-'Balance Sheet'!G67</f>
        <v>35.690000000000012</v>
      </c>
      <c r="H22" s="71">
        <f>'Balance Sheet'!I67-'Balance Sheet'!H67</f>
        <v>-44.306815394273158</v>
      </c>
      <c r="I22" s="71">
        <f>'Balance Sheet'!J67-'Balance Sheet'!I67</f>
        <v>12.677132062893406</v>
      </c>
      <c r="J22" s="71">
        <f>'Balance Sheet'!K67-'Balance Sheet'!J67</f>
        <v>14.325181951909656</v>
      </c>
      <c r="K22" s="71">
        <f>'Balance Sheet'!L67-'Balance Sheet'!K67</f>
        <v>15.996787115089703</v>
      </c>
      <c r="L22" s="71">
        <f>'Balance Sheet'!M67-'Balance Sheet'!L67</f>
        <v>17.647593098989759</v>
      </c>
      <c r="M22" s="71">
        <f>'Balance Sheet'!N67-'Balance Sheet'!M67</f>
        <v>19.226677534965845</v>
      </c>
      <c r="N22" s="71">
        <f>'Balance Sheet'!O67-'Balance Sheet'!N67</f>
        <v>20.677993240399246</v>
      </c>
      <c r="O22" s="71">
        <f>'Balance Sheet'!P67-'Balance Sheet'!O67</f>
        <v>21.94232149290022</v>
      </c>
      <c r="P22" s="71">
        <f>'Balance Sheet'!Q67-'Balance Sheet'!P67</f>
        <v>22.959667191230068</v>
      </c>
      <c r="Q22" s="71">
        <f>'Balance Sheet'!R67-'Balance Sheet'!Q67</f>
        <v>23.671982888850806</v>
      </c>
    </row>
    <row r="23" spans="1:17" x14ac:dyDescent="0.15">
      <c r="B23" s="34" t="s">
        <v>300</v>
      </c>
      <c r="C23" s="67"/>
      <c r="D23" s="67">
        <f>'Balance Sheet'!E68-'Balance Sheet'!D68</f>
        <v>3.8100000000000023</v>
      </c>
      <c r="E23" s="67">
        <f>'Balance Sheet'!F68-'Balance Sheet'!E68</f>
        <v>-53.769999999999996</v>
      </c>
      <c r="F23" s="67">
        <f>'Balance Sheet'!G68-'Balance Sheet'!F68</f>
        <v>9.2000000000000028</v>
      </c>
      <c r="G23" s="67">
        <f>'Balance Sheet'!H68-'Balance Sheet'!G68</f>
        <v>33.97</v>
      </c>
      <c r="H23" s="71">
        <f>'Balance Sheet'!I68-'Balance Sheet'!H68</f>
        <v>69.959450528077895</v>
      </c>
      <c r="I23" s="71">
        <f>'Balance Sheet'!J68-'Balance Sheet'!I68</f>
        <v>38.175982405218747</v>
      </c>
      <c r="J23" s="71">
        <f>'Balance Sheet'!K68-'Balance Sheet'!J68</f>
        <v>43.138928539555025</v>
      </c>
      <c r="K23" s="71">
        <f>'Balance Sheet'!L68-'Balance Sheet'!K68</f>
        <v>48.172809150834894</v>
      </c>
      <c r="L23" s="71">
        <f>'Balance Sheet'!M68-'Balance Sheet'!L68</f>
        <v>53.144055003851179</v>
      </c>
      <c r="M23" s="71">
        <f>'Balance Sheet'!N68-'Balance Sheet'!M68</f>
        <v>57.899318208896545</v>
      </c>
      <c r="N23" s="71">
        <f>'Balance Sheet'!O68-'Balance Sheet'!N68</f>
        <v>62.26981798441102</v>
      </c>
      <c r="O23" s="71">
        <f>'Balance Sheet'!P68-'Balance Sheet'!O68</f>
        <v>66.077222757228583</v>
      </c>
      <c r="P23" s="71">
        <f>'Balance Sheet'!Q68-'Balance Sheet'!P68</f>
        <v>69.140862962819369</v>
      </c>
      <c r="Q23" s="71">
        <f>'Balance Sheet'!R68-'Balance Sheet'!Q68</f>
        <v>71.285934214299573</v>
      </c>
    </row>
    <row r="24" spans="1:17" x14ac:dyDescent="0.15">
      <c r="B24" s="34" t="s">
        <v>33</v>
      </c>
      <c r="C24" s="67"/>
      <c r="D24" s="67">
        <f>'Balance Sheet'!E69-'Balance Sheet'!D69</f>
        <v>4.57</v>
      </c>
      <c r="E24" s="67">
        <f>'Balance Sheet'!F69-'Balance Sheet'!E69</f>
        <v>5.4400000000000013</v>
      </c>
      <c r="F24" s="67">
        <f>'Balance Sheet'!G69-'Balance Sheet'!F69</f>
        <v>-1.0500000000000043</v>
      </c>
      <c r="G24" s="67">
        <f>'Balance Sheet'!H69-'Balance Sheet'!G69</f>
        <v>7.3100000000000023</v>
      </c>
      <c r="H24" s="71">
        <f>'Balance Sheet'!I69-'Balance Sheet'!H69</f>
        <v>10.845879432355837</v>
      </c>
      <c r="I24" s="71">
        <f>'Balance Sheet'!J69-'Balance Sheet'!I69</f>
        <v>9.8382924511176455</v>
      </c>
      <c r="J24" s="71">
        <f>'Balance Sheet'!K69-'Balance Sheet'!J69</f>
        <v>11.117288102636735</v>
      </c>
      <c r="K24" s="71">
        <f>'Balance Sheet'!L69-'Balance Sheet'!K69</f>
        <v>12.414564203932628</v>
      </c>
      <c r="L24" s="71">
        <f>'Balance Sheet'!M69-'Balance Sheet'!L69</f>
        <v>13.695698767262002</v>
      </c>
      <c r="M24" s="71">
        <f>'Balance Sheet'!N69-'Balance Sheet'!M69</f>
        <v>14.921172668540834</v>
      </c>
      <c r="N24" s="71">
        <f>'Balance Sheet'!O69-'Balance Sheet'!N69</f>
        <v>16.047489589285647</v>
      </c>
      <c r="O24" s="71">
        <f>'Balance Sheet'!P69-'Balance Sheet'!O69</f>
        <v>17.02869188650908</v>
      </c>
      <c r="P24" s="71">
        <f>'Balance Sheet'!Q69-'Balance Sheet'!P69</f>
        <v>17.818219395917282</v>
      </c>
      <c r="Q24" s="71">
        <f>'Balance Sheet'!R69-'Balance Sheet'!Q69</f>
        <v>18.371023462006292</v>
      </c>
    </row>
    <row r="25" spans="1:17" x14ac:dyDescent="0.15">
      <c r="B25" s="34" t="s">
        <v>383</v>
      </c>
      <c r="C25" s="67"/>
      <c r="D25" s="67">
        <f>'Balance Sheet'!E70-'Balance Sheet'!D70</f>
        <v>19.47</v>
      </c>
      <c r="E25" s="67">
        <f>'Balance Sheet'!F70-'Balance Sheet'!E70</f>
        <v>-0.32999999999999829</v>
      </c>
      <c r="F25" s="67">
        <f>'Balance Sheet'!G70-'Balance Sheet'!F70</f>
        <v>-32.07</v>
      </c>
      <c r="G25" s="67">
        <f>'Balance Sheet'!H70-'Balance Sheet'!G70</f>
        <v>10.519999999999996</v>
      </c>
      <c r="H25" s="71">
        <f>'Balance Sheet'!I70-'Balance Sheet'!H70</f>
        <v>41.091638986004931</v>
      </c>
      <c r="I25" s="71">
        <f>'Balance Sheet'!J70-'Balance Sheet'!I70</f>
        <v>15.918749199097689</v>
      </c>
      <c r="J25" s="71">
        <f>'Balance Sheet'!K70-'Balance Sheet'!J70</f>
        <v>17.988215125672795</v>
      </c>
      <c r="K25" s="71">
        <f>'Balance Sheet'!L70-'Balance Sheet'!K70</f>
        <v>20.087259548383187</v>
      </c>
      <c r="L25" s="71">
        <f>'Balance Sheet'!M70-'Balance Sheet'!L70</f>
        <v>22.160186319493675</v>
      </c>
      <c r="M25" s="71">
        <f>'Balance Sheet'!N70-'Balance Sheet'!M70</f>
        <v>24.14305192157093</v>
      </c>
      <c r="N25" s="71">
        <f>'Balance Sheet'!O70-'Balance Sheet'!N70</f>
        <v>25.965477578169526</v>
      </c>
      <c r="O25" s="71">
        <f>'Balance Sheet'!P70-'Balance Sheet'!O70</f>
        <v>27.55310199172348</v>
      </c>
      <c r="P25" s="71">
        <f>'Balance Sheet'!Q70-'Balance Sheet'!P70</f>
        <v>28.830588961185271</v>
      </c>
      <c r="Q25" s="71">
        <f>'Balance Sheet'!R70-'Balance Sheet'!Q70</f>
        <v>29.725047966956481</v>
      </c>
    </row>
    <row r="26" spans="1:17" x14ac:dyDescent="0.15">
      <c r="B26" s="75" t="s">
        <v>82</v>
      </c>
      <c r="C26" s="67"/>
      <c r="D26" s="67"/>
      <c r="E26" s="67"/>
      <c r="F26" s="67"/>
      <c r="G26" s="67"/>
      <c r="H26" s="71"/>
      <c r="I26" s="71"/>
      <c r="J26" s="71"/>
      <c r="K26" s="71"/>
      <c r="L26" s="71"/>
      <c r="M26" s="71"/>
      <c r="N26" s="71"/>
      <c r="O26" s="71"/>
      <c r="P26" s="71"/>
      <c r="Q26" s="71"/>
    </row>
    <row r="27" spans="1:17" x14ac:dyDescent="0.15">
      <c r="B27" s="34" t="s">
        <v>6</v>
      </c>
      <c r="C27" s="67"/>
      <c r="D27" s="67">
        <f>-'Income Statement'!D28</f>
        <v>-36.08</v>
      </c>
      <c r="E27" s="67">
        <f>-'Income Statement'!E28</f>
        <v>-38.29</v>
      </c>
      <c r="F27" s="67">
        <f>-'Income Statement'!F28</f>
        <v>-16.010000000000002</v>
      </c>
      <c r="G27" s="67">
        <f>-'Income Statement'!G28</f>
        <v>-22.28</v>
      </c>
      <c r="H27" s="71">
        <f>-'Income Statement'!H28</f>
        <v>-48.776901603901898</v>
      </c>
      <c r="I27" s="71">
        <f>-'Income Statement'!I28</f>
        <v>-58.308593735396776</v>
      </c>
      <c r="J27" s="71">
        <f>-'Income Statement'!J28</f>
        <v>-69.079422927349313</v>
      </c>
      <c r="K27" s="71">
        <f>-'Income Statement'!K28</f>
        <v>-81.107099938019999</v>
      </c>
      <c r="L27" s="71">
        <f>-'Income Statement'!L28</f>
        <v>-94.375986263960172</v>
      </c>
      <c r="M27" s="71">
        <f>-'Income Statement'!M28</f>
        <v>-108.83215585071102</v>
      </c>
      <c r="N27" s="71">
        <f>-'Income Statement'!N28</f>
        <v>-124.37954184359879</v>
      </c>
      <c r="O27" s="71">
        <f>-'Income Statement'!O28</f>
        <v>-140.87755196789126</v>
      </c>
      <c r="P27" s="71">
        <f>-'Income Statement'!P28</f>
        <v>-158.14048478445139</v>
      </c>
      <c r="Q27" s="71">
        <f>-'Income Statement'!Q28</f>
        <v>-175.93899409390178</v>
      </c>
    </row>
    <row r="28" spans="1:17" x14ac:dyDescent="0.15">
      <c r="B28" s="34" t="s">
        <v>85</v>
      </c>
      <c r="C28" s="67"/>
      <c r="D28" s="67">
        <f>-'Income Statement'!D38</f>
        <v>-114.62</v>
      </c>
      <c r="E28" s="67">
        <f>-'Income Statement'!E38</f>
        <v>-117.1</v>
      </c>
      <c r="F28" s="67">
        <f>-'Income Statement'!F38</f>
        <v>-75.22</v>
      </c>
      <c r="G28" s="67">
        <f>-'Income Statement'!G38</f>
        <v>-83.23</v>
      </c>
      <c r="H28" s="71">
        <f ca="1">-'Income Statement'!H38</f>
        <v>-139.4626800349883</v>
      </c>
      <c r="I28" s="71">
        <f ca="1">-'Income Statement'!I38</f>
        <v>-168.96000331994284</v>
      </c>
      <c r="J28" s="71">
        <f ca="1">-'Income Statement'!J38</f>
        <v>-212.86851942270184</v>
      </c>
      <c r="K28" s="71">
        <f ca="1">-'Income Statement'!K38</f>
        <v>-251.55302266805299</v>
      </c>
      <c r="L28" s="71">
        <f ca="1">-'Income Statement'!L38</f>
        <v>-309.40801059305994</v>
      </c>
      <c r="M28" s="71">
        <f ca="1">-'Income Statement'!M38</f>
        <v>-358.82288721480654</v>
      </c>
      <c r="N28" s="71">
        <f ca="1">-'Income Statement'!N38</f>
        <v>-430.91544468028547</v>
      </c>
      <c r="O28" s="71">
        <f ca="1">-'Income Statement'!O38</f>
        <v>-489.97921158882082</v>
      </c>
      <c r="P28" s="71">
        <f ca="1">-'Income Statement'!P38</f>
        <v>-576.71893760569696</v>
      </c>
      <c r="Q28" s="71">
        <f ca="1">-'Income Statement'!Q38</f>
        <v>-642.71793027141882</v>
      </c>
    </row>
    <row r="29" spans="1:17" x14ac:dyDescent="0.15">
      <c r="B29" s="34" t="str">
        <f>'Income Statement'!B34</f>
        <v>Exceptional items</v>
      </c>
      <c r="C29" s="67"/>
      <c r="D29" s="67">
        <f>-'Income Statement'!D34</f>
        <v>0</v>
      </c>
      <c r="E29" s="67">
        <f>-'Income Statement'!E34</f>
        <v>-25.32</v>
      </c>
      <c r="F29" s="67">
        <f>-'Income Statement'!F34</f>
        <v>4.1100000000000003</v>
      </c>
      <c r="G29" s="67">
        <f>-'Income Statement'!G34</f>
        <v>-7.61</v>
      </c>
      <c r="H29" s="71">
        <f>-'Income Statement'!H34</f>
        <v>-14.709236838783257</v>
      </c>
      <c r="I29" s="71">
        <f>-'Income Statement'!I34</f>
        <v>-17.58362845502543</v>
      </c>
      <c r="J29" s="71">
        <f>-'Income Statement'!J34</f>
        <v>-20.831696133064185</v>
      </c>
      <c r="K29" s="71">
        <f>-'Income Statement'!K34</f>
        <v>-24.458780756171759</v>
      </c>
      <c r="L29" s="71">
        <f>-'Income Statement'!L34</f>
        <v>-28.460166353397426</v>
      </c>
      <c r="M29" s="71">
        <f>-'Income Statement'!M34</f>
        <v>-32.819590901514346</v>
      </c>
      <c r="N29" s="71">
        <f>-'Income Statement'!N34</f>
        <v>-37.508084333312681</v>
      </c>
      <c r="O29" s="71">
        <f>-'Income Statement'!O34</f>
        <v>-42.483249428002694</v>
      </c>
      <c r="P29" s="71">
        <f>-'Income Statement'!P34</f>
        <v>-47.6890857763794</v>
      </c>
      <c r="Q29" s="71">
        <f>-'Income Statement'!Q34</f>
        <v>-53.05643138877582</v>
      </c>
    </row>
    <row r="30" spans="1:17" x14ac:dyDescent="0.15">
      <c r="B30" s="73" t="s">
        <v>90</v>
      </c>
      <c r="C30" s="67"/>
      <c r="D30" s="67"/>
      <c r="E30" s="67"/>
      <c r="F30" s="67"/>
      <c r="G30" s="67"/>
      <c r="H30" s="71"/>
      <c r="I30" s="71"/>
      <c r="J30" s="71"/>
      <c r="K30" s="71"/>
      <c r="L30" s="71"/>
      <c r="M30" s="71"/>
      <c r="N30" s="71"/>
      <c r="O30" s="71"/>
      <c r="P30" s="71"/>
      <c r="Q30" s="71"/>
    </row>
    <row r="31" spans="1:17" x14ac:dyDescent="0.15">
      <c r="A31" s="4"/>
      <c r="B31" s="2" t="s">
        <v>261</v>
      </c>
      <c r="C31" s="250"/>
      <c r="D31" s="67">
        <f>'Balance Sheet'!D31-'Balance Sheet'!E31</f>
        <v>138.07999999999998</v>
      </c>
      <c r="E31" s="67">
        <f>'Balance Sheet'!E31-'Balance Sheet'!F31</f>
        <v>-0.94000000000000483</v>
      </c>
      <c r="F31" s="67">
        <f>'Balance Sheet'!F31-'Balance Sheet'!G31</f>
        <v>-20.96</v>
      </c>
      <c r="G31" s="67">
        <f>'Balance Sheet'!G31-'Balance Sheet'!H31</f>
        <v>-83.929999999999993</v>
      </c>
      <c r="H31" s="71">
        <f>'Balance Sheet'!H31-'Balance Sheet'!I31</f>
        <v>-29.039295050769198</v>
      </c>
      <c r="I31" s="71">
        <f>'Balance Sheet'!I31-'Balance Sheet'!J31</f>
        <v>-37.06990847161353</v>
      </c>
      <c r="J31" s="71">
        <f>'Balance Sheet'!J31-'Balance Sheet'!K31</f>
        <v>-41.889063012198335</v>
      </c>
      <c r="K31" s="71">
        <f>'Balance Sheet'!K31-'Balance Sheet'!L31</f>
        <v>-46.777096842905053</v>
      </c>
      <c r="L31" s="71">
        <f>'Balance Sheet'!L31-'Balance Sheet'!M31</f>
        <v>-51.60431063416064</v>
      </c>
      <c r="M31" s="71">
        <f>'Balance Sheet'!M31-'Balance Sheet'!N31</f>
        <v>-56.221799449467881</v>
      </c>
      <c r="N31" s="71">
        <f>'Balance Sheet'!N31-'Balance Sheet'!O31</f>
        <v>-60.465672598135825</v>
      </c>
      <c r="O31" s="71">
        <f>'Balance Sheet'!O31-'Balance Sheet'!P31</f>
        <v>-64.162765313251953</v>
      </c>
      <c r="P31" s="71">
        <f>'Balance Sheet'!P31-'Balance Sheet'!Q31</f>
        <v>-67.137642575236328</v>
      </c>
      <c r="Q31" s="71">
        <f>'Balance Sheet'!Q31-'Balance Sheet'!R31</f>
        <v>-69.220564610180304</v>
      </c>
    </row>
    <row r="32" spans="1:17" x14ac:dyDescent="0.15">
      <c r="B32" s="34" t="s">
        <v>216</v>
      </c>
      <c r="C32" s="67"/>
      <c r="D32" s="67">
        <f>'Balance Sheet'!D32-'Balance Sheet'!E32</f>
        <v>-60.69</v>
      </c>
      <c r="E32" s="67">
        <f>'Balance Sheet'!E32-'Balance Sheet'!F32</f>
        <v>-71.06</v>
      </c>
      <c r="F32" s="67">
        <f>'Balance Sheet'!F32-'Balance Sheet'!G32</f>
        <v>-54.67999999999995</v>
      </c>
      <c r="G32" s="67">
        <f>'Balance Sheet'!G32-'Balance Sheet'!H32</f>
        <v>-176.30000000000007</v>
      </c>
      <c r="H32" s="71">
        <f>'Balance Sheet'!H32-'Balance Sheet'!I32</f>
        <v>-94.124277157037682</v>
      </c>
      <c r="I32" s="71">
        <f>'Balance Sheet'!I32-'Balance Sheet'!J32</f>
        <v>-162.53256776027229</v>
      </c>
      <c r="J32" s="71">
        <f>'Balance Sheet'!J32-'Balance Sheet'!K32</f>
        <v>-183.66209287130982</v>
      </c>
      <c r="K32" s="71">
        <f>'Balance Sheet'!K32-'Balance Sheet'!L32</f>
        <v>-205.09361840130168</v>
      </c>
      <c r="L32" s="71">
        <f>'Balance Sheet'!L32-'Balance Sheet'!M32</f>
        <v>-226.25847919995635</v>
      </c>
      <c r="M32" s="71">
        <f>'Balance Sheet'!M32-'Balance Sheet'!N32</f>
        <v>-246.50380336445801</v>
      </c>
      <c r="N32" s="71">
        <f>'Balance Sheet'!N32-'Balance Sheet'!O32</f>
        <v>-265.11101413300003</v>
      </c>
      <c r="O32" s="71">
        <f>'Balance Sheet'!O32-'Balance Sheet'!P32</f>
        <v>-281.3208726681446</v>
      </c>
      <c r="P32" s="71">
        <f>'Balance Sheet'!P32-'Balance Sheet'!Q32</f>
        <v>-294.36418623694453</v>
      </c>
      <c r="Q32" s="71">
        <f>'Balance Sheet'!Q32-'Balance Sheet'!R32</f>
        <v>-303.49673284258688</v>
      </c>
    </row>
    <row r="33" spans="1:17" x14ac:dyDescent="0.15">
      <c r="B33" s="34" t="s">
        <v>24</v>
      </c>
      <c r="C33" s="67"/>
      <c r="D33" s="67">
        <f>'Balance Sheet'!D34-'Balance Sheet'!E34</f>
        <v>-4.67</v>
      </c>
      <c r="E33" s="67">
        <f>'Balance Sheet'!E34-'Balance Sheet'!F34</f>
        <v>1.7700000000000014</v>
      </c>
      <c r="F33" s="67">
        <f>'Balance Sheet'!F34-'Balance Sheet'!G34</f>
        <v>-7.4400000000000013</v>
      </c>
      <c r="G33" s="67">
        <f>'Balance Sheet'!G34-'Balance Sheet'!H34</f>
        <v>3.5400000000000009</v>
      </c>
      <c r="H33" s="71">
        <f>'Balance Sheet'!H34-'Balance Sheet'!I34</f>
        <v>-6.549740465554672</v>
      </c>
      <c r="I33" s="71">
        <f>'Balance Sheet'!I34-'Balance Sheet'!J34</f>
        <v>-4.3948113796908643</v>
      </c>
      <c r="J33" s="71">
        <f>'Balance Sheet'!J34-'Balance Sheet'!K34</f>
        <v>-4.9661447357380979</v>
      </c>
      <c r="K33" s="71">
        <f>'Balance Sheet'!K34-'Balance Sheet'!L34</f>
        <v>-5.5456440544362842</v>
      </c>
      <c r="L33" s="71">
        <f>'Balance Sheet'!L34-'Balance Sheet'!M34</f>
        <v>-6.1179328724207096</v>
      </c>
      <c r="M33" s="71">
        <f>'Balance Sheet'!M34-'Balance Sheet'!N34</f>
        <v>-6.6653578116176035</v>
      </c>
      <c r="N33" s="71">
        <f>'Balance Sheet'!N34-'Balance Sheet'!O34</f>
        <v>-7.1684888625618655</v>
      </c>
      <c r="O33" s="71">
        <f>'Balance Sheet'!O34-'Balance Sheet'!P34</f>
        <v>-7.606796530588781</v>
      </c>
      <c r="P33" s="71">
        <f>'Balance Sheet'!P34-'Balance Sheet'!Q34</f>
        <v>-7.9594821719402944</v>
      </c>
      <c r="Q33" s="71">
        <f>'Balance Sheet'!Q34-'Balance Sheet'!R34</f>
        <v>-8.2064223409237229</v>
      </c>
    </row>
    <row r="34" spans="1:17" x14ac:dyDescent="0.15">
      <c r="B34" s="34" t="s">
        <v>298</v>
      </c>
      <c r="C34" s="67"/>
      <c r="D34" s="67">
        <f>'Balance Sheet'!D35-'Balance Sheet'!E35</f>
        <v>0</v>
      </c>
      <c r="E34" s="67">
        <f>'Balance Sheet'!E35-'Balance Sheet'!F35</f>
        <v>-350.8</v>
      </c>
      <c r="F34" s="67">
        <f>'Balance Sheet'!F35-'Balance Sheet'!G35</f>
        <v>-2.0399999999999636</v>
      </c>
      <c r="G34" s="67">
        <f>'Balance Sheet'!G35-'Balance Sheet'!H35</f>
        <v>121.38999999999999</v>
      </c>
      <c r="H34" s="71">
        <f>'Balance Sheet'!H35-'Balance Sheet'!I35</f>
        <v>-31.516419249040609</v>
      </c>
      <c r="I34" s="71">
        <f>'Balance Sheet'!I35-'Balance Sheet'!J35</f>
        <v>-51.38733430749437</v>
      </c>
      <c r="J34" s="71">
        <f>'Balance Sheet'!J35-'Balance Sheet'!K35</f>
        <v>-58.067779867432648</v>
      </c>
      <c r="K34" s="71">
        <f>'Balance Sheet'!K35-'Balance Sheet'!L35</f>
        <v>-64.843707807940405</v>
      </c>
      <c r="L34" s="71">
        <f>'Balance Sheet'!L35-'Balance Sheet'!M35</f>
        <v>-71.535325324475366</v>
      </c>
      <c r="M34" s="71">
        <f>'Balance Sheet'!M35-'Balance Sheet'!N35</f>
        <v>-77.936216268001886</v>
      </c>
      <c r="N34" s="71">
        <f>'Balance Sheet'!N35-'Balance Sheet'!O35</f>
        <v>-83.81919082177501</v>
      </c>
      <c r="O34" s="71">
        <f>'Balance Sheet'!O35-'Balance Sheet'!P35</f>
        <v>-88.944203187612061</v>
      </c>
      <c r="P34" s="71">
        <f>'Balance Sheet'!P35-'Balance Sheet'!Q35</f>
        <v>-93.068060480176541</v>
      </c>
      <c r="Q34" s="71">
        <f>'Balance Sheet'!Q35-'Balance Sheet'!R35</f>
        <v>-95.955464721492035</v>
      </c>
    </row>
    <row r="35" spans="1:17" x14ac:dyDescent="0.15">
      <c r="B35" s="34" t="s">
        <v>26</v>
      </c>
      <c r="C35" s="67"/>
      <c r="D35" s="67">
        <f>'Balance Sheet'!D36-'Balance Sheet'!E36</f>
        <v>-103.62</v>
      </c>
      <c r="E35" s="67">
        <f>'Balance Sheet'!E36-'Balance Sheet'!F36</f>
        <v>177.45999999999998</v>
      </c>
      <c r="F35" s="67">
        <f>'Balance Sheet'!F36-'Balance Sheet'!G36</f>
        <v>-43.989999999999995</v>
      </c>
      <c r="G35" s="67">
        <f>'Balance Sheet'!G36-'Balance Sheet'!H36</f>
        <v>-68.25</v>
      </c>
      <c r="H35" s="71">
        <f>'Balance Sheet'!H36-'Balance Sheet'!I36</f>
        <v>-101.34994109728839</v>
      </c>
      <c r="I35" s="71">
        <f>'Balance Sheet'!I36-'Balance Sheet'!J36</f>
        <v>-62.546165065166974</v>
      </c>
      <c r="J35" s="71">
        <f>'Balance Sheet'!J36-'Balance Sheet'!K36</f>
        <v>-70.677278623237328</v>
      </c>
      <c r="K35" s="71">
        <f>'Balance Sheet'!K36-'Balance Sheet'!L36</f>
        <v>-78.924608692951836</v>
      </c>
      <c r="L35" s="71">
        <f>'Balance Sheet'!L36-'Balance Sheet'!M36</f>
        <v>-87.069320213454375</v>
      </c>
      <c r="M35" s="71">
        <f>'Balance Sheet'!M36-'Balance Sheet'!N36</f>
        <v>-94.860173483295171</v>
      </c>
      <c r="N35" s="71">
        <f>'Balance Sheet'!N36-'Balance Sheet'!O36</f>
        <v>-102.02064410262437</v>
      </c>
      <c r="O35" s="71">
        <f>'Balance Sheet'!O36-'Balance Sheet'!P36</f>
        <v>-108.25855999599503</v>
      </c>
      <c r="P35" s="71">
        <f>'Balance Sheet'!P36-'Balance Sheet'!Q36</f>
        <v>-113.27791860647505</v>
      </c>
      <c r="Q35" s="71">
        <f>'Balance Sheet'!Q36-'Balance Sheet'!R36</f>
        <v>-116.79232667455085</v>
      </c>
    </row>
    <row r="36" spans="1:17" x14ac:dyDescent="0.15">
      <c r="B36" s="34"/>
      <c r="C36" s="67"/>
      <c r="D36" s="67"/>
      <c r="E36" s="67"/>
      <c r="F36" s="67"/>
      <c r="G36" s="67"/>
      <c r="H36" s="71"/>
      <c r="I36" s="71"/>
      <c r="J36" s="71"/>
      <c r="K36" s="71"/>
      <c r="L36" s="71"/>
      <c r="M36" s="71"/>
      <c r="N36" s="71"/>
      <c r="O36" s="71"/>
      <c r="P36" s="71"/>
      <c r="Q36" s="71"/>
    </row>
    <row r="37" spans="1:17" s="4" customFormat="1" x14ac:dyDescent="0.15">
      <c r="A37" s="2"/>
      <c r="B37" s="76"/>
      <c r="C37" s="77"/>
      <c r="D37" s="78">
        <f t="shared" ref="D37:Q37" si="0">SUM(D13:D16,D27:D35)-SUM(D18:D25)</f>
        <v>196.75000000000003</v>
      </c>
      <c r="E37" s="78">
        <f t="shared" si="0"/>
        <v>211.68999999999988</v>
      </c>
      <c r="F37" s="78">
        <f t="shared" si="0"/>
        <v>-50.590000000000032</v>
      </c>
      <c r="G37" s="78">
        <f t="shared" si="0"/>
        <v>411.6599999999998</v>
      </c>
      <c r="H37" s="78">
        <f t="shared" ca="1" si="0"/>
        <v>-126.81942121121068</v>
      </c>
      <c r="I37" s="78">
        <f t="shared" ca="1" si="0"/>
        <v>144.49836445972448</v>
      </c>
      <c r="J37" s="78">
        <f t="shared" ca="1" si="0"/>
        <v>191.11827498014145</v>
      </c>
      <c r="K37" s="78">
        <f t="shared" ca="1" si="0"/>
        <v>261.46304019165751</v>
      </c>
      <c r="L37" s="78">
        <f t="shared" ca="1" si="0"/>
        <v>332.98030090357247</v>
      </c>
      <c r="M37" s="78">
        <f t="shared" ca="1" si="0"/>
        <v>434.83435673345133</v>
      </c>
      <c r="N37" s="78">
        <f t="shared" ca="1" si="0"/>
        <v>537.04469460851465</v>
      </c>
      <c r="O37" s="78">
        <f t="shared" ca="1" si="0"/>
        <v>675.90956846179552</v>
      </c>
      <c r="P37" s="78">
        <f t="shared" ca="1" si="0"/>
        <v>810.64875575091537</v>
      </c>
      <c r="Q37" s="78">
        <f t="shared" ca="1" si="0"/>
        <v>988.8309481164863</v>
      </c>
    </row>
    <row r="38" spans="1:17" x14ac:dyDescent="0.15">
      <c r="B38" s="34"/>
      <c r="C38" s="67"/>
      <c r="D38" s="67"/>
      <c r="E38" s="67"/>
      <c r="F38" s="67"/>
      <c r="G38" s="67"/>
      <c r="H38" s="71"/>
      <c r="I38" s="71"/>
      <c r="J38" s="71"/>
      <c r="K38" s="71"/>
      <c r="L38" s="71"/>
      <c r="M38" s="71"/>
      <c r="N38" s="71"/>
      <c r="O38" s="71"/>
      <c r="P38" s="71"/>
      <c r="Q38" s="71"/>
    </row>
    <row r="39" spans="1:17" x14ac:dyDescent="0.15">
      <c r="B39" s="73" t="s">
        <v>77</v>
      </c>
      <c r="C39" s="67"/>
      <c r="D39" s="67"/>
      <c r="E39" s="67"/>
      <c r="F39" s="67"/>
      <c r="G39" s="67"/>
      <c r="H39" s="71"/>
      <c r="I39" s="71"/>
      <c r="J39" s="71"/>
      <c r="K39" s="71"/>
      <c r="L39" s="71"/>
      <c r="M39" s="71"/>
      <c r="N39" s="71"/>
      <c r="O39" s="71"/>
      <c r="P39" s="71"/>
      <c r="Q39" s="71"/>
    </row>
    <row r="40" spans="1:17" x14ac:dyDescent="0.15">
      <c r="B40" s="74" t="s">
        <v>79</v>
      </c>
      <c r="C40" s="67"/>
      <c r="D40" s="67"/>
      <c r="E40" s="67"/>
      <c r="F40" s="67"/>
      <c r="G40" s="67"/>
      <c r="H40" s="71"/>
      <c r="I40" s="71"/>
      <c r="J40" s="71"/>
      <c r="K40" s="71"/>
      <c r="L40" s="71"/>
      <c r="M40" s="71"/>
      <c r="N40" s="71"/>
      <c r="O40" s="71"/>
      <c r="P40" s="71"/>
      <c r="Q40" s="71"/>
    </row>
    <row r="41" spans="1:17" x14ac:dyDescent="0.15">
      <c r="B41" s="34" t="s">
        <v>6</v>
      </c>
      <c r="C41" s="67"/>
      <c r="D41" s="67">
        <f>'Income Statement'!D28</f>
        <v>36.08</v>
      </c>
      <c r="E41" s="67">
        <f>'Income Statement'!E28</f>
        <v>38.29</v>
      </c>
      <c r="F41" s="67">
        <f>'Income Statement'!F28</f>
        <v>16.010000000000002</v>
      </c>
      <c r="G41" s="67">
        <f>'Income Statement'!G28</f>
        <v>22.28</v>
      </c>
      <c r="H41" s="71">
        <f>'Income Statement'!H28</f>
        <v>48.776901603901898</v>
      </c>
      <c r="I41" s="71">
        <f>'Income Statement'!I28</f>
        <v>58.308593735396776</v>
      </c>
      <c r="J41" s="71">
        <f>'Income Statement'!J28</f>
        <v>69.079422927349313</v>
      </c>
      <c r="K41" s="71">
        <f>'Income Statement'!K28</f>
        <v>81.107099938019999</v>
      </c>
      <c r="L41" s="71">
        <f>'Income Statement'!L28</f>
        <v>94.375986263960172</v>
      </c>
      <c r="M41" s="71">
        <f>'Income Statement'!M28</f>
        <v>108.83215585071102</v>
      </c>
      <c r="N41" s="71">
        <f>'Income Statement'!N28</f>
        <v>124.37954184359879</v>
      </c>
      <c r="O41" s="71">
        <f>'Income Statement'!O28</f>
        <v>140.87755196789126</v>
      </c>
      <c r="P41" s="71">
        <f>'Income Statement'!P28</f>
        <v>158.14048478445139</v>
      </c>
      <c r="Q41" s="71">
        <f>'Income Statement'!Q28</f>
        <v>175.93899409390178</v>
      </c>
    </row>
    <row r="42" spans="1:17" x14ac:dyDescent="0.15">
      <c r="B42" s="34" t="s">
        <v>262</v>
      </c>
      <c r="C42" s="67"/>
      <c r="D42" s="67">
        <f>'Income Statement'!D34</f>
        <v>0</v>
      </c>
      <c r="E42" s="67">
        <f>'Income Statement'!E34</f>
        <v>25.32</v>
      </c>
      <c r="F42" s="67">
        <f>'Income Statement'!F34</f>
        <v>-4.1100000000000003</v>
      </c>
      <c r="G42" s="67">
        <f>'Income Statement'!G34</f>
        <v>7.61</v>
      </c>
      <c r="H42" s="71">
        <f>'Income Statement'!H34</f>
        <v>14.709236838783257</v>
      </c>
      <c r="I42" s="71">
        <f>'Income Statement'!I34</f>
        <v>17.58362845502543</v>
      </c>
      <c r="J42" s="71">
        <f>'Income Statement'!J34</f>
        <v>20.831696133064185</v>
      </c>
      <c r="K42" s="71">
        <f>'Income Statement'!K34</f>
        <v>24.458780756171759</v>
      </c>
      <c r="L42" s="71">
        <f>'Income Statement'!L34</f>
        <v>28.460166353397426</v>
      </c>
      <c r="M42" s="71">
        <f>'Income Statement'!M34</f>
        <v>32.819590901514346</v>
      </c>
      <c r="N42" s="71">
        <f>'Income Statement'!N34</f>
        <v>37.508084333312681</v>
      </c>
      <c r="O42" s="71">
        <f>'Income Statement'!O34</f>
        <v>42.483249428002694</v>
      </c>
      <c r="P42" s="71">
        <f>'Income Statement'!P34</f>
        <v>47.6890857763794</v>
      </c>
      <c r="Q42" s="71">
        <f>'Income Statement'!Q34</f>
        <v>53.05643138877582</v>
      </c>
    </row>
    <row r="43" spans="1:17" x14ac:dyDescent="0.15">
      <c r="B43" s="75" t="s">
        <v>82</v>
      </c>
      <c r="C43" s="67"/>
      <c r="D43" s="67"/>
      <c r="E43" s="67"/>
      <c r="F43" s="67"/>
      <c r="G43" s="67"/>
      <c r="H43" s="71"/>
      <c r="I43" s="71"/>
      <c r="J43" s="71"/>
      <c r="K43" s="71"/>
      <c r="L43" s="71"/>
      <c r="M43" s="71"/>
      <c r="N43" s="71"/>
      <c r="O43" s="71"/>
      <c r="P43" s="71"/>
      <c r="Q43" s="71"/>
    </row>
    <row r="44" spans="1:17" x14ac:dyDescent="0.15">
      <c r="B44" s="245" t="s">
        <v>255</v>
      </c>
      <c r="C44" s="67"/>
      <c r="D44" s="67">
        <f>SUM('Balance Sheet'!D13:D14,'Balance Sheet'!D19)-SUM('Balance Sheet'!E13:E14,'Balance Sheet'!E19)+'Income Statement'!D24</f>
        <v>46.170000000000009</v>
      </c>
      <c r="E44" s="67">
        <f>SUM('Balance Sheet'!E13:E14,'Balance Sheet'!E19)-SUM('Balance Sheet'!F13:F14,'Balance Sheet'!F19)+'Income Statement'!E24</f>
        <v>-36.420000000000016</v>
      </c>
      <c r="F44" s="67">
        <f>SUM('Balance Sheet'!F13:F14,'Balance Sheet'!F19)-SUM('Balance Sheet'!G13:G14,'Balance Sheet'!G19)+'Income Statement'!F24</f>
        <v>89.890000000000015</v>
      </c>
      <c r="G44" s="67">
        <f>SUM('Balance Sheet'!G13:G14,'Balance Sheet'!G19)-SUM('Balance Sheet'!H13:H14,'Balance Sheet'!H19)+'Income Statement'!G24</f>
        <v>124.95999999999998</v>
      </c>
      <c r="H44" s="71">
        <f ca="1">SUM('Balance Sheet'!H13:H14,'Balance Sheet'!H19)-SUM('Balance Sheet'!I13:I14,'Balance Sheet'!I19)+'Income Statement'!H24</f>
        <v>75.184800000000081</v>
      </c>
      <c r="I44" s="71">
        <f ca="1">SUM('Balance Sheet'!I13:I14,'Balance Sheet'!I19)-SUM('Balance Sheet'!J13:J14,'Balance Sheet'!J19)+'Income Statement'!I24</f>
        <v>79.244799999999998</v>
      </c>
      <c r="J44" s="71">
        <f ca="1">SUM('Balance Sheet'!J13:J14,'Balance Sheet'!J19)-SUM('Balance Sheet'!K13:K14,'Balance Sheet'!K19)+'Income Statement'!J24</f>
        <v>79.244799999999998</v>
      </c>
      <c r="K44" s="71">
        <f ca="1">SUM('Balance Sheet'!K13:K14,'Balance Sheet'!K19)-SUM('Balance Sheet'!L13:L14,'Balance Sheet'!L19)+'Income Statement'!K24</f>
        <v>82.411392000000035</v>
      </c>
      <c r="L44" s="71">
        <f ca="1">SUM('Balance Sheet'!L13:L14,'Balance Sheet'!L19)-SUM('Balance Sheet'!M13:M14,'Balance Sheet'!M19)+'Income Statement'!L24</f>
        <v>82.411392000000006</v>
      </c>
      <c r="M44" s="71">
        <f ca="1">SUM('Balance Sheet'!M13:M14,'Balance Sheet'!M19)-SUM('Balance Sheet'!N13:N14,'Balance Sheet'!N19)+'Income Statement'!M24</f>
        <v>82.411391999999978</v>
      </c>
      <c r="N44" s="71">
        <f ca="1">SUM('Balance Sheet'!N13:N14,'Balance Sheet'!N19)-SUM('Balance Sheet'!O13:O14,'Balance Sheet'!O19)+'Income Statement'!N24</f>
        <v>85.704647679999965</v>
      </c>
      <c r="O44" s="71">
        <f ca="1">SUM('Balance Sheet'!O13:O14,'Balance Sheet'!O19)-SUM('Balance Sheet'!P13:P14,'Balance Sheet'!P19)+'Income Statement'!O24</f>
        <v>85.704647680000036</v>
      </c>
      <c r="P44" s="71">
        <f ca="1">SUM('Balance Sheet'!P13:P14,'Balance Sheet'!P19)-SUM('Balance Sheet'!Q13:Q14,'Balance Sheet'!Q19)+'Income Statement'!P24</f>
        <v>85.704647680000008</v>
      </c>
      <c r="Q44" s="71">
        <f ca="1">SUM('Balance Sheet'!Q13:Q14,'Balance Sheet'!Q19)-SUM('Balance Sheet'!R13:R14,'Balance Sheet'!R19)+'Income Statement'!Q24</f>
        <v>89.12963358719999</v>
      </c>
    </row>
    <row r="45" spans="1:17" x14ac:dyDescent="0.15">
      <c r="B45" s="34" t="s">
        <v>254</v>
      </c>
      <c r="C45" s="67"/>
      <c r="D45" s="67">
        <f>'Balance Sheet'!D15-'Balance Sheet'!E15</f>
        <v>-2.8099999999999996</v>
      </c>
      <c r="E45" s="67">
        <f>'Balance Sheet'!E15-'Balance Sheet'!F15</f>
        <v>-2.3100000000000005</v>
      </c>
      <c r="F45" s="67">
        <f>'Balance Sheet'!F15-'Balance Sheet'!G15</f>
        <v>5.7200000000000006</v>
      </c>
      <c r="G45" s="67">
        <f>'Balance Sheet'!G15-'Balance Sheet'!H15</f>
        <v>-0.87000000000000011</v>
      </c>
      <c r="H45" s="71">
        <f>'Balance Sheet'!H15-'Balance Sheet'!I15</f>
        <v>-25.364000000000001</v>
      </c>
      <c r="I45" s="71">
        <f>'Balance Sheet'!I15-'Balance Sheet'!J15</f>
        <v>-2.6371199999999995</v>
      </c>
      <c r="J45" s="71">
        <f>'Balance Sheet'!J15-'Balance Sheet'!K15</f>
        <v>-2.6503055999999994</v>
      </c>
      <c r="K45" s="71">
        <f>'Balance Sheet'!K15-'Balance Sheet'!L15</f>
        <v>-2.6635571280000008</v>
      </c>
      <c r="L45" s="71">
        <f>'Balance Sheet'!L15-'Balance Sheet'!M15</f>
        <v>-2.676874913639999</v>
      </c>
      <c r="M45" s="71">
        <f>'Balance Sheet'!M15-'Balance Sheet'!N15</f>
        <v>-2.6902592882081962</v>
      </c>
      <c r="N45" s="71">
        <f>'Balance Sheet'!N15-'Balance Sheet'!O15</f>
        <v>-2.7037105846492366</v>
      </c>
      <c r="O45" s="71">
        <f>'Balance Sheet'!O15-'Balance Sheet'!P15</f>
        <v>-2.7172291375724882</v>
      </c>
      <c r="P45" s="71">
        <f>'Balance Sheet'!P15-'Balance Sheet'!Q15</f>
        <v>-2.7308152832603483</v>
      </c>
      <c r="Q45" s="71">
        <f>'Balance Sheet'!Q15-'Balance Sheet'!R15</f>
        <v>-2.7444693596766498</v>
      </c>
    </row>
    <row r="46" spans="1:17" x14ac:dyDescent="0.15">
      <c r="B46" s="75" t="s">
        <v>82</v>
      </c>
      <c r="C46" s="67"/>
      <c r="D46" s="67"/>
      <c r="E46" s="67"/>
      <c r="F46" s="67"/>
      <c r="G46" s="67"/>
      <c r="H46" s="71"/>
      <c r="I46" s="71"/>
      <c r="J46" s="71"/>
      <c r="K46" s="71"/>
      <c r="L46" s="71"/>
      <c r="M46" s="71"/>
      <c r="N46" s="71"/>
      <c r="O46" s="71"/>
      <c r="P46" s="71"/>
      <c r="Q46" s="71"/>
    </row>
    <row r="47" spans="1:17" x14ac:dyDescent="0.15">
      <c r="B47" s="73" t="s">
        <v>349</v>
      </c>
      <c r="C47" s="67"/>
      <c r="D47" s="67"/>
      <c r="E47" s="67"/>
      <c r="F47" s="67"/>
      <c r="G47" s="67"/>
      <c r="H47" s="71"/>
      <c r="I47" s="71"/>
      <c r="J47" s="71"/>
      <c r="K47" s="71"/>
      <c r="L47" s="71"/>
      <c r="M47" s="71"/>
      <c r="N47" s="71"/>
      <c r="O47" s="71"/>
      <c r="P47" s="71"/>
      <c r="Q47" s="71"/>
    </row>
    <row r="48" spans="1:17" x14ac:dyDescent="0.15">
      <c r="A48" s="4"/>
      <c r="B48" s="34" t="s">
        <v>261</v>
      </c>
      <c r="C48" s="67"/>
      <c r="D48" s="67">
        <f>'Balance Sheet'!D21-'Balance Sheet'!E21</f>
        <v>30.419999999999998</v>
      </c>
      <c r="E48" s="67">
        <f>'Balance Sheet'!E21-'Balance Sheet'!F21</f>
        <v>-2.17</v>
      </c>
      <c r="F48" s="67">
        <f>'Balance Sheet'!F21-'Balance Sheet'!G21</f>
        <v>-4.1399999999999988</v>
      </c>
      <c r="G48" s="67">
        <f>'Balance Sheet'!G21-'Balance Sheet'!H21</f>
        <v>-0.2900000000000027</v>
      </c>
      <c r="H48" s="71">
        <f>'Balance Sheet'!H21-'Balance Sheet'!I21</f>
        <v>-19.263910686549846</v>
      </c>
      <c r="I48" s="71">
        <f>'Balance Sheet'!I21-'Balance Sheet'!J21</f>
        <v>-7.1587810368205211</v>
      </c>
      <c r="J48" s="71">
        <f>'Balance Sheet'!J21-'Balance Sheet'!K21</f>
        <v>-8.0894354020737822</v>
      </c>
      <c r="K48" s="71">
        <f>'Balance Sheet'!K21-'Balance Sheet'!L21</f>
        <v>-9.0333914391218926</v>
      </c>
      <c r="L48" s="71">
        <f>'Balance Sheet'!L21-'Balance Sheet'!M21</f>
        <v>-9.9656021721476122</v>
      </c>
      <c r="M48" s="71">
        <f>'Balance Sheet'!M21-'Balance Sheet'!N21</f>
        <v>-10.857311721257091</v>
      </c>
      <c r="N48" s="71">
        <f>'Balance Sheet'!N21-'Balance Sheet'!O21</f>
        <v>-11.676870222261215</v>
      </c>
      <c r="O48" s="71">
        <f>'Balance Sheet'!O21-'Balance Sheet'!P21</f>
        <v>-12.390836841321189</v>
      </c>
      <c r="P48" s="71">
        <f>'Balance Sheet'!P21-'Balance Sheet'!Q21</f>
        <v>-12.965332323182736</v>
      </c>
      <c r="Q48" s="71">
        <f>'Balance Sheet'!Q21-'Balance Sheet'!R21</f>
        <v>-13.367577253901942</v>
      </c>
    </row>
    <row r="49" spans="1:17" x14ac:dyDescent="0.15">
      <c r="B49" s="34" t="s">
        <v>24</v>
      </c>
      <c r="C49" s="67"/>
      <c r="D49" s="67">
        <f>'Balance Sheet'!D22-'Balance Sheet'!E22</f>
        <v>-15.220000000000002</v>
      </c>
      <c r="E49" s="67">
        <f>'Balance Sheet'!E22-'Balance Sheet'!F22</f>
        <v>10.260000000000002</v>
      </c>
      <c r="F49" s="67">
        <f>'Balance Sheet'!F22-'Balance Sheet'!G22</f>
        <v>-4.34</v>
      </c>
      <c r="G49" s="67">
        <f>'Balance Sheet'!G22-'Balance Sheet'!H22</f>
        <v>15.120000000000001</v>
      </c>
      <c r="H49" s="71">
        <f>'Balance Sheet'!H22-'Balance Sheet'!I22</f>
        <v>-32.28140076029166</v>
      </c>
      <c r="I49" s="71">
        <f>'Balance Sheet'!I22-'Balance Sheet'!J22</f>
        <v>-10.318135830885161</v>
      </c>
      <c r="J49" s="71">
        <f>'Balance Sheet'!J22-'Balance Sheet'!K22</f>
        <v>-11.659511981782799</v>
      </c>
      <c r="K49" s="71">
        <f>'Balance Sheet'!K22-'Balance Sheet'!L22</f>
        <v>-13.020060175469752</v>
      </c>
      <c r="L49" s="71">
        <f>'Balance Sheet'!L22-'Balance Sheet'!M22</f>
        <v>-14.363679559397752</v>
      </c>
      <c r="M49" s="71">
        <f>'Balance Sheet'!M22-'Balance Sheet'!N22</f>
        <v>-15.648923541869863</v>
      </c>
      <c r="N49" s="71">
        <f>'Balance Sheet'!N22-'Balance Sheet'!O22</f>
        <v>-16.830174356948987</v>
      </c>
      <c r="O49" s="71">
        <f>'Balance Sheet'!O22-'Balance Sheet'!P22</f>
        <v>-17.859232867928455</v>
      </c>
      <c r="P49" s="71">
        <f>'Balance Sheet'!P22-'Balance Sheet'!Q22</f>
        <v>-18.687268030002627</v>
      </c>
      <c r="Q49" s="71">
        <f>'Balance Sheet'!Q22-'Balance Sheet'!R22</f>
        <v>-19.267034028026416</v>
      </c>
    </row>
    <row r="50" spans="1:17" x14ac:dyDescent="0.15">
      <c r="A50" s="66"/>
      <c r="B50" s="34" t="s">
        <v>249</v>
      </c>
      <c r="C50" s="67"/>
      <c r="D50" s="67">
        <f>'Balance Sheet'!D23-'Balance Sheet'!E23</f>
        <v>-17.299999999999997</v>
      </c>
      <c r="E50" s="67">
        <f>'Balance Sheet'!E23-'Balance Sheet'!F23</f>
        <v>-34.349999999999994</v>
      </c>
      <c r="F50" s="67">
        <f>'Balance Sheet'!F23-'Balance Sheet'!G23</f>
        <v>-2.75</v>
      </c>
      <c r="G50" s="67">
        <f>'Balance Sheet'!G23-'Balance Sheet'!H23</f>
        <v>-47.03</v>
      </c>
      <c r="H50" s="71">
        <f>'Balance Sheet'!H23-'Balance Sheet'!I23</f>
        <v>3.0984613770158376</v>
      </c>
      <c r="I50" s="71">
        <f>'Balance Sheet'!I23-'Balance Sheet'!J23</f>
        <v>-29.6113924187934</v>
      </c>
      <c r="J50" s="71">
        <f>'Balance Sheet'!J23-'Balance Sheet'!K23</f>
        <v>-33.460926504838937</v>
      </c>
      <c r="K50" s="71">
        <f>'Balance Sheet'!K23-'Balance Sheet'!L23</f>
        <v>-37.365481274059164</v>
      </c>
      <c r="L50" s="71">
        <f>'Balance Sheet'!L23-'Balance Sheet'!M23</f>
        <v>-41.221453078568402</v>
      </c>
      <c r="M50" s="71">
        <f>'Balance Sheet'!M23-'Balance Sheet'!N23</f>
        <v>-44.909896857817444</v>
      </c>
      <c r="N50" s="71">
        <f>'Balance Sheet'!N23-'Balance Sheet'!O23</f>
        <v>-48.299896951208893</v>
      </c>
      <c r="O50" s="71">
        <f>'Balance Sheet'!O23-'Balance Sheet'!P23</f>
        <v>-51.253129578686242</v>
      </c>
      <c r="P50" s="71">
        <f>'Balance Sheet'!P23-'Balance Sheet'!Q23</f>
        <v>-53.629457485452463</v>
      </c>
      <c r="Q50" s="71">
        <f>'Balance Sheet'!Q23-'Balance Sheet'!R23</f>
        <v>-55.29329277119939</v>
      </c>
    </row>
    <row r="51" spans="1:17" x14ac:dyDescent="0.15">
      <c r="A51" s="66"/>
      <c r="B51" s="34" t="s">
        <v>297</v>
      </c>
      <c r="C51" s="67"/>
      <c r="D51" s="67">
        <f>'Balance Sheet'!D24-'Balance Sheet'!E24</f>
        <v>-3.22</v>
      </c>
      <c r="E51" s="67">
        <f>'Balance Sheet'!E24-'Balance Sheet'!F24</f>
        <v>-9.9999999999997868E-3</v>
      </c>
      <c r="F51" s="67">
        <f>'Balance Sheet'!F24-'Balance Sheet'!G24</f>
        <v>-25.77</v>
      </c>
      <c r="G51" s="67">
        <f>'Balance Sheet'!G24-'Balance Sheet'!H24</f>
        <v>6.93</v>
      </c>
      <c r="H51" s="71">
        <f>'Balance Sheet'!H24-'Balance Sheet'!I24</f>
        <v>6.741390158284851</v>
      </c>
      <c r="I51" s="71">
        <f>'Balance Sheet'!I24-'Balance Sheet'!J24</f>
        <v>-2.9954258062866259</v>
      </c>
      <c r="J51" s="71">
        <f>'Balance Sheet'!J24-'Balance Sheet'!K24</f>
        <v>-3.3848365297149066</v>
      </c>
      <c r="K51" s="71">
        <f>'Balance Sheet'!K24-'Balance Sheet'!L24</f>
        <v>-3.7798130290421952</v>
      </c>
      <c r="L51" s="71">
        <f>'Balance Sheet'!L24-'Balance Sheet'!M24</f>
        <v>-4.169874978449549</v>
      </c>
      <c r="M51" s="71">
        <f>'Balance Sheet'!M24-'Balance Sheet'!N24</f>
        <v>-4.5429901472717908</v>
      </c>
      <c r="N51" s="71">
        <f>'Balance Sheet'!N24-'Balance Sheet'!O24</f>
        <v>-4.8859153842699143</v>
      </c>
      <c r="O51" s="71">
        <f>'Balance Sheet'!O24-'Balance Sheet'!P24</f>
        <v>-5.1846581485142167</v>
      </c>
      <c r="P51" s="71">
        <f>'Balance Sheet'!P24-'Balance Sheet'!Q24</f>
        <v>-5.4250424518071938</v>
      </c>
      <c r="Q51" s="71">
        <f>'Balance Sheet'!Q24-'Balance Sheet'!R24</f>
        <v>-5.5933525090260332</v>
      </c>
    </row>
    <row r="52" spans="1:17" x14ac:dyDescent="0.15">
      <c r="B52" s="34" t="s">
        <v>23</v>
      </c>
      <c r="C52" s="67"/>
      <c r="D52" s="67">
        <f>'Balance Sheet'!D25-'Balance Sheet'!E25</f>
        <v>-0.21999999999999997</v>
      </c>
      <c r="E52" s="67">
        <f>'Balance Sheet'!E25-'Balance Sheet'!F25</f>
        <v>6.0000000000000053E-2</v>
      </c>
      <c r="F52" s="67">
        <f>'Balance Sheet'!F25-'Balance Sheet'!G25</f>
        <v>-3.0000000000000027E-2</v>
      </c>
      <c r="G52" s="67">
        <f>'Balance Sheet'!G25-'Balance Sheet'!H25</f>
        <v>-5.0000000000000044E-2</v>
      </c>
      <c r="H52" s="71">
        <f>'Balance Sheet'!H25-'Balance Sheet'!I25</f>
        <v>-0.89850004496864977</v>
      </c>
      <c r="I52" s="71">
        <f>'Balance Sheet'!I25-'Balance Sheet'!J25</f>
        <v>-0.47847132239177759</v>
      </c>
      <c r="J52" s="71">
        <f>'Balance Sheet'!J25-'Balance Sheet'!K25</f>
        <v>-0.54067345185237814</v>
      </c>
      <c r="K52" s="71">
        <f>'Balance Sheet'!K25-'Balance Sheet'!L25</f>
        <v>-0.60376462491704741</v>
      </c>
      <c r="L52" s="71">
        <f>'Balance Sheet'!L25-'Balance Sheet'!M25</f>
        <v>-0.66607077730311381</v>
      </c>
      <c r="M52" s="71">
        <f>'Balance Sheet'!M25-'Balance Sheet'!N25</f>
        <v>-0.72566995277129998</v>
      </c>
      <c r="N52" s="71">
        <f>'Balance Sheet'!N25-'Balance Sheet'!O25</f>
        <v>-0.78044676990482476</v>
      </c>
      <c r="O52" s="71">
        <f>'Balance Sheet'!O25-'Balance Sheet'!P25</f>
        <v>-0.82816614427989776</v>
      </c>
      <c r="P52" s="71">
        <f>'Balance Sheet'!P25-'Balance Sheet'!Q25</f>
        <v>-0.8665636887082826</v>
      </c>
      <c r="Q52" s="71">
        <f>'Balance Sheet'!Q25-'Balance Sheet'!R25</f>
        <v>-0.89344852607608338</v>
      </c>
    </row>
    <row r="53" spans="1:17" x14ac:dyDescent="0.15">
      <c r="B53" s="34"/>
      <c r="C53" s="67"/>
      <c r="D53" s="67"/>
      <c r="E53" s="67"/>
      <c r="F53" s="67"/>
      <c r="G53" s="67"/>
      <c r="H53" s="71"/>
      <c r="I53" s="71"/>
      <c r="J53" s="71"/>
      <c r="K53" s="71"/>
      <c r="L53" s="71"/>
      <c r="M53" s="71"/>
      <c r="N53" s="71"/>
      <c r="O53" s="71"/>
      <c r="P53" s="71"/>
      <c r="Q53" s="71"/>
    </row>
    <row r="54" spans="1:17" s="4" customFormat="1" x14ac:dyDescent="0.15">
      <c r="A54" s="2"/>
      <c r="B54" s="76"/>
      <c r="C54" s="77"/>
      <c r="D54" s="78">
        <f t="shared" ref="D54:Q54" si="1">SUM(D41:D52)</f>
        <v>73.900000000000006</v>
      </c>
      <c r="E54" s="78">
        <f t="shared" si="1"/>
        <v>-1.3300000000000094</v>
      </c>
      <c r="F54" s="78">
        <f t="shared" si="1"/>
        <v>70.480000000000018</v>
      </c>
      <c r="G54" s="78">
        <f t="shared" si="1"/>
        <v>128.65999999999997</v>
      </c>
      <c r="H54" s="78">
        <f t="shared" ca="1" si="1"/>
        <v>70.702978486175752</v>
      </c>
      <c r="I54" s="78">
        <f t="shared" ca="1" si="1"/>
        <v>101.93769577524472</v>
      </c>
      <c r="J54" s="78">
        <f t="shared" ca="1" si="1"/>
        <v>109.37022959015071</v>
      </c>
      <c r="K54" s="78">
        <f t="shared" ca="1" si="1"/>
        <v>121.51120502358175</v>
      </c>
      <c r="L54" s="78">
        <f t="shared" ca="1" si="1"/>
        <v>132.1839891378512</v>
      </c>
      <c r="M54" s="78">
        <f t="shared" ca="1" si="1"/>
        <v>144.68808724302968</v>
      </c>
      <c r="N54" s="78">
        <f t="shared" ca="1" si="1"/>
        <v>162.41525958766837</v>
      </c>
      <c r="O54" s="78">
        <f t="shared" ca="1" si="1"/>
        <v>178.83219635759153</v>
      </c>
      <c r="P54" s="78">
        <f t="shared" ca="1" si="1"/>
        <v>197.22973897841709</v>
      </c>
      <c r="Q54" s="78">
        <f t="shared" ca="1" si="1"/>
        <v>220.96588462197107</v>
      </c>
    </row>
    <row r="55" spans="1:17" x14ac:dyDescent="0.15">
      <c r="B55" s="34"/>
      <c r="C55" s="67"/>
      <c r="D55" s="67"/>
      <c r="E55" s="67"/>
      <c r="F55" s="67"/>
      <c r="G55" s="67"/>
      <c r="H55" s="71"/>
      <c r="I55" s="71"/>
      <c r="J55" s="71"/>
      <c r="K55" s="71"/>
      <c r="L55" s="71"/>
      <c r="M55" s="71"/>
      <c r="N55" s="71"/>
      <c r="O55" s="71"/>
      <c r="P55" s="71"/>
      <c r="Q55" s="71"/>
    </row>
    <row r="56" spans="1:17" s="66" customFormat="1" x14ac:dyDescent="0.15">
      <c r="A56" s="2"/>
      <c r="B56" s="73" t="s">
        <v>83</v>
      </c>
      <c r="C56" s="68"/>
      <c r="D56" s="68"/>
      <c r="E56" s="68"/>
      <c r="F56" s="68"/>
      <c r="G56" s="68"/>
      <c r="H56" s="72"/>
      <c r="I56" s="72"/>
      <c r="J56" s="72"/>
      <c r="K56" s="72"/>
      <c r="L56" s="72"/>
      <c r="M56" s="72"/>
      <c r="N56" s="72"/>
      <c r="O56" s="72"/>
      <c r="P56" s="72"/>
      <c r="Q56" s="72"/>
    </row>
    <row r="57" spans="1:17" s="66" customFormat="1" x14ac:dyDescent="0.15">
      <c r="A57" s="2"/>
      <c r="B57" s="73"/>
      <c r="C57" s="68"/>
      <c r="D57" s="68"/>
      <c r="E57" s="68"/>
      <c r="F57" s="68"/>
      <c r="G57" s="68"/>
      <c r="H57" s="72"/>
      <c r="I57" s="72"/>
      <c r="J57" s="72"/>
      <c r="K57" s="72"/>
      <c r="L57" s="72"/>
      <c r="M57" s="72"/>
      <c r="N57" s="72"/>
      <c r="O57" s="72"/>
      <c r="P57" s="72"/>
      <c r="Q57" s="72"/>
    </row>
    <row r="58" spans="1:17" x14ac:dyDescent="0.15">
      <c r="B58" s="73" t="s">
        <v>84</v>
      </c>
      <c r="C58" s="67"/>
      <c r="D58" s="67"/>
      <c r="E58" s="67"/>
      <c r="F58" s="67"/>
      <c r="G58" s="67"/>
      <c r="H58" s="71"/>
      <c r="I58" s="71"/>
      <c r="J58" s="71"/>
      <c r="K58" s="71"/>
      <c r="L58" s="71"/>
      <c r="M58" s="71"/>
      <c r="N58" s="71"/>
      <c r="O58" s="71"/>
      <c r="P58" s="71"/>
      <c r="Q58" s="71"/>
    </row>
    <row r="59" spans="1:17" x14ac:dyDescent="0.15">
      <c r="B59" s="34" t="s">
        <v>32</v>
      </c>
      <c r="C59" s="67"/>
      <c r="D59" s="67">
        <f>'Balance Sheet'!E53-'Balance Sheet'!D53</f>
        <v>-69.440000000000012</v>
      </c>
      <c r="E59" s="67">
        <f>'Balance Sheet'!F53-'Balance Sheet'!E53</f>
        <v>148.24</v>
      </c>
      <c r="F59" s="67">
        <f>'Balance Sheet'!G53-'Balance Sheet'!F53</f>
        <v>44.259999999999991</v>
      </c>
      <c r="G59" s="67">
        <f>'Balance Sheet'!H53-'Balance Sheet'!G53</f>
        <v>65.930000000000007</v>
      </c>
      <c r="H59" s="71">
        <f>'Balance Sheet'!I53-'Balance Sheet'!H53</f>
        <v>18.44185756748675</v>
      </c>
      <c r="I59" s="71">
        <f>'Balance Sheet'!J53-'Balance Sheet'!I53</f>
        <v>77.71067023637579</v>
      </c>
      <c r="J59" s="71">
        <f>'Balance Sheet'!K53-'Balance Sheet'!J53</f>
        <v>87.813196645586913</v>
      </c>
      <c r="K59" s="71">
        <f>'Balance Sheet'!L53-'Balance Sheet'!K53</f>
        <v>98.060116607991858</v>
      </c>
      <c r="L59" s="71">
        <f>'Balance Sheet'!M53-'Balance Sheet'!L53</f>
        <v>108.17953784637996</v>
      </c>
      <c r="M59" s="71">
        <f>'Balance Sheet'!N53-'Balance Sheet'!M53</f>
        <v>117.85930684071855</v>
      </c>
      <c r="N59" s="71">
        <f>'Balance Sheet'!O53-'Balance Sheet'!N53</f>
        <v>126.75585502166916</v>
      </c>
      <c r="O59" s="71">
        <f>'Balance Sheet'!P53-'Balance Sheet'!O53</f>
        <v>134.50617231845172</v>
      </c>
      <c r="P59" s="71">
        <f>'Balance Sheet'!Q53-'Balance Sheet'!P53</f>
        <v>140.74248946708462</v>
      </c>
      <c r="Q59" s="71">
        <f>'Balance Sheet'!R53-'Balance Sheet'!Q53</f>
        <v>145.10897630396335</v>
      </c>
    </row>
    <row r="60" spans="1:17" x14ac:dyDescent="0.15">
      <c r="B60" s="34" t="s">
        <v>217</v>
      </c>
      <c r="C60" s="67"/>
      <c r="D60" s="67">
        <f>'Balance Sheet'!E54-'Balance Sheet'!D54</f>
        <v>1.1799999999999988</v>
      </c>
      <c r="E60" s="67">
        <f>'Balance Sheet'!F54-'Balance Sheet'!E54</f>
        <v>14.45</v>
      </c>
      <c r="F60" s="67">
        <f>'Balance Sheet'!G54-'Balance Sheet'!F54</f>
        <v>-0.93999999999999773</v>
      </c>
      <c r="G60" s="67">
        <f>'Balance Sheet'!H54-'Balance Sheet'!G54</f>
        <v>-5.16</v>
      </c>
      <c r="H60" s="71">
        <f>'Balance Sheet'!I54-'Balance Sheet'!H54</f>
        <v>6.857753015582297</v>
      </c>
      <c r="I60" s="71">
        <f>'Balance Sheet'!J54-'Balance Sheet'!I54</f>
        <v>4.5429376858130794</v>
      </c>
      <c r="J60" s="71">
        <f>'Balance Sheet'!K54-'Balance Sheet'!J54</f>
        <v>5.1335277271384925</v>
      </c>
      <c r="K60" s="71">
        <f>'Balance Sheet'!L54-'Balance Sheet'!K54</f>
        <v>5.7325589633783025</v>
      </c>
      <c r="L60" s="71">
        <f>'Balance Sheet'!M54-'Balance Sheet'!L54</f>
        <v>6.3241366703090947</v>
      </c>
      <c r="M60" s="71">
        <f>'Balance Sheet'!N54-'Balance Sheet'!M54</f>
        <v>6.8900124660085353</v>
      </c>
      <c r="N60" s="71">
        <f>'Balance Sheet'!O54-'Balance Sheet'!N54</f>
        <v>7.4101014561299223</v>
      </c>
      <c r="O60" s="71">
        <f>'Balance Sheet'!P54-'Balance Sheet'!O54</f>
        <v>7.8631822031813243</v>
      </c>
      <c r="P60" s="71">
        <f>'Balance Sheet'!Q54-'Balance Sheet'!P54</f>
        <v>8.2277550489569364</v>
      </c>
      <c r="Q60" s="71">
        <f>'Balance Sheet'!R54-'Balance Sheet'!Q54</f>
        <v>8.4830182907424643</v>
      </c>
    </row>
    <row r="61" spans="1:17" x14ac:dyDescent="0.15">
      <c r="B61" s="34" t="s">
        <v>218</v>
      </c>
      <c r="C61" s="67"/>
      <c r="D61" s="67">
        <f>'Balance Sheet'!E55-'Balance Sheet'!D55</f>
        <v>-47.150000000000006</v>
      </c>
      <c r="E61" s="67">
        <f>'Balance Sheet'!F55-'Balance Sheet'!E55</f>
        <v>39.000000000000028</v>
      </c>
      <c r="F61" s="67">
        <f>'Balance Sheet'!G55-'Balance Sheet'!F55</f>
        <v>-177.36</v>
      </c>
      <c r="G61" s="67">
        <f>'Balance Sheet'!H55-'Balance Sheet'!G55</f>
        <v>-98.490000000000009</v>
      </c>
      <c r="H61" s="71">
        <f>'Balance Sheet'!I55-'Balance Sheet'!H55</f>
        <v>340.31909829447994</v>
      </c>
      <c r="I61" s="71">
        <f>'Balance Sheet'!J55-'Balance Sheet'!I55</f>
        <v>66.565667480471461</v>
      </c>
      <c r="J61" s="71">
        <f>'Balance Sheet'!K55-'Balance Sheet'!J55</f>
        <v>75.219323556563836</v>
      </c>
      <c r="K61" s="71">
        <f>'Balance Sheet'!L55-'Balance Sheet'!K55</f>
        <v>83.996664748471062</v>
      </c>
      <c r="L61" s="71">
        <f>'Balance Sheet'!M55-'Balance Sheet'!L55</f>
        <v>92.664792654206849</v>
      </c>
      <c r="M61" s="71">
        <f>'Balance Sheet'!N55-'Balance Sheet'!M55</f>
        <v>100.95632176089191</v>
      </c>
      <c r="N61" s="71">
        <f>'Balance Sheet'!O55-'Balance Sheet'!N55</f>
        <v>108.57695694697168</v>
      </c>
      <c r="O61" s="71">
        <f>'Balance Sheet'!P55-'Balance Sheet'!O55</f>
        <v>115.21574982414688</v>
      </c>
      <c r="P61" s="71">
        <f>'Balance Sheet'!Q55-'Balance Sheet'!P55</f>
        <v>120.55767535838766</v>
      </c>
      <c r="Q61" s="71">
        <f>'Balance Sheet'!R55-'Balance Sheet'!Q55</f>
        <v>124.29793535045064</v>
      </c>
    </row>
    <row r="62" spans="1:17" x14ac:dyDescent="0.15">
      <c r="B62" s="34" t="s">
        <v>33</v>
      </c>
      <c r="C62" s="67"/>
      <c r="D62" s="67">
        <f>'Balance Sheet'!E56-'Balance Sheet'!D56</f>
        <v>3.5299999999999976</v>
      </c>
      <c r="E62" s="67">
        <f>'Balance Sheet'!F56-'Balance Sheet'!E56</f>
        <v>6.370000000000001</v>
      </c>
      <c r="F62" s="67">
        <f>'Balance Sheet'!G56-'Balance Sheet'!F56</f>
        <v>6.509999999999998</v>
      </c>
      <c r="G62" s="67">
        <f>'Balance Sheet'!H56-'Balance Sheet'!G56</f>
        <v>11.68</v>
      </c>
      <c r="H62" s="71">
        <f>'Balance Sheet'!I56-'Balance Sheet'!H56</f>
        <v>3.7247476881192156</v>
      </c>
      <c r="I62" s="71">
        <f>'Balance Sheet'!J56-'Balance Sheet'!I56</f>
        <v>10.842499534954442</v>
      </c>
      <c r="J62" s="71">
        <f>'Balance Sheet'!K56-'Balance Sheet'!J56</f>
        <v>12.252043907182284</v>
      </c>
      <c r="K62" s="71">
        <f>'Balance Sheet'!L56-'Balance Sheet'!K56</f>
        <v>13.68173463805806</v>
      </c>
      <c r="L62" s="71">
        <f>'Balance Sheet'!M56-'Balance Sheet'!L56</f>
        <v>15.093636243558208</v>
      </c>
      <c r="M62" s="71">
        <f>'Balance Sheet'!N56-'Balance Sheet'!M56</f>
        <v>16.44419583209789</v>
      </c>
      <c r="N62" s="71">
        <f>'Balance Sheet'!O56-'Balance Sheet'!N56</f>
        <v>17.685477360377718</v>
      </c>
      <c r="O62" s="71">
        <f>'Balance Sheet'!P56-'Balance Sheet'!O56</f>
        <v>18.766832230056565</v>
      </c>
      <c r="P62" s="71">
        <f>'Balance Sheet'!Q56-'Balance Sheet'!P56</f>
        <v>19.636947821367329</v>
      </c>
      <c r="Q62" s="71">
        <f>'Balance Sheet'!R56-'Balance Sheet'!Q56</f>
        <v>20.246177304966409</v>
      </c>
    </row>
    <row r="63" spans="1:17" x14ac:dyDescent="0.15">
      <c r="A63" s="4"/>
      <c r="B63" s="34" t="s">
        <v>35</v>
      </c>
      <c r="C63" s="67"/>
      <c r="D63" s="67">
        <f>'Balance Sheet'!E57-'Balance Sheet'!D57</f>
        <v>2.9299999999999997</v>
      </c>
      <c r="E63" s="67">
        <f>'Balance Sheet'!F57-'Balance Sheet'!E57</f>
        <v>8.370000000000001</v>
      </c>
      <c r="F63" s="67">
        <f>'Balance Sheet'!G57-'Balance Sheet'!F57</f>
        <v>3.9299999999999997</v>
      </c>
      <c r="G63" s="67">
        <f>'Balance Sheet'!H57-'Balance Sheet'!G57</f>
        <v>-20.149999999999999</v>
      </c>
      <c r="H63" s="71">
        <f>'Balance Sheet'!I57-'Balance Sheet'!H57</f>
        <v>25.106786583930628</v>
      </c>
      <c r="I63" s="71">
        <f>'Balance Sheet'!J57-'Balance Sheet'!I57</f>
        <v>7.5228131698413634</v>
      </c>
      <c r="J63" s="71">
        <f>'Balance Sheet'!K57-'Balance Sheet'!J57</f>
        <v>8.5007923648310992</v>
      </c>
      <c r="K63" s="71">
        <f>'Balance Sheet'!L57-'Balance Sheet'!K57</f>
        <v>9.4927496367091564</v>
      </c>
      <c r="L63" s="71">
        <f>'Balance Sheet'!M57-'Balance Sheet'!L57</f>
        <v>10.472364342537333</v>
      </c>
      <c r="M63" s="71">
        <f>'Balance Sheet'!N57-'Balance Sheet'!M57</f>
        <v>11.409418333323103</v>
      </c>
      <c r="N63" s="71">
        <f>'Balance Sheet'!O57-'Balance Sheet'!N57</f>
        <v>12.270652313395715</v>
      </c>
      <c r="O63" s="71">
        <f>'Balance Sheet'!P57-'Balance Sheet'!O57</f>
        <v>13.020924944597311</v>
      </c>
      <c r="P63" s="71">
        <f>'Balance Sheet'!Q57-'Balance Sheet'!P57</f>
        <v>13.624634173128456</v>
      </c>
      <c r="Q63" s="71">
        <f>'Balance Sheet'!R57-'Balance Sheet'!Q57</f>
        <v>14.047333714677862</v>
      </c>
    </row>
    <row r="64" spans="1:17" x14ac:dyDescent="0.15">
      <c r="B64" s="34" t="s">
        <v>93</v>
      </c>
      <c r="C64" s="67"/>
      <c r="D64" s="67">
        <f>'Balance Sheet'!E46-'Balance Sheet'!D46-('Income Statement'!D40)</f>
        <v>-122.99000000000012</v>
      </c>
      <c r="E64" s="67">
        <f>'Balance Sheet'!F46-'Balance Sheet'!E46-('Income Statement'!E40)</f>
        <v>301.5300000000002</v>
      </c>
      <c r="F64" s="67">
        <f>'Balance Sheet'!G46-'Balance Sheet'!F46-('Income Statement'!F40)</f>
        <v>92.869999999999891</v>
      </c>
      <c r="G64" s="67">
        <f>'Balance Sheet'!H46-'Balance Sheet'!G46-('Income Statement'!G40)</f>
        <v>-1.0499999999998977</v>
      </c>
      <c r="H64" s="71">
        <f ca="1">'Balance Sheet'!I46-'Balance Sheet'!H46-('Income Statement'!H40)</f>
        <v>-85.519469724655892</v>
      </c>
      <c r="I64" s="71">
        <f ca="1">'Balance Sheet'!J46-'Balance Sheet'!I46-('Income Statement'!I40)</f>
        <v>-103.60743020980624</v>
      </c>
      <c r="J64" s="71">
        <f ca="1">'Balance Sheet'!K46-'Balance Sheet'!J46-('Income Statement'!J40)</f>
        <v>-122.51301834915807</v>
      </c>
      <c r="K64" s="71">
        <f ca="1">'Balance Sheet'!L46-'Balance Sheet'!K46-('Income Statement'!K40)</f>
        <v>-144.77725577035608</v>
      </c>
      <c r="L64" s="71">
        <f ca="1">'Balance Sheet'!M46-'Balance Sheet'!L46-('Income Statement'!L40)</f>
        <v>-167.52187688614094</v>
      </c>
      <c r="M64" s="71">
        <f ca="1">'Balance Sheet'!N46-'Balance Sheet'!M46-('Income Statement'!M40)</f>
        <v>-194.27642943280762</v>
      </c>
      <c r="N64" s="71">
        <f ca="1">'Balance Sheet'!O46-'Balance Sheet'!N46-('Income Statement'!N40)</f>
        <v>-219.94065695330187</v>
      </c>
      <c r="O64" s="71">
        <f ca="1">'Balance Sheet'!P46-'Balance Sheet'!O46-('Income Statement'!O40)</f>
        <v>-250.08699739287113</v>
      </c>
      <c r="P64" s="71">
        <f ca="1">'Balance Sheet'!Q46-'Balance Sheet'!P46-('Income Statement'!P40)</f>
        <v>-278.01453559136712</v>
      </c>
      <c r="Q64" s="71">
        <f ca="1">'Balance Sheet'!R46-'Balance Sheet'!Q46-('Income Statement'!Q40)</f>
        <v>-309.83017072836037</v>
      </c>
    </row>
    <row r="65" spans="1:17" x14ac:dyDescent="0.15">
      <c r="B65" s="34" t="s">
        <v>457</v>
      </c>
      <c r="C65" s="67"/>
      <c r="D65" s="67">
        <f>'Balance Sheet'!E47-'Balance Sheet'!D47</f>
        <v>-31.689999999999998</v>
      </c>
      <c r="E65" s="67">
        <f>'Balance Sheet'!F47-'Balance Sheet'!E47</f>
        <v>-59.240000000000009</v>
      </c>
      <c r="F65" s="67">
        <f>'Balance Sheet'!G47-'Balance Sheet'!F47</f>
        <v>-91.1</v>
      </c>
      <c r="G65" s="67">
        <f>'Balance Sheet'!H47-'Balance Sheet'!G47</f>
        <v>0</v>
      </c>
      <c r="H65" s="71">
        <f>'Balance Sheet'!I47-'Balance Sheet'!H47</f>
        <v>0</v>
      </c>
      <c r="I65" s="71">
        <f>'Balance Sheet'!J47-'Balance Sheet'!I47</f>
        <v>0</v>
      </c>
      <c r="J65" s="71">
        <f>'Balance Sheet'!K47-'Balance Sheet'!J47</f>
        <v>0</v>
      </c>
      <c r="K65" s="71">
        <f>'Balance Sheet'!L47-'Balance Sheet'!K47</f>
        <v>0</v>
      </c>
      <c r="L65" s="71">
        <f>'Balance Sheet'!M47-'Balance Sheet'!L47</f>
        <v>0</v>
      </c>
      <c r="M65" s="71">
        <f>'Balance Sheet'!N47-'Balance Sheet'!M47</f>
        <v>0</v>
      </c>
      <c r="N65" s="71">
        <f>'Balance Sheet'!O47-'Balance Sheet'!N47</f>
        <v>0</v>
      </c>
      <c r="O65" s="71">
        <f>'Balance Sheet'!P47-'Balance Sheet'!O47</f>
        <v>0</v>
      </c>
      <c r="P65" s="71">
        <f>'Balance Sheet'!Q47-'Balance Sheet'!P47</f>
        <v>0</v>
      </c>
      <c r="Q65" s="71">
        <f>'Balance Sheet'!R47-'Balance Sheet'!Q47</f>
        <v>0</v>
      </c>
    </row>
    <row r="66" spans="1:17" x14ac:dyDescent="0.15">
      <c r="B66" s="34" t="s">
        <v>253</v>
      </c>
      <c r="C66" s="67"/>
      <c r="D66" s="67">
        <f>'Balance Sheet'!E45-'Balance Sheet'!D45</f>
        <v>2.3900000000000006</v>
      </c>
      <c r="E66" s="67">
        <f>'Balance Sheet'!F45-'Balance Sheet'!E45</f>
        <v>0.25</v>
      </c>
      <c r="F66" s="67">
        <f>'Balance Sheet'!G45-'Balance Sheet'!F45</f>
        <v>0.16000000000000014</v>
      </c>
      <c r="G66" s="67">
        <f>'Balance Sheet'!H45-'Balance Sheet'!G45</f>
        <v>5.0000000000000711E-2</v>
      </c>
      <c r="H66" s="71">
        <f>'Balance Sheet'!I45-'Balance Sheet'!H45</f>
        <v>0</v>
      </c>
      <c r="I66" s="71">
        <f>'Balance Sheet'!J45-'Balance Sheet'!I45</f>
        <v>0</v>
      </c>
      <c r="J66" s="71">
        <f>'Balance Sheet'!K45-'Balance Sheet'!J45</f>
        <v>0</v>
      </c>
      <c r="K66" s="71">
        <f>'Balance Sheet'!L45-'Balance Sheet'!K45</f>
        <v>0</v>
      </c>
      <c r="L66" s="71">
        <f>'Balance Sheet'!M45-'Balance Sheet'!L45</f>
        <v>0</v>
      </c>
      <c r="M66" s="71">
        <f>'Balance Sheet'!N45-'Balance Sheet'!M45</f>
        <v>0</v>
      </c>
      <c r="N66" s="71">
        <f>'Balance Sheet'!O45-'Balance Sheet'!N45</f>
        <v>0</v>
      </c>
      <c r="O66" s="71">
        <f>'Balance Sheet'!P45-'Balance Sheet'!O45</f>
        <v>0</v>
      </c>
      <c r="P66" s="71">
        <f>'Balance Sheet'!Q45-'Balance Sheet'!P45</f>
        <v>0</v>
      </c>
      <c r="Q66" s="71">
        <f>'Balance Sheet'!R45-'Balance Sheet'!Q45</f>
        <v>0</v>
      </c>
    </row>
    <row r="67" spans="1:17" x14ac:dyDescent="0.15">
      <c r="B67" s="75" t="s">
        <v>82</v>
      </c>
      <c r="C67" s="67"/>
      <c r="D67" s="67"/>
      <c r="E67" s="67"/>
      <c r="F67" s="67"/>
      <c r="G67" s="67"/>
      <c r="H67" s="71"/>
      <c r="I67" s="71"/>
      <c r="J67" s="71"/>
      <c r="K67" s="71"/>
      <c r="L67" s="71"/>
      <c r="M67" s="71"/>
      <c r="N67" s="71"/>
      <c r="O67" s="71"/>
      <c r="P67" s="71"/>
      <c r="Q67" s="71"/>
    </row>
    <row r="68" spans="1:17" x14ac:dyDescent="0.15">
      <c r="A68" s="4"/>
      <c r="B68" s="34" t="s">
        <v>92</v>
      </c>
      <c r="C68" s="67"/>
      <c r="D68" s="67">
        <f>-'Income Statement'!D30</f>
        <v>-7.68</v>
      </c>
      <c r="E68" s="67">
        <f>-'Income Statement'!E30</f>
        <v>-24.72</v>
      </c>
      <c r="F68" s="67">
        <f>-'Income Statement'!F30</f>
        <v>-44.47</v>
      </c>
      <c r="G68" s="67">
        <f>-'Income Statement'!G30</f>
        <v>-42.06</v>
      </c>
      <c r="H68" s="71">
        <f>-'Income Statement'!H30</f>
        <v>-35.274755876921226</v>
      </c>
      <c r="I68" s="71">
        <f>-'Income Statement'!I30</f>
        <v>-42.167938961054567</v>
      </c>
      <c r="J68" s="71">
        <f>-'Income Statement'!J30</f>
        <v>-49.95724820056865</v>
      </c>
      <c r="K68" s="71">
        <f>-'Income Statement'!K30</f>
        <v>-58.655491761900691</v>
      </c>
      <c r="L68" s="71">
        <f>-'Income Statement'!L30</f>
        <v>-68.251360103581419</v>
      </c>
      <c r="M68" s="71">
        <f>-'Income Statement'!M30</f>
        <v>-78.705854676217754</v>
      </c>
      <c r="N68" s="71">
        <f>-'Income Statement'!N30</f>
        <v>-89.949501307915838</v>
      </c>
      <c r="O68" s="71">
        <f>-'Income Statement'!O30</f>
        <v>-101.88062568140083</v>
      </c>
      <c r="P68" s="71">
        <f>-'Income Statement'!P30</f>
        <v>-114.36493117847523</v>
      </c>
      <c r="Q68" s="71">
        <f>-'Income Statement'!Q30</f>
        <v>-127.23655791611429</v>
      </c>
    </row>
    <row r="69" spans="1:17" x14ac:dyDescent="0.15">
      <c r="B69" s="34"/>
      <c r="C69" s="67"/>
      <c r="D69" s="67"/>
      <c r="E69" s="67"/>
      <c r="F69" s="67"/>
      <c r="G69" s="67"/>
      <c r="H69" s="71"/>
      <c r="I69" s="71"/>
      <c r="J69" s="71"/>
      <c r="K69" s="71"/>
      <c r="L69" s="71"/>
      <c r="M69" s="71"/>
      <c r="N69" s="71"/>
      <c r="O69" s="71"/>
      <c r="P69" s="71"/>
      <c r="Q69" s="71"/>
    </row>
    <row r="70" spans="1:17" s="4" customFormat="1" x14ac:dyDescent="0.15">
      <c r="A70" s="183"/>
      <c r="B70" s="76"/>
      <c r="C70" s="77"/>
      <c r="D70" s="78">
        <f t="shared" ref="D70:Q70" si="2">SUM(D59:D68)</f>
        <v>-268.92000000000013</v>
      </c>
      <c r="E70" s="78">
        <f t="shared" si="2"/>
        <v>434.25000000000023</v>
      </c>
      <c r="F70" s="78">
        <f t="shared" si="2"/>
        <v>-166.14000000000013</v>
      </c>
      <c r="G70" s="78">
        <f t="shared" si="2"/>
        <v>-89.249999999999901</v>
      </c>
      <c r="H70" s="78">
        <f t="shared" ca="1" si="2"/>
        <v>273.65601754802174</v>
      </c>
      <c r="I70" s="78">
        <f t="shared" ca="1" si="2"/>
        <v>21.40921893659533</v>
      </c>
      <c r="J70" s="78">
        <f t="shared" ca="1" si="2"/>
        <v>16.448617651575937</v>
      </c>
      <c r="K70" s="78">
        <f t="shared" ca="1" si="2"/>
        <v>7.5310770623516703</v>
      </c>
      <c r="L70" s="78">
        <f t="shared" ca="1" si="2"/>
        <v>-3.0387692327309423</v>
      </c>
      <c r="M70" s="78">
        <f t="shared" ca="1" si="2"/>
        <v>-19.423028875985366</v>
      </c>
      <c r="N70" s="78">
        <f t="shared" ca="1" si="2"/>
        <v>-37.191115162673483</v>
      </c>
      <c r="O70" s="78">
        <f t="shared" ca="1" si="2"/>
        <v>-62.594761553838168</v>
      </c>
      <c r="P70" s="78">
        <f t="shared" ca="1" si="2"/>
        <v>-89.58996490091728</v>
      </c>
      <c r="Q70" s="78">
        <f t="shared" ca="1" si="2"/>
        <v>-124.88328767967397</v>
      </c>
    </row>
    <row r="71" spans="1:17" x14ac:dyDescent="0.15">
      <c r="B71" s="34"/>
      <c r="C71" s="67"/>
      <c r="D71" s="67"/>
      <c r="E71" s="67"/>
      <c r="F71" s="67"/>
      <c r="G71" s="67"/>
      <c r="H71" s="67"/>
      <c r="I71" s="67"/>
      <c r="J71" s="67"/>
      <c r="K71" s="67"/>
      <c r="L71" s="67"/>
      <c r="M71" s="67"/>
      <c r="N71" s="67"/>
      <c r="O71" s="67"/>
      <c r="P71" s="67"/>
      <c r="Q71" s="67"/>
    </row>
    <row r="72" spans="1:17" x14ac:dyDescent="0.15">
      <c r="B72" s="79" t="s">
        <v>86</v>
      </c>
      <c r="C72" s="80"/>
      <c r="D72" s="80">
        <f t="shared" ref="D72:Q72" si="3">D37+D54+D70</f>
        <v>1.7299999999999045</v>
      </c>
      <c r="E72" s="80">
        <f t="shared" si="3"/>
        <v>644.61000000000013</v>
      </c>
      <c r="F72" s="80">
        <f t="shared" si="3"/>
        <v>-146.25000000000014</v>
      </c>
      <c r="G72" s="80">
        <f t="shared" si="3"/>
        <v>451.06999999999982</v>
      </c>
      <c r="H72" s="80">
        <f t="shared" ca="1" si="3"/>
        <v>217.53957482298682</v>
      </c>
      <c r="I72" s="80">
        <f t="shared" ca="1" si="3"/>
        <v>267.84527917156453</v>
      </c>
      <c r="J72" s="80">
        <f t="shared" ca="1" si="3"/>
        <v>316.93712222186809</v>
      </c>
      <c r="K72" s="80">
        <f t="shared" ca="1" si="3"/>
        <v>390.50532227759095</v>
      </c>
      <c r="L72" s="80">
        <f t="shared" ca="1" si="3"/>
        <v>462.12552080869273</v>
      </c>
      <c r="M72" s="80">
        <f t="shared" ca="1" si="3"/>
        <v>560.09941510049566</v>
      </c>
      <c r="N72" s="80">
        <f t="shared" ca="1" si="3"/>
        <v>662.26883903350961</v>
      </c>
      <c r="O72" s="80">
        <f t="shared" ca="1" si="3"/>
        <v>792.14700326554885</v>
      </c>
      <c r="P72" s="80">
        <f t="shared" ca="1" si="3"/>
        <v>918.28852982841522</v>
      </c>
      <c r="Q72" s="80">
        <f t="shared" ca="1" si="3"/>
        <v>1084.9135450587835</v>
      </c>
    </row>
    <row r="73" spans="1:17" x14ac:dyDescent="0.15">
      <c r="B73" s="79" t="s">
        <v>87</v>
      </c>
      <c r="C73" s="80"/>
      <c r="D73" s="80">
        <f>'Balance Sheet'!E33</f>
        <v>727.06000000000006</v>
      </c>
      <c r="E73" s="80">
        <f>D74</f>
        <v>728.79</v>
      </c>
      <c r="F73" s="80">
        <f t="shared" ref="F73:Q73" si="4">E74</f>
        <v>1373.4</v>
      </c>
      <c r="G73" s="80">
        <f t="shared" si="4"/>
        <v>1227.1499999999999</v>
      </c>
      <c r="H73" s="80">
        <f t="shared" si="4"/>
        <v>1678.2199999999998</v>
      </c>
      <c r="I73" s="80">
        <f t="shared" ca="1" si="4"/>
        <v>1895.7595748229867</v>
      </c>
      <c r="J73" s="80">
        <f t="shared" ca="1" si="4"/>
        <v>2163.6048539945514</v>
      </c>
      <c r="K73" s="80">
        <f t="shared" ca="1" si="4"/>
        <v>2480.5419762164192</v>
      </c>
      <c r="L73" s="80">
        <f t="shared" ca="1" si="4"/>
        <v>2871.0472984940102</v>
      </c>
      <c r="M73" s="80">
        <f t="shared" ca="1" si="4"/>
        <v>3333.1728193027029</v>
      </c>
      <c r="N73" s="80">
        <f t="shared" ca="1" si="4"/>
        <v>3893.2722344031986</v>
      </c>
      <c r="O73" s="80">
        <f t="shared" ca="1" si="4"/>
        <v>4555.5410734367078</v>
      </c>
      <c r="P73" s="80">
        <f t="shared" ca="1" si="4"/>
        <v>5347.6880767022567</v>
      </c>
      <c r="Q73" s="80">
        <f t="shared" ca="1" si="4"/>
        <v>6265.9766065306721</v>
      </c>
    </row>
    <row r="74" spans="1:17" s="4" customFormat="1" ht="15" thickBot="1" x14ac:dyDescent="0.2">
      <c r="A74" s="2"/>
      <c r="B74" s="81" t="s">
        <v>88</v>
      </c>
      <c r="C74" s="82"/>
      <c r="D74" s="83">
        <f>D72+D73</f>
        <v>728.79</v>
      </c>
      <c r="E74" s="83">
        <f>E72+E73</f>
        <v>1373.4</v>
      </c>
      <c r="F74" s="83">
        <f t="shared" ref="F74:Q74" si="5">F72+F73</f>
        <v>1227.1499999999999</v>
      </c>
      <c r="G74" s="83">
        <f t="shared" si="5"/>
        <v>1678.2199999999998</v>
      </c>
      <c r="H74" s="83">
        <f t="shared" ca="1" si="5"/>
        <v>1895.7595748229867</v>
      </c>
      <c r="I74" s="83">
        <f t="shared" ca="1" si="5"/>
        <v>2163.6048539945514</v>
      </c>
      <c r="J74" s="83">
        <f t="shared" ca="1" si="5"/>
        <v>2480.5419762164192</v>
      </c>
      <c r="K74" s="83">
        <f t="shared" ca="1" si="5"/>
        <v>2871.0472984940102</v>
      </c>
      <c r="L74" s="83">
        <f t="shared" ca="1" si="5"/>
        <v>3333.1728193027029</v>
      </c>
      <c r="M74" s="83">
        <f t="shared" ca="1" si="5"/>
        <v>3893.2722344031986</v>
      </c>
      <c r="N74" s="83">
        <f t="shared" ca="1" si="5"/>
        <v>4555.5410734367078</v>
      </c>
      <c r="O74" s="83">
        <f t="shared" ca="1" si="5"/>
        <v>5347.6880767022567</v>
      </c>
      <c r="P74" s="83">
        <f t="shared" ca="1" si="5"/>
        <v>6265.9766065306721</v>
      </c>
      <c r="Q74" s="83">
        <f t="shared" ca="1" si="5"/>
        <v>7350.8901515894559</v>
      </c>
    </row>
    <row r="75" spans="1:17" ht="15" thickTop="1" x14ac:dyDescent="0.15"/>
    <row r="76" spans="1:17" s="183" customFormat="1" x14ac:dyDescent="0.15">
      <c r="A76" s="2"/>
      <c r="D76" s="183">
        <f>D74-'Balance Sheet'!E33</f>
        <v>1.7299999999999045</v>
      </c>
      <c r="E76" s="183">
        <f>E74-'Balance Sheet'!F33</f>
        <v>1164.92</v>
      </c>
      <c r="F76" s="183">
        <f>F74-'Balance Sheet'!G33</f>
        <v>844.53999999999985</v>
      </c>
      <c r="G76" s="183">
        <f>G74-'Balance Sheet'!H33</f>
        <v>1216.7499999999998</v>
      </c>
      <c r="H76" s="183">
        <f ca="1">H74-'Balance Sheet'!I33</f>
        <v>365.13577264492005</v>
      </c>
      <c r="I76" s="183">
        <f ca="1">I74-'Balance Sheet'!J33</f>
        <v>-71.393482534102077</v>
      </c>
      <c r="J76" s="183">
        <f ca="1">J74-'Balance Sheet'!K33</f>
        <v>-580.2850185089942</v>
      </c>
      <c r="K76" s="183">
        <f ca="1">K74-'Balance Sheet'!L33</f>
        <v>-1157.7724560594961</v>
      </c>
      <c r="L76" s="183">
        <f ca="1">L74-'Balance Sheet'!M33</f>
        <v>-1807.7431885288097</v>
      </c>
      <c r="M76" s="183">
        <f ca="1">M74-'Balance Sheet'!N33</f>
        <v>-2527.0480789735834</v>
      </c>
      <c r="N76" s="183">
        <f ca="1">N74-'Balance Sheet'!O33</f>
        <v>-3305.0844151453002</v>
      </c>
      <c r="O76" s="183">
        <f ca="1">O74-'Balance Sheet'!P33</f>
        <v>-4138.6346508872784</v>
      </c>
      <c r="P76" s="183">
        <f ca="1">P74-'Balance Sheet'!Q33</f>
        <v>-5016.8543202305409</v>
      </c>
      <c r="Q76" s="183">
        <f ca="1">Q74-'Balance Sheet'!R33</f>
        <v>-5921.1578480452863</v>
      </c>
    </row>
    <row r="77" spans="1:17" x14ac:dyDescent="0.15">
      <c r="E77" s="93"/>
      <c r="F77" s="93"/>
      <c r="G77" s="93"/>
      <c r="H77" s="93"/>
      <c r="I77" s="93"/>
      <c r="J77" s="93"/>
      <c r="K77" s="93"/>
      <c r="L77" s="93"/>
      <c r="M77" s="93"/>
      <c r="N77" s="93"/>
      <c r="O77" s="93"/>
      <c r="P77" s="93"/>
      <c r="Q77" s="93"/>
    </row>
    <row r="78" spans="1:17" x14ac:dyDescent="0.15">
      <c r="F78" s="41"/>
    </row>
    <row r="80" spans="1:17" x14ac:dyDescent="0.15">
      <c r="D80" s="253"/>
    </row>
  </sheetData>
  <mergeCells count="3">
    <mergeCell ref="P6:Q6"/>
    <mergeCell ref="B8:B9"/>
    <mergeCell ref="B7:Q7"/>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2A8C4-5AB2-4892-B149-9EF78211E875}">
  <sheetPr codeName="Sheet15">
    <tabColor rgb="FF92D050"/>
  </sheetPr>
  <dimension ref="B6:Q29"/>
  <sheetViews>
    <sheetView showGridLines="0" workbookViewId="0">
      <selection activeCell="B23" sqref="B23"/>
    </sheetView>
  </sheetViews>
  <sheetFormatPr baseColWidth="10" defaultColWidth="8.83203125" defaultRowHeight="15" x14ac:dyDescent="0.2"/>
  <cols>
    <col min="2" max="2" width="24.83203125" bestFit="1" customWidth="1"/>
    <col min="3" max="12" width="12.1640625" bestFit="1" customWidth="1"/>
    <col min="13" max="17" width="13.33203125" bestFit="1" customWidth="1"/>
  </cols>
  <sheetData>
    <row r="6" spans="2:17" x14ac:dyDescent="0.2">
      <c r="B6" s="2"/>
      <c r="C6" s="2"/>
      <c r="D6" s="2"/>
      <c r="E6" s="2"/>
      <c r="F6" s="111"/>
      <c r="G6" s="111"/>
      <c r="H6" s="2"/>
      <c r="I6" s="2"/>
      <c r="J6" s="2"/>
      <c r="K6" s="2"/>
      <c r="L6" s="2"/>
      <c r="M6" s="2"/>
      <c r="N6" s="2"/>
      <c r="O6" s="2"/>
      <c r="P6" s="503" t="s">
        <v>64</v>
      </c>
      <c r="Q6" s="503"/>
    </row>
    <row r="7" spans="2:17" ht="16" x14ac:dyDescent="0.2">
      <c r="B7" s="540" t="s">
        <v>222</v>
      </c>
      <c r="C7" s="540"/>
      <c r="D7" s="540"/>
      <c r="E7" s="540"/>
      <c r="F7" s="540"/>
      <c r="G7" s="540"/>
      <c r="H7" s="541"/>
      <c r="I7" s="541"/>
      <c r="J7" s="541"/>
      <c r="K7" s="541"/>
      <c r="L7" s="541"/>
      <c r="M7" s="541"/>
      <c r="N7" s="541"/>
      <c r="O7" s="541"/>
      <c r="P7" s="541"/>
      <c r="Q7" s="541"/>
    </row>
    <row r="8" spans="2:17" x14ac:dyDescent="0.2">
      <c r="B8" s="501" t="s">
        <v>0</v>
      </c>
      <c r="C8" s="195">
        <f>'Ratio Analysis'!C8</f>
        <v>2021</v>
      </c>
      <c r="D8" s="195">
        <f>'Ratio Analysis'!D8</f>
        <v>2022</v>
      </c>
      <c r="E8" s="195">
        <f>'Ratio Analysis'!E8</f>
        <v>2023</v>
      </c>
      <c r="F8" s="195">
        <f>'Ratio Analysis'!F8</f>
        <v>2024</v>
      </c>
      <c r="G8" s="195">
        <f>'Ratio Analysis'!G8</f>
        <v>2025</v>
      </c>
      <c r="H8" s="217">
        <f>'Ratio Analysis'!H8</f>
        <v>2026</v>
      </c>
      <c r="I8" s="217">
        <f>'Ratio Analysis'!I8</f>
        <v>2027</v>
      </c>
      <c r="J8" s="217">
        <f>'Ratio Analysis'!J8</f>
        <v>2028</v>
      </c>
      <c r="K8" s="217">
        <f>'Ratio Analysis'!K8</f>
        <v>2029</v>
      </c>
      <c r="L8" s="217">
        <f>'Ratio Analysis'!L8</f>
        <v>2030</v>
      </c>
      <c r="M8" s="217">
        <f>'Ratio Analysis'!M8</f>
        <v>2031</v>
      </c>
      <c r="N8" s="217">
        <f>'Ratio Analysis'!N8</f>
        <v>2032</v>
      </c>
      <c r="O8" s="217">
        <f>'Ratio Analysis'!O8</f>
        <v>2033</v>
      </c>
      <c r="P8" s="217">
        <f>'Ratio Analysis'!P8</f>
        <v>2034</v>
      </c>
      <c r="Q8" s="217">
        <f>'Ratio Analysis'!Q8</f>
        <v>2035</v>
      </c>
    </row>
    <row r="9" spans="2:17" x14ac:dyDescent="0.2">
      <c r="B9" s="502"/>
      <c r="C9" s="13" t="s">
        <v>1</v>
      </c>
      <c r="D9" s="13" t="s">
        <v>1</v>
      </c>
      <c r="E9" s="13" t="s">
        <v>1</v>
      </c>
      <c r="F9" s="13" t="s">
        <v>1</v>
      </c>
      <c r="G9" s="13" t="s">
        <v>1</v>
      </c>
      <c r="H9" s="110" t="s">
        <v>52</v>
      </c>
      <c r="I9" s="110" t="s">
        <v>53</v>
      </c>
      <c r="J9" s="110" t="s">
        <v>53</v>
      </c>
      <c r="K9" s="110" t="s">
        <v>53</v>
      </c>
      <c r="L9" s="110" t="s">
        <v>53</v>
      </c>
      <c r="M9" s="110" t="s">
        <v>53</v>
      </c>
      <c r="N9" s="110" t="s">
        <v>53</v>
      </c>
      <c r="O9" s="110" t="s">
        <v>53</v>
      </c>
      <c r="P9" s="110" t="s">
        <v>53</v>
      </c>
      <c r="Q9" s="110" t="s">
        <v>53</v>
      </c>
    </row>
    <row r="10" spans="2:17" x14ac:dyDescent="0.2">
      <c r="B10" s="2"/>
      <c r="C10" s="2"/>
      <c r="D10" s="2"/>
      <c r="E10" s="2"/>
      <c r="F10" s="2"/>
      <c r="G10" s="2"/>
      <c r="H10" s="30"/>
      <c r="I10" s="30"/>
      <c r="J10" s="30"/>
      <c r="K10" s="30"/>
      <c r="L10" s="30"/>
      <c r="M10" s="30"/>
      <c r="N10" s="30"/>
      <c r="O10" s="30"/>
      <c r="P10" s="30"/>
      <c r="Q10" s="30"/>
    </row>
    <row r="11" spans="2:17" x14ac:dyDescent="0.2">
      <c r="B11" s="2" t="s">
        <v>223</v>
      </c>
      <c r="C11" s="41">
        <f>'Income Statement'!C14</f>
        <v>1721.86</v>
      </c>
      <c r="D11" s="41">
        <f>'Income Statement'!D14</f>
        <v>2183.84</v>
      </c>
      <c r="E11" s="41">
        <f>'Income Statement'!E14</f>
        <v>2563.39</v>
      </c>
      <c r="F11" s="41">
        <f>'Income Statement'!F14</f>
        <v>3054.79</v>
      </c>
      <c r="G11" s="41">
        <f>'Income Statement'!G14</f>
        <v>3455.23</v>
      </c>
      <c r="H11" s="32">
        <f>'Income Statement'!H14</f>
        <v>4109.2211326925017</v>
      </c>
      <c r="I11" s="32">
        <f>'Income Statement'!I14</f>
        <v>4912.2206970175221</v>
      </c>
      <c r="J11" s="32">
        <f>'Income Statement'!J14</f>
        <v>5819.611643896611</v>
      </c>
      <c r="K11" s="32">
        <f>'Income Statement'!K14</f>
        <v>6832.8860201742145</v>
      </c>
      <c r="L11" s="32">
        <f>'Income Statement'!L14</f>
        <v>7950.7263565822623</v>
      </c>
      <c r="M11" s="32">
        <f>'Income Statement'!M14</f>
        <v>9168.589640438553</v>
      </c>
      <c r="N11" s="32">
        <f>'Income Statement'!N14</f>
        <v>10478.38269779403</v>
      </c>
      <c r="O11" s="32">
        <f>'Income Statement'!O14</f>
        <v>11868.261300593482</v>
      </c>
      <c r="P11" s="32">
        <f>'Income Statement'!P14</f>
        <v>13322.580989000771</v>
      </c>
      <c r="Q11" s="32">
        <f>'Income Statement'!Q14</f>
        <v>14822.020440459641</v>
      </c>
    </row>
    <row r="12" spans="2:17" x14ac:dyDescent="0.2">
      <c r="B12" s="5" t="s">
        <v>224</v>
      </c>
      <c r="C12" s="5"/>
      <c r="D12" s="17">
        <f>D11/C11-1</f>
        <v>0.26830288176739114</v>
      </c>
      <c r="E12" s="17">
        <f>E11/D11-1</f>
        <v>0.17379936259066575</v>
      </c>
      <c r="F12" s="17">
        <f t="shared" ref="F12:Q12" si="0">F11/E11-1</f>
        <v>0.19169927322803004</v>
      </c>
      <c r="G12" s="17">
        <f t="shared" si="0"/>
        <v>0.13108593389398293</v>
      </c>
      <c r="H12" s="185">
        <f t="shared" si="0"/>
        <v>0.18927571614407768</v>
      </c>
      <c r="I12" s="185">
        <f t="shared" si="0"/>
        <v>0.19541405497417652</v>
      </c>
      <c r="J12" s="185">
        <f t="shared" si="0"/>
        <v>0.18472112774371396</v>
      </c>
      <c r="K12" s="185">
        <f t="shared" si="0"/>
        <v>0.1741137447445118</v>
      </c>
      <c r="L12" s="185">
        <f t="shared" si="0"/>
        <v>0.16359709983564841</v>
      </c>
      <c r="M12" s="185">
        <f t="shared" si="0"/>
        <v>0.15317635511981154</v>
      </c>
      <c r="N12" s="185">
        <f t="shared" si="0"/>
        <v>0.14285654705043882</v>
      </c>
      <c r="O12" s="185">
        <f t="shared" si="0"/>
        <v>0.13264247383253691</v>
      </c>
      <c r="P12" s="185">
        <f t="shared" si="0"/>
        <v>0.12253856328007928</v>
      </c>
      <c r="Q12" s="185">
        <f t="shared" si="0"/>
        <v>0.11254872105463787</v>
      </c>
    </row>
    <row r="13" spans="2:17" x14ac:dyDescent="0.2">
      <c r="B13" s="2" t="s">
        <v>329</v>
      </c>
      <c r="C13" s="41">
        <f>'Income Statement'!C18</f>
        <v>882.72</v>
      </c>
      <c r="D13" s="41">
        <f>'Income Statement'!D18</f>
        <v>1095.45</v>
      </c>
      <c r="E13" s="41">
        <f>'Income Statement'!E18</f>
        <v>1376.75</v>
      </c>
      <c r="F13" s="41">
        <f>'Income Statement'!F18</f>
        <v>1670.91</v>
      </c>
      <c r="G13" s="41">
        <f>'Income Statement'!G18</f>
        <v>1859.03</v>
      </c>
      <c r="H13" s="32">
        <f>'Income Statement'!H18</f>
        <v>2166.6830449854915</v>
      </c>
      <c r="I13" s="32">
        <f>'Income Statement'!I18</f>
        <v>2590.0833646499027</v>
      </c>
      <c r="J13" s="32">
        <f>'Income Statement'!J18</f>
        <v>3068.5264847182657</v>
      </c>
      <c r="K13" s="32">
        <f>'Income Statement'!K18</f>
        <v>3602.799121820276</v>
      </c>
      <c r="L13" s="32">
        <f>'Income Statement'!L18</f>
        <v>4192.2066094404945</v>
      </c>
      <c r="M13" s="32">
        <f>'Income Statement'!M18</f>
        <v>4834.3535377837734</v>
      </c>
      <c r="N13" s="32">
        <f>'Income Statement'!N18</f>
        <v>5524.9725914126366</v>
      </c>
      <c r="O13" s="32">
        <f>'Income Statement'!O18</f>
        <v>6257.8186237945711</v>
      </c>
      <c r="P13" s="32">
        <f>'Income Statement'!P18</f>
        <v>7024.6427272216797</v>
      </c>
      <c r="Q13" s="32">
        <f>'Income Statement'!Q18</f>
        <v>7815.2572820362429</v>
      </c>
    </row>
    <row r="14" spans="2:17" x14ac:dyDescent="0.2">
      <c r="B14" s="5" t="s">
        <v>224</v>
      </c>
      <c r="C14" s="5"/>
      <c r="D14" s="17">
        <f>D13/C13-1</f>
        <v>0.24099374660141382</v>
      </c>
      <c r="E14" s="17">
        <f>E13/D13-1</f>
        <v>0.25678944725911723</v>
      </c>
      <c r="F14" s="17">
        <f t="shared" ref="F14:Q14" si="1">F13/E13-1</f>
        <v>0.21366261122208097</v>
      </c>
      <c r="G14" s="17">
        <f t="shared" si="1"/>
        <v>0.1125853576793483</v>
      </c>
      <c r="H14" s="185">
        <f t="shared" si="1"/>
        <v>0.16549116742897718</v>
      </c>
      <c r="I14" s="185">
        <f t="shared" si="1"/>
        <v>0.19541405497417652</v>
      </c>
      <c r="J14" s="185">
        <f t="shared" si="1"/>
        <v>0.18472112774371396</v>
      </c>
      <c r="K14" s="185">
        <f t="shared" si="1"/>
        <v>0.1741137447445118</v>
      </c>
      <c r="L14" s="185">
        <f t="shared" si="1"/>
        <v>0.16359709983564841</v>
      </c>
      <c r="M14" s="185">
        <f t="shared" si="1"/>
        <v>0.15317635511981176</v>
      </c>
      <c r="N14" s="185">
        <f t="shared" si="1"/>
        <v>0.14285654705043882</v>
      </c>
      <c r="O14" s="185">
        <f t="shared" si="1"/>
        <v>0.13264247383253691</v>
      </c>
      <c r="P14" s="185">
        <f t="shared" si="1"/>
        <v>0.12253856328007906</v>
      </c>
      <c r="Q14" s="185">
        <f t="shared" si="1"/>
        <v>0.11254872105463787</v>
      </c>
    </row>
    <row r="15" spans="2:17" x14ac:dyDescent="0.2">
      <c r="B15" s="2" t="s">
        <v>225</v>
      </c>
      <c r="C15" s="41">
        <f>'Income Statement'!C20</f>
        <v>474.67</v>
      </c>
      <c r="D15" s="41">
        <f>'Income Statement'!D20</f>
        <v>625.88</v>
      </c>
      <c r="E15" s="41">
        <f>'Income Statement'!E20</f>
        <v>730.79</v>
      </c>
      <c r="F15" s="41">
        <f>'Income Statement'!F20</f>
        <v>875.21</v>
      </c>
      <c r="G15" s="41">
        <f>'Income Statement'!G20</f>
        <v>1049.75</v>
      </c>
      <c r="H15" s="32">
        <f>'Income Statement'!H20</f>
        <v>1181.5450421860021</v>
      </c>
      <c r="I15" s="32">
        <f>'Income Statement'!I20</f>
        <v>1412.4355500142033</v>
      </c>
      <c r="J15" s="32">
        <f>'Income Statement'!J20</f>
        <v>1673.3422376781396</v>
      </c>
      <c r="K15" s="32">
        <f>'Income Statement'!K20</f>
        <v>1964.6941209194415</v>
      </c>
      <c r="L15" s="32">
        <f>'Income Statement'!L20</f>
        <v>2286.1123811660109</v>
      </c>
      <c r="M15" s="32">
        <f>'Income Statement'!M20</f>
        <v>2636.290743107294</v>
      </c>
      <c r="N15" s="32">
        <f>'Income Statement'!N20</f>
        <v>3012.9021356886378</v>
      </c>
      <c r="O15" s="32">
        <f>'Income Statement'!O20</f>
        <v>3412.5409283817125</v>
      </c>
      <c r="P15" s="32">
        <f>'Income Statement'!P20</f>
        <v>3830.7087908800754</v>
      </c>
      <c r="Q15" s="32">
        <f>'Income Statement'!Q20</f>
        <v>4261.8501660263855</v>
      </c>
    </row>
    <row r="16" spans="2:17" x14ac:dyDescent="0.2">
      <c r="B16" s="2" t="s">
        <v>14</v>
      </c>
      <c r="C16" s="41">
        <f>'Income Statement'!C22</f>
        <v>364.46999999999986</v>
      </c>
      <c r="D16" s="41">
        <f>'Income Statement'!D22</f>
        <v>462.5100000000001</v>
      </c>
      <c r="E16" s="41">
        <f>'Income Statement'!E22</f>
        <v>455.84999999999991</v>
      </c>
      <c r="F16" s="41">
        <f>'Income Statement'!F22</f>
        <v>508.66999999999985</v>
      </c>
      <c r="G16" s="41">
        <f>'Income Statement'!G22</f>
        <v>546.45000000000005</v>
      </c>
      <c r="H16" s="32">
        <f>'Income Statement'!H22</f>
        <v>760.99304552100807</v>
      </c>
      <c r="I16" s="32">
        <f>'Income Statement'!I22</f>
        <v>909.70178235341609</v>
      </c>
      <c r="J16" s="32">
        <f>'Income Statement'!J22</f>
        <v>1077.7429215002057</v>
      </c>
      <c r="K16" s="32">
        <f>'Income Statement'!K22</f>
        <v>1265.392777434497</v>
      </c>
      <c r="L16" s="32">
        <f>'Income Statement'!L22</f>
        <v>1472.4073659757569</v>
      </c>
      <c r="M16" s="32">
        <f>'Income Statement'!M22</f>
        <v>1697.9453595474856</v>
      </c>
      <c r="N16" s="32">
        <f>'Income Statement'!N22</f>
        <v>1940.5079706927554</v>
      </c>
      <c r="O16" s="32">
        <f>'Income Statement'!O22</f>
        <v>2197.9017484171982</v>
      </c>
      <c r="P16" s="32">
        <f>'Income Statement'!P22</f>
        <v>2467.2294708990162</v>
      </c>
      <c r="Q16" s="32">
        <f>'Income Statement'!Q22</f>
        <v>2744.9129923970122</v>
      </c>
    </row>
    <row r="17" spans="2:17" x14ac:dyDescent="0.2">
      <c r="B17" s="5" t="s">
        <v>224</v>
      </c>
      <c r="C17" s="41"/>
      <c r="D17" s="17">
        <f>D16/C16-1</f>
        <v>0.26899333278459214</v>
      </c>
      <c r="E17" s="17">
        <f>E16/D16-1</f>
        <v>-1.4399688655380882E-2</v>
      </c>
      <c r="F17" s="17">
        <f t="shared" ref="F17:Q17" si="2">F16/E16-1</f>
        <v>0.11587144894153778</v>
      </c>
      <c r="G17" s="17">
        <f t="shared" si="2"/>
        <v>7.4272121414669989E-2</v>
      </c>
      <c r="H17" s="185">
        <f>(H16-G16)/G16</f>
        <v>0.39261239916004759</v>
      </c>
      <c r="I17" s="185">
        <f t="shared" si="2"/>
        <v>0.19541405497417608</v>
      </c>
      <c r="J17" s="185">
        <f t="shared" si="2"/>
        <v>0.18472112774371396</v>
      </c>
      <c r="K17" s="185">
        <f t="shared" si="2"/>
        <v>0.1741137447445118</v>
      </c>
      <c r="L17" s="185">
        <f t="shared" si="2"/>
        <v>0.16359709983564841</v>
      </c>
      <c r="M17" s="185">
        <f t="shared" si="2"/>
        <v>0.15317635511981154</v>
      </c>
      <c r="N17" s="185">
        <f t="shared" si="2"/>
        <v>0.14285654705043882</v>
      </c>
      <c r="O17" s="185">
        <f t="shared" si="2"/>
        <v>0.13264247383253669</v>
      </c>
      <c r="P17" s="185">
        <f t="shared" si="2"/>
        <v>0.1225385632800795</v>
      </c>
      <c r="Q17" s="185">
        <f t="shared" si="2"/>
        <v>0.11254872105463831</v>
      </c>
    </row>
    <row r="18" spans="2:17" x14ac:dyDescent="0.2">
      <c r="B18" s="2" t="s">
        <v>226</v>
      </c>
      <c r="C18" s="41">
        <f>'Income Statement'!C24</f>
        <v>44.95</v>
      </c>
      <c r="D18" s="41">
        <f>'Income Statement'!D24</f>
        <v>42.87</v>
      </c>
      <c r="E18" s="41">
        <f>'Income Statement'!E24</f>
        <v>67.37</v>
      </c>
      <c r="F18" s="41">
        <f>'Income Statement'!F24</f>
        <v>89.91</v>
      </c>
      <c r="G18" s="41">
        <f>'Income Statement'!G24</f>
        <v>75.12</v>
      </c>
      <c r="H18" s="32">
        <f ca="1">'Income Statement'!H24</f>
        <v>60.048000000000002</v>
      </c>
      <c r="I18" s="32">
        <f ca="1">'Income Statement'!I24</f>
        <v>60.048000000000002</v>
      </c>
      <c r="J18" s="32">
        <f ca="1">'Income Statement'!J24</f>
        <v>60.048000000000002</v>
      </c>
      <c r="K18" s="32">
        <f ca="1">'Income Statement'!K24</f>
        <v>62.448320000000002</v>
      </c>
      <c r="L18" s="32">
        <f ca="1">'Income Statement'!L24</f>
        <v>62.448320000000002</v>
      </c>
      <c r="M18" s="32">
        <f ca="1">'Income Statement'!M24</f>
        <v>62.448320000000002</v>
      </c>
      <c r="N18" s="32">
        <f ca="1">'Income Statement'!N24</f>
        <v>64.9446528</v>
      </c>
      <c r="O18" s="32">
        <f ca="1">'Income Statement'!O24</f>
        <v>64.9446528</v>
      </c>
      <c r="P18" s="32">
        <f ca="1">'Income Statement'!P24</f>
        <v>64.9446528</v>
      </c>
      <c r="Q18" s="32">
        <f ca="1">'Income Statement'!Q24</f>
        <v>67.540838911999998</v>
      </c>
    </row>
    <row r="19" spans="2:17" x14ac:dyDescent="0.2">
      <c r="B19" s="2" t="s">
        <v>15</v>
      </c>
      <c r="C19" s="41">
        <f>'Income Statement'!C26</f>
        <v>319.51999999999987</v>
      </c>
      <c r="D19" s="41">
        <f>'Income Statement'!D26</f>
        <v>419.6400000000001</v>
      </c>
      <c r="E19" s="41">
        <f>'Income Statement'!E26</f>
        <v>388.4799999999999</v>
      </c>
      <c r="F19" s="41">
        <f>'Income Statement'!F26</f>
        <v>418.75999999999988</v>
      </c>
      <c r="G19" s="41">
        <f>'Income Statement'!G26</f>
        <v>471.33000000000004</v>
      </c>
      <c r="H19" s="32">
        <f ca="1">'Income Statement'!H26</f>
        <v>700.94504552100807</v>
      </c>
      <c r="I19" s="32">
        <f ca="1">'Income Statement'!I26</f>
        <v>849.65378235341609</v>
      </c>
      <c r="J19" s="32">
        <f ca="1">'Income Statement'!J26</f>
        <v>1017.6949215002057</v>
      </c>
      <c r="K19" s="32">
        <f ca="1">'Income Statement'!K26</f>
        <v>1202.9444574344971</v>
      </c>
      <c r="L19" s="32">
        <f ca="1">'Income Statement'!L26</f>
        <v>1409.9590459757569</v>
      </c>
      <c r="M19" s="32">
        <f ca="1">'Income Statement'!M26</f>
        <v>1635.4970395474857</v>
      </c>
      <c r="N19" s="32">
        <f ca="1">'Income Statement'!N26</f>
        <v>1875.5633178927553</v>
      </c>
      <c r="O19" s="32">
        <f ca="1">'Income Statement'!O26</f>
        <v>2132.9570956171983</v>
      </c>
      <c r="P19" s="32">
        <f ca="1">'Income Statement'!P26</f>
        <v>2402.2848180990163</v>
      </c>
      <c r="Q19" s="32">
        <f ca="1">'Income Statement'!Q26</f>
        <v>2677.3721534850124</v>
      </c>
    </row>
    <row r="20" spans="2:17" x14ac:dyDescent="0.2">
      <c r="B20" s="5" t="s">
        <v>224</v>
      </c>
      <c r="C20" s="5"/>
      <c r="D20" s="17">
        <f>D19/C19-1</f>
        <v>0.31334501752629018</v>
      </c>
      <c r="E20" s="17">
        <f>E19/D19-1</f>
        <v>-7.4254122581260629E-2</v>
      </c>
      <c r="F20" s="17">
        <f t="shared" ref="F20:Q20" si="3">F19/E19-1</f>
        <v>7.7944810543657317E-2</v>
      </c>
      <c r="G20" s="17">
        <f t="shared" si="3"/>
        <v>0.12553730060177704</v>
      </c>
      <c r="H20" s="185">
        <f ca="1">(H19/G19-1)</f>
        <v>0.4871640793520633</v>
      </c>
      <c r="I20" s="185">
        <f t="shared" ca="1" si="3"/>
        <v>0.21215463007071222</v>
      </c>
      <c r="J20" s="185">
        <f t="shared" ca="1" si="3"/>
        <v>0.1977760149332124</v>
      </c>
      <c r="K20" s="185">
        <f t="shared" ca="1" si="3"/>
        <v>0.18202855494376546</v>
      </c>
      <c r="L20" s="185">
        <f t="shared" ca="1" si="3"/>
        <v>0.17208989763563731</v>
      </c>
      <c r="M20" s="185">
        <f t="shared" ca="1" si="3"/>
        <v>0.1599606699325411</v>
      </c>
      <c r="N20" s="185">
        <f t="shared" ca="1" si="3"/>
        <v>0.14678490546928291</v>
      </c>
      <c r="O20" s="185">
        <f t="shared" ca="1" si="3"/>
        <v>0.13723545095434675</v>
      </c>
      <c r="P20" s="185">
        <f t="shared" ca="1" si="3"/>
        <v>0.12626963900738208</v>
      </c>
      <c r="Q20" s="185">
        <f t="shared" ca="1" si="3"/>
        <v>0.11451070801990881</v>
      </c>
    </row>
    <row r="21" spans="2:17" x14ac:dyDescent="0.2">
      <c r="B21" s="2" t="s">
        <v>227</v>
      </c>
      <c r="C21" s="41">
        <f>'Income Statement'!C30</f>
        <v>8.1</v>
      </c>
      <c r="D21" s="41">
        <f>'Income Statement'!D30</f>
        <v>7.68</v>
      </c>
      <c r="E21" s="41">
        <f>'Income Statement'!E30</f>
        <v>24.72</v>
      </c>
      <c r="F21" s="41">
        <f>'Income Statement'!F30</f>
        <v>44.47</v>
      </c>
      <c r="G21" s="41">
        <f>'Income Statement'!G30</f>
        <v>42.06</v>
      </c>
      <c r="H21" s="32">
        <f>'Income Statement'!H30</f>
        <v>35.274755876921226</v>
      </c>
      <c r="I21" s="32">
        <f>'Income Statement'!I30</f>
        <v>42.167938961054567</v>
      </c>
      <c r="J21" s="32">
        <f>'Income Statement'!J30</f>
        <v>49.95724820056865</v>
      </c>
      <c r="K21" s="32">
        <f>'Income Statement'!K30</f>
        <v>58.655491761900691</v>
      </c>
      <c r="L21" s="32">
        <f>'Income Statement'!L30</f>
        <v>68.251360103581419</v>
      </c>
      <c r="M21" s="32">
        <f>'Income Statement'!M30</f>
        <v>78.705854676217754</v>
      </c>
      <c r="N21" s="32">
        <f>'Income Statement'!N30</f>
        <v>89.949501307915838</v>
      </c>
      <c r="O21" s="32">
        <f>'Income Statement'!O30</f>
        <v>101.88062568140083</v>
      </c>
      <c r="P21" s="32">
        <f>'Income Statement'!P30</f>
        <v>114.36493117847523</v>
      </c>
      <c r="Q21" s="32">
        <f>'Income Statement'!Q30</f>
        <v>127.23655791611429</v>
      </c>
    </row>
    <row r="22" spans="2:17" x14ac:dyDescent="0.2">
      <c r="B22" s="2" t="s">
        <v>228</v>
      </c>
      <c r="C22" s="41">
        <f>'Income Statement'!C28</f>
        <v>27.91</v>
      </c>
      <c r="D22" s="41">
        <f>'Income Statement'!D28</f>
        <v>36.08</v>
      </c>
      <c r="E22" s="41">
        <f>'Income Statement'!E28</f>
        <v>38.29</v>
      </c>
      <c r="F22" s="41">
        <f>'Income Statement'!F28</f>
        <v>16.010000000000002</v>
      </c>
      <c r="G22" s="41">
        <f>'Income Statement'!G28</f>
        <v>22.28</v>
      </c>
      <c r="H22" s="32">
        <f>'Income Statement'!H28</f>
        <v>48.776901603901898</v>
      </c>
      <c r="I22" s="32">
        <f>'Income Statement'!I28</f>
        <v>58.308593735396776</v>
      </c>
      <c r="J22" s="32">
        <f>'Income Statement'!J28</f>
        <v>69.079422927349313</v>
      </c>
      <c r="K22" s="32">
        <f>'Income Statement'!K28</f>
        <v>81.107099938019999</v>
      </c>
      <c r="L22" s="32">
        <f>'Income Statement'!L28</f>
        <v>94.375986263960172</v>
      </c>
      <c r="M22" s="32">
        <f>'Income Statement'!M28</f>
        <v>108.83215585071102</v>
      </c>
      <c r="N22" s="32">
        <f>'Income Statement'!N28</f>
        <v>124.37954184359879</v>
      </c>
      <c r="O22" s="32">
        <f>'Income Statement'!O28</f>
        <v>140.87755196789126</v>
      </c>
      <c r="P22" s="32">
        <f>'Income Statement'!P28</f>
        <v>158.14048478445139</v>
      </c>
      <c r="Q22" s="32">
        <f>'Income Statement'!Q28</f>
        <v>175.93899409390178</v>
      </c>
    </row>
    <row r="23" spans="2:17" x14ac:dyDescent="0.2">
      <c r="B23" s="2" t="s">
        <v>229</v>
      </c>
      <c r="C23" s="41">
        <f>'Income Statement'!C36</f>
        <v>339.32999999999987</v>
      </c>
      <c r="D23" s="41">
        <f>'Income Statement'!D36</f>
        <v>448.04000000000008</v>
      </c>
      <c r="E23" s="41">
        <f>'Income Statement'!E36</f>
        <v>427.36999999999995</v>
      </c>
      <c r="F23" s="41">
        <f>'Income Statement'!F36</f>
        <v>386.18999999999983</v>
      </c>
      <c r="G23" s="41">
        <f>'Income Statement'!G36</f>
        <v>459.16</v>
      </c>
      <c r="H23" s="32">
        <f ca="1">'Income Statement'!H36</f>
        <v>729.15642808677205</v>
      </c>
      <c r="I23" s="32">
        <f ca="1">'Income Statement'!I36</f>
        <v>883.37806558278373</v>
      </c>
      <c r="J23" s="32">
        <f ca="1">'Income Statement'!J36</f>
        <v>1057.6487923600505</v>
      </c>
      <c r="K23" s="32">
        <f ca="1">'Income Statement'!K36</f>
        <v>1249.854846366788</v>
      </c>
      <c r="L23" s="32">
        <f ca="1">'Income Statement'!L36</f>
        <v>1464.5438384895331</v>
      </c>
      <c r="M23" s="32">
        <f ca="1">'Income Statement'!M36</f>
        <v>1698.4429316234932</v>
      </c>
      <c r="N23" s="32">
        <f ca="1">'Income Statement'!N36</f>
        <v>1947.5014427617509</v>
      </c>
      <c r="O23" s="32">
        <f ca="1">'Income Statement'!O36</f>
        <v>2214.4372713316911</v>
      </c>
      <c r="P23" s="32">
        <f ca="1">'Income Statement'!P36</f>
        <v>2493.7494574813718</v>
      </c>
      <c r="Q23" s="32">
        <f ca="1">'Income Statement'!Q36</f>
        <v>2779.1310210515758</v>
      </c>
    </row>
    <row r="24" spans="2:17" s="186" customFormat="1" x14ac:dyDescent="0.2">
      <c r="B24" s="5" t="s">
        <v>224</v>
      </c>
      <c r="C24" s="175"/>
      <c r="D24" s="17">
        <f>D23/C23-1</f>
        <v>0.32036660478000845</v>
      </c>
      <c r="E24" s="17">
        <f>E23/D23-1</f>
        <v>-4.6134273725560448E-2</v>
      </c>
      <c r="F24" s="17">
        <f t="shared" ref="F24:Q24" si="4">F23/E23-1</f>
        <v>-9.6356786859162158E-2</v>
      </c>
      <c r="G24" s="17">
        <f t="shared" si="4"/>
        <v>0.18894844506590069</v>
      </c>
      <c r="H24" s="185">
        <f ca="1">(H23/G23-1)</f>
        <v>0.58802253699532181</v>
      </c>
      <c r="I24" s="185">
        <f t="shared" ca="1" si="4"/>
        <v>0.21150692986506692</v>
      </c>
      <c r="J24" s="185">
        <f t="shared" ca="1" si="4"/>
        <v>0.19727762502490553</v>
      </c>
      <c r="K24" s="185">
        <f t="shared" ca="1" si="4"/>
        <v>0.18172956410024033</v>
      </c>
      <c r="L24" s="185">
        <f t="shared" ca="1" si="4"/>
        <v>0.17177114026226814</v>
      </c>
      <c r="M24" s="185">
        <f t="shared" ca="1" si="4"/>
        <v>0.15970781275840373</v>
      </c>
      <c r="N24" s="185">
        <f t="shared" ca="1" si="4"/>
        <v>0.14663931681248177</v>
      </c>
      <c r="O24" s="185">
        <f t="shared" ca="1" si="4"/>
        <v>0.13706579246041461</v>
      </c>
      <c r="P24" s="185">
        <f t="shared" ca="1" si="4"/>
        <v>0.12613235414959911</v>
      </c>
      <c r="Q24" s="185">
        <f t="shared" ca="1" si="4"/>
        <v>0.11443874712996727</v>
      </c>
    </row>
    <row r="25" spans="2:17" x14ac:dyDescent="0.2">
      <c r="B25" s="2" t="s">
        <v>230</v>
      </c>
      <c r="C25" s="41">
        <f>'Income Statement'!C38</f>
        <v>87.58</v>
      </c>
      <c r="D25" s="41">
        <f>'Income Statement'!D38</f>
        <v>114.62</v>
      </c>
      <c r="E25" s="41">
        <f>'Income Statement'!E38</f>
        <v>117.1</v>
      </c>
      <c r="F25" s="41">
        <f>'Income Statement'!F38</f>
        <v>75.22</v>
      </c>
      <c r="G25" s="41">
        <f>'Income Statement'!G38</f>
        <v>83.23</v>
      </c>
      <c r="H25" s="32">
        <f ca="1">'Income Statement'!H38</f>
        <v>139.4626800349883</v>
      </c>
      <c r="I25" s="32">
        <f ca="1">'Income Statement'!I38</f>
        <v>168.96000331994284</v>
      </c>
      <c r="J25" s="32">
        <f ca="1">'Income Statement'!J38</f>
        <v>212.86851942270184</v>
      </c>
      <c r="K25" s="32">
        <f ca="1">'Income Statement'!K38</f>
        <v>251.55302266805299</v>
      </c>
      <c r="L25" s="32">
        <f ca="1">'Income Statement'!L38</f>
        <v>309.40801059305994</v>
      </c>
      <c r="M25" s="32">
        <f ca="1">'Income Statement'!M38</f>
        <v>358.82288721480654</v>
      </c>
      <c r="N25" s="32">
        <f ca="1">'Income Statement'!N38</f>
        <v>430.91544468028547</v>
      </c>
      <c r="O25" s="32">
        <f ca="1">'Income Statement'!O38</f>
        <v>489.97921158882082</v>
      </c>
      <c r="P25" s="32">
        <f ca="1">'Income Statement'!P38</f>
        <v>576.71893760569696</v>
      </c>
      <c r="Q25" s="32">
        <f ca="1">'Income Statement'!Q38</f>
        <v>642.71793027141882</v>
      </c>
    </row>
    <row r="26" spans="2:17" x14ac:dyDescent="0.2">
      <c r="B26" s="2" t="s">
        <v>231</v>
      </c>
      <c r="C26" s="41">
        <f>'Income Statement'!C40</f>
        <v>251.74999999999989</v>
      </c>
      <c r="D26" s="41">
        <f>'Income Statement'!D40</f>
        <v>333.42000000000007</v>
      </c>
      <c r="E26" s="41">
        <f>'Income Statement'!E40</f>
        <v>310.27</v>
      </c>
      <c r="F26" s="41">
        <f>'Income Statement'!F40</f>
        <v>310.9699999999998</v>
      </c>
      <c r="G26" s="41">
        <f>'Income Statement'!G40</f>
        <v>375.93</v>
      </c>
      <c r="H26" s="32">
        <f ca="1">'Income Statement'!H40</f>
        <v>589.69374805178381</v>
      </c>
      <c r="I26" s="32">
        <f ca="1">'Income Statement'!I40</f>
        <v>714.41806226284086</v>
      </c>
      <c r="J26" s="32">
        <f ca="1">'Income Statement'!J40</f>
        <v>844.78027293734863</v>
      </c>
      <c r="K26" s="32">
        <f ca="1">'Income Statement'!K40</f>
        <v>998.30182369873501</v>
      </c>
      <c r="L26" s="32">
        <f ca="1">'Income Statement'!L40</f>
        <v>1155.1358278964731</v>
      </c>
      <c r="M26" s="32">
        <f ca="1">'Income Statement'!M40</f>
        <v>1339.6200444086867</v>
      </c>
      <c r="N26" s="32">
        <f ca="1">'Income Statement'!N40</f>
        <v>1516.5859980814655</v>
      </c>
      <c r="O26" s="32">
        <f ca="1">'Income Statement'!O40</f>
        <v>1724.4580597428703</v>
      </c>
      <c r="P26" s="32">
        <f ca="1">'Income Statement'!P40</f>
        <v>1917.0305198756748</v>
      </c>
      <c r="Q26" s="32">
        <f ca="1">'Income Statement'!Q40</f>
        <v>2136.4130907801568</v>
      </c>
    </row>
    <row r="27" spans="2:17" x14ac:dyDescent="0.2">
      <c r="B27" s="5" t="s">
        <v>224</v>
      </c>
      <c r="C27" s="5"/>
      <c r="D27" s="17">
        <f>D26/C26-1</f>
        <v>0.3244091360476673</v>
      </c>
      <c r="E27" s="17">
        <f>E26/D26-1</f>
        <v>-6.9431947693599949E-2</v>
      </c>
      <c r="F27" s="17">
        <f t="shared" ref="F27:Q27" si="5">F26/E26-1</f>
        <v>2.2560995262184136E-3</v>
      </c>
      <c r="G27" s="17">
        <f t="shared" si="5"/>
        <v>0.20889474868958491</v>
      </c>
      <c r="H27" s="185">
        <f ca="1">(H26/G26-1)</f>
        <v>0.56862646783120208</v>
      </c>
      <c r="I27" s="185">
        <f t="shared" ca="1" si="5"/>
        <v>0.21150692986506692</v>
      </c>
      <c r="J27" s="185">
        <f t="shared" ca="1" si="5"/>
        <v>0.18247328498610438</v>
      </c>
      <c r="K27" s="185">
        <f t="shared" ca="1" si="5"/>
        <v>0.18172956410024033</v>
      </c>
      <c r="L27" s="185">
        <f t="shared" ca="1" si="5"/>
        <v>0.15710078903458657</v>
      </c>
      <c r="M27" s="185">
        <f t="shared" ca="1" si="5"/>
        <v>0.15970781275840373</v>
      </c>
      <c r="N27" s="185">
        <f t="shared" ca="1" si="5"/>
        <v>0.13210160180224251</v>
      </c>
      <c r="O27" s="185">
        <f t="shared" ca="1" si="5"/>
        <v>0.13706579246041461</v>
      </c>
      <c r="P27" s="185">
        <f t="shared" ca="1" si="5"/>
        <v>0.11167129234880813</v>
      </c>
      <c r="Q27" s="185">
        <f t="shared" ca="1" si="5"/>
        <v>0.11443874712996727</v>
      </c>
    </row>
    <row r="28" spans="2:17" x14ac:dyDescent="0.2">
      <c r="B28" s="5" t="s">
        <v>232</v>
      </c>
      <c r="C28" s="17">
        <f t="shared" ref="C28:Q28" si="6">C26/C11</f>
        <v>0.1462081702345138</v>
      </c>
      <c r="D28" s="17">
        <f t="shared" si="6"/>
        <v>0.15267602022126164</v>
      </c>
      <c r="E28" s="17">
        <f t="shared" si="6"/>
        <v>0.12103893672051463</v>
      </c>
      <c r="F28" s="17">
        <f t="shared" si="6"/>
        <v>0.10179750490213724</v>
      </c>
      <c r="G28" s="17">
        <f t="shared" si="6"/>
        <v>0.10880028247034207</v>
      </c>
      <c r="H28" s="185">
        <f t="shared" ca="1" si="6"/>
        <v>0.1435049925544884</v>
      </c>
      <c r="I28" s="185">
        <f t="shared" ca="1" si="6"/>
        <v>0.14543688207995278</v>
      </c>
      <c r="J28" s="185">
        <f t="shared" ca="1" si="6"/>
        <v>0.14516093592315946</v>
      </c>
      <c r="K28" s="185">
        <f t="shared" ca="1" si="6"/>
        <v>0.14610251374766556</v>
      </c>
      <c r="L28" s="185">
        <f t="shared" ca="1" si="6"/>
        <v>0.1452868299183957</v>
      </c>
      <c r="M28" s="185">
        <f t="shared" ca="1" si="6"/>
        <v>0.14610971773676304</v>
      </c>
      <c r="N28" s="185">
        <f t="shared" ca="1" si="6"/>
        <v>0.14473474025726757</v>
      </c>
      <c r="O28" s="185">
        <f t="shared" ca="1" si="6"/>
        <v>0.14529997411302678</v>
      </c>
      <c r="P28" s="185">
        <f t="shared" ca="1" si="6"/>
        <v>0.14389332828664284</v>
      </c>
      <c r="Q28" s="185">
        <f t="shared" ca="1" si="6"/>
        <v>0.1441377779339984</v>
      </c>
    </row>
    <row r="29" spans="2:17" x14ac:dyDescent="0.2">
      <c r="B29" s="2" t="s">
        <v>233</v>
      </c>
      <c r="C29" s="41">
        <f>'Income Statement'!C42</f>
        <v>84.921278765587317</v>
      </c>
      <c r="D29" s="41">
        <f>'Income Statement'!D42</f>
        <v>106.5195078353358</v>
      </c>
      <c r="E29" s="41">
        <f>'Income Statement'!E42</f>
        <v>97.229208143905993</v>
      </c>
      <c r="F29" s="41">
        <f>'Income Statement'!F42</f>
        <v>98.00956282721728</v>
      </c>
      <c r="G29" s="41">
        <f>'Income Statement'!G42</f>
        <v>121.78396057326479</v>
      </c>
      <c r="H29" s="32">
        <f ca="1">'Income Statement'!H42</f>
        <v>191.03354391253475</v>
      </c>
      <c r="I29" s="32">
        <f ca="1">'Income Statement'!I42</f>
        <v>231.43846228671842</v>
      </c>
      <c r="J29" s="32">
        <f ca="1">'Income Statement'!J42</f>
        <v>273.66979877230852</v>
      </c>
      <c r="K29" s="32">
        <f ca="1">'Income Statement'!K42</f>
        <v>323.40369201060065</v>
      </c>
      <c r="L29" s="32">
        <f ca="1">'Income Statement'!L42</f>
        <v>374.21066720216442</v>
      </c>
      <c r="M29" s="32">
        <f ca="1">'Income Statement'!M42</f>
        <v>433.97503437188499</v>
      </c>
      <c r="N29" s="32">
        <f ca="1">'Income Statement'!N42</f>
        <v>491.30383155459435</v>
      </c>
      <c r="O29" s="32">
        <f ca="1">'Income Statement'!O42</f>
        <v>558.64478056546284</v>
      </c>
      <c r="P29" s="32">
        <f ca="1">'Income Statement'!P42</f>
        <v>621.02936517512433</v>
      </c>
      <c r="Q29" s="32">
        <f ca="1">'Income Statement'!Q42</f>
        <v>692.09918765668453</v>
      </c>
    </row>
  </sheetData>
  <mergeCells count="3">
    <mergeCell ref="P6:Q6"/>
    <mergeCell ref="B7:Q7"/>
    <mergeCell ref="B8:B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92D050"/>
  </sheetPr>
  <dimension ref="A1"/>
  <sheetViews>
    <sheetView showGridLines="0" zoomScale="88" zoomScaleNormal="100" workbookViewId="0">
      <selection activeCell="L45" sqref="L45"/>
    </sheetView>
  </sheetViews>
  <sheetFormatPr baseColWidth="10" defaultColWidth="8.83203125" defaultRowHeight="15"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rgb="FF92D050"/>
  </sheetPr>
  <dimension ref="B6:L262"/>
  <sheetViews>
    <sheetView showGridLines="0" zoomScale="125" zoomScaleNormal="348" workbookViewId="0">
      <selection activeCell="G265" sqref="G265"/>
    </sheetView>
  </sheetViews>
  <sheetFormatPr baseColWidth="10" defaultColWidth="8.83203125" defaultRowHeight="14" x14ac:dyDescent="0.15"/>
  <cols>
    <col min="1" max="1" width="7.5" style="2" customWidth="1"/>
    <col min="2" max="2" width="15.33203125" style="2" bestFit="1" customWidth="1"/>
    <col min="3" max="3" width="14.1640625" style="2" bestFit="1" customWidth="1"/>
    <col min="4" max="4" width="16.1640625" style="2" bestFit="1" customWidth="1"/>
    <col min="5" max="5" width="12.33203125" style="2" bestFit="1" customWidth="1"/>
    <col min="6" max="6" width="12" style="2" bestFit="1" customWidth="1"/>
    <col min="7" max="8" width="8.83203125" style="2"/>
    <col min="9" max="9" width="10.5" style="2" bestFit="1" customWidth="1"/>
    <col min="10" max="10" width="9.83203125" style="2" bestFit="1" customWidth="1"/>
    <col min="11" max="11" width="8.6640625" style="2" bestFit="1" customWidth="1"/>
    <col min="12" max="12" width="9.83203125" style="2" bestFit="1" customWidth="1"/>
    <col min="13" max="16384" width="8.83203125" style="2"/>
  </cols>
  <sheetData>
    <row r="6" spans="2:6" x14ac:dyDescent="0.15">
      <c r="B6" s="88"/>
      <c r="C6" s="88"/>
    </row>
    <row r="7" spans="2:6" s="4" customFormat="1" ht="15" thickBot="1" x14ac:dyDescent="0.2">
      <c r="B7" s="294" t="s">
        <v>96</v>
      </c>
      <c r="C7" s="295" t="s">
        <v>334</v>
      </c>
      <c r="D7" s="295" t="s">
        <v>220</v>
      </c>
      <c r="E7" s="295" t="s">
        <v>97</v>
      </c>
      <c r="F7" s="295" t="s">
        <v>220</v>
      </c>
    </row>
    <row r="8" spans="2:6" ht="15" thickBot="1" x14ac:dyDescent="0.2">
      <c r="B8" s="252">
        <v>45931</v>
      </c>
      <c r="C8" s="254">
        <v>2211</v>
      </c>
      <c r="D8" s="178"/>
      <c r="E8" s="254">
        <v>24836.3</v>
      </c>
      <c r="F8" s="178"/>
    </row>
    <row r="9" spans="2:6" ht="15" thickBot="1" x14ac:dyDescent="0.2">
      <c r="B9" s="252">
        <v>45930</v>
      </c>
      <c r="C9" s="254">
        <v>2191.25</v>
      </c>
      <c r="D9" s="178">
        <f t="shared" ref="D9:D72" si="0">C8/C9-1</f>
        <v>9.0131203650885006E-3</v>
      </c>
      <c r="E9" s="254">
        <v>24611.1</v>
      </c>
      <c r="F9" s="178">
        <f>E8/E9-1</f>
        <v>9.1503427315318131E-3</v>
      </c>
    </row>
    <row r="10" spans="2:6" ht="15" thickBot="1" x14ac:dyDescent="0.2">
      <c r="B10" s="252">
        <v>45929</v>
      </c>
      <c r="C10" s="254">
        <v>2203.0500000000002</v>
      </c>
      <c r="D10" s="178">
        <f t="shared" si="0"/>
        <v>-5.3562107078823917E-3</v>
      </c>
      <c r="E10" s="254">
        <v>24634.9</v>
      </c>
      <c r="F10" s="178">
        <f t="shared" ref="F10:F73" si="1">E9/E10-1</f>
        <v>-9.6610905666361102E-4</v>
      </c>
    </row>
    <row r="11" spans="2:6" ht="15" thickBot="1" x14ac:dyDescent="0.2">
      <c r="B11" s="252">
        <v>45926</v>
      </c>
      <c r="C11" s="254">
        <v>2166.5</v>
      </c>
      <c r="D11" s="178">
        <f t="shared" si="0"/>
        <v>1.6870528502192617E-2</v>
      </c>
      <c r="E11" s="254">
        <v>24654.7</v>
      </c>
      <c r="F11" s="178">
        <f t="shared" si="1"/>
        <v>-8.0309231099950917E-4</v>
      </c>
    </row>
    <row r="12" spans="2:6" ht="15" thickBot="1" x14ac:dyDescent="0.2">
      <c r="B12" s="252">
        <v>45925</v>
      </c>
      <c r="C12" s="254">
        <v>2180</v>
      </c>
      <c r="D12" s="178">
        <f t="shared" si="0"/>
        <v>-6.1926605504587506E-3</v>
      </c>
      <c r="E12" s="254">
        <v>24890.85</v>
      </c>
      <c r="F12" s="178">
        <f t="shared" si="1"/>
        <v>-9.4874220848222279E-3</v>
      </c>
    </row>
    <row r="13" spans="2:6" ht="15" thickBot="1" x14ac:dyDescent="0.2">
      <c r="B13" s="252">
        <v>45924</v>
      </c>
      <c r="C13" s="254">
        <v>2213.5</v>
      </c>
      <c r="D13" s="178">
        <f t="shared" si="0"/>
        <v>-1.5134402529929925E-2</v>
      </c>
      <c r="E13" s="254">
        <v>25056.9</v>
      </c>
      <c r="F13" s="178">
        <f t="shared" si="1"/>
        <v>-6.6269171365972435E-3</v>
      </c>
    </row>
    <row r="14" spans="2:6" ht="15" thickBot="1" x14ac:dyDescent="0.2">
      <c r="B14" s="252">
        <v>45923</v>
      </c>
      <c r="C14" s="254">
        <v>2291.9</v>
      </c>
      <c r="D14" s="178">
        <f t="shared" si="0"/>
        <v>-3.4207426152973563E-2</v>
      </c>
      <c r="E14" s="254">
        <v>25169.5</v>
      </c>
      <c r="F14" s="178">
        <f t="shared" si="1"/>
        <v>-4.4736685273842891E-3</v>
      </c>
    </row>
    <row r="15" spans="2:6" ht="15" thickBot="1" x14ac:dyDescent="0.2">
      <c r="B15" s="252">
        <v>45922</v>
      </c>
      <c r="C15" s="254">
        <v>2348.1999999999998</v>
      </c>
      <c r="D15" s="178">
        <f t="shared" si="0"/>
        <v>-2.3975811259688173E-2</v>
      </c>
      <c r="E15" s="254">
        <v>25202.35</v>
      </c>
      <c r="F15" s="178">
        <f t="shared" si="1"/>
        <v>-1.3034498766979485E-3</v>
      </c>
    </row>
    <row r="16" spans="2:6" ht="15" thickBot="1" x14ac:dyDescent="0.2">
      <c r="B16" s="252">
        <v>45919</v>
      </c>
      <c r="C16" s="254">
        <v>2422.25</v>
      </c>
      <c r="D16" s="178">
        <f t="shared" si="0"/>
        <v>-3.0570750335431995E-2</v>
      </c>
      <c r="E16" s="254">
        <v>25327.05</v>
      </c>
      <c r="F16" s="178">
        <f t="shared" si="1"/>
        <v>-4.9235896008418267E-3</v>
      </c>
    </row>
    <row r="17" spans="2:6" ht="15" thickBot="1" x14ac:dyDescent="0.2">
      <c r="B17" s="252">
        <v>45918</v>
      </c>
      <c r="C17" s="254">
        <v>2463.65</v>
      </c>
      <c r="D17" s="178">
        <f t="shared" si="0"/>
        <v>-1.6804335031355921E-2</v>
      </c>
      <c r="E17" s="254">
        <v>25423.599999999999</v>
      </c>
      <c r="F17" s="178">
        <f t="shared" si="1"/>
        <v>-3.7976525747730472E-3</v>
      </c>
    </row>
    <row r="18" spans="2:6" ht="15" thickBot="1" x14ac:dyDescent="0.2">
      <c r="B18" s="252">
        <v>45917</v>
      </c>
      <c r="C18" s="254">
        <v>2454.8000000000002</v>
      </c>
      <c r="D18" s="178">
        <f t="shared" si="0"/>
        <v>3.6051816848623464E-3</v>
      </c>
      <c r="E18" s="254">
        <v>25330.25</v>
      </c>
      <c r="F18" s="178">
        <f t="shared" si="1"/>
        <v>3.685316962919849E-3</v>
      </c>
    </row>
    <row r="19" spans="2:6" ht="15" thickBot="1" x14ac:dyDescent="0.2">
      <c r="B19" s="252">
        <v>45916</v>
      </c>
      <c r="C19" s="254">
        <v>2493.6</v>
      </c>
      <c r="D19" s="178">
        <f t="shared" si="0"/>
        <v>-1.5559833172922533E-2</v>
      </c>
      <c r="E19" s="254">
        <v>25239.1</v>
      </c>
      <c r="F19" s="178">
        <f t="shared" si="1"/>
        <v>3.6114599965926253E-3</v>
      </c>
    </row>
    <row r="20" spans="2:6" ht="15" thickBot="1" x14ac:dyDescent="0.2">
      <c r="B20" s="252">
        <v>45915</v>
      </c>
      <c r="C20" s="254">
        <v>2451.9499999999998</v>
      </c>
      <c r="D20" s="178">
        <f t="shared" si="0"/>
        <v>1.6986480148453387E-2</v>
      </c>
      <c r="E20" s="254">
        <v>25069.200000000001</v>
      </c>
      <c r="F20" s="178">
        <f t="shared" si="1"/>
        <v>6.7772405980246475E-3</v>
      </c>
    </row>
    <row r="21" spans="2:6" ht="15" thickBot="1" x14ac:dyDescent="0.2">
      <c r="B21" s="252">
        <v>45912</v>
      </c>
      <c r="C21" s="254">
        <v>2454.8000000000002</v>
      </c>
      <c r="D21" s="178">
        <f t="shared" si="0"/>
        <v>-1.1609907120744278E-3</v>
      </c>
      <c r="E21" s="254">
        <v>25114</v>
      </c>
      <c r="F21" s="178">
        <f t="shared" si="1"/>
        <v>-1.7838655729871533E-3</v>
      </c>
    </row>
    <row r="22" spans="2:6" ht="15" thickBot="1" x14ac:dyDescent="0.2">
      <c r="B22" s="252">
        <v>45911</v>
      </c>
      <c r="C22" s="254">
        <v>2510.1</v>
      </c>
      <c r="D22" s="178">
        <f t="shared" si="0"/>
        <v>-2.2030994781084279E-2</v>
      </c>
      <c r="E22" s="254">
        <v>25005.5</v>
      </c>
      <c r="F22" s="178">
        <f t="shared" si="1"/>
        <v>4.3390454100098452E-3</v>
      </c>
    </row>
    <row r="23" spans="2:6" ht="15" thickBot="1" x14ac:dyDescent="0.2">
      <c r="B23" s="252">
        <v>45910</v>
      </c>
      <c r="C23" s="254">
        <v>2536.5</v>
      </c>
      <c r="D23" s="178">
        <f t="shared" si="0"/>
        <v>-1.0408042578356036E-2</v>
      </c>
      <c r="E23" s="254">
        <v>24973.1</v>
      </c>
      <c r="F23" s="178">
        <f t="shared" si="1"/>
        <v>1.2973959980939753E-3</v>
      </c>
    </row>
    <row r="24" spans="2:6" ht="15" thickBot="1" x14ac:dyDescent="0.2">
      <c r="B24" s="252">
        <v>45909</v>
      </c>
      <c r="C24" s="254">
        <v>2432.75</v>
      </c>
      <c r="D24" s="178">
        <f t="shared" si="0"/>
        <v>4.2647209947590081E-2</v>
      </c>
      <c r="E24" s="254">
        <v>24868.6</v>
      </c>
      <c r="F24" s="178">
        <f t="shared" si="1"/>
        <v>4.2020861648826013E-3</v>
      </c>
    </row>
    <row r="25" spans="2:6" ht="15" thickBot="1" x14ac:dyDescent="0.2">
      <c r="B25" s="252">
        <v>45908</v>
      </c>
      <c r="C25" s="254">
        <v>2454.9</v>
      </c>
      <c r="D25" s="178">
        <f t="shared" si="0"/>
        <v>-9.0227707849607208E-3</v>
      </c>
      <c r="E25" s="254">
        <v>24773.15</v>
      </c>
      <c r="F25" s="178">
        <f t="shared" si="1"/>
        <v>3.8529617751474898E-3</v>
      </c>
    </row>
    <row r="26" spans="2:6" ht="15" thickBot="1" x14ac:dyDescent="0.2">
      <c r="B26" s="252">
        <v>45905</v>
      </c>
      <c r="C26" s="254">
        <v>2432.6999999999998</v>
      </c>
      <c r="D26" s="178">
        <f t="shared" si="0"/>
        <v>9.1256628437539344E-3</v>
      </c>
      <c r="E26" s="254">
        <v>24741</v>
      </c>
      <c r="F26" s="178">
        <f t="shared" si="1"/>
        <v>1.2994624307829383E-3</v>
      </c>
    </row>
    <row r="27" spans="2:6" ht="15" thickBot="1" x14ac:dyDescent="0.2">
      <c r="B27" s="252">
        <v>45904</v>
      </c>
      <c r="C27" s="254">
        <v>2491.1999999999998</v>
      </c>
      <c r="D27" s="178">
        <f t="shared" si="0"/>
        <v>-2.3482658959537606E-2</v>
      </c>
      <c r="E27" s="254">
        <v>24734.3</v>
      </c>
      <c r="F27" s="178">
        <f t="shared" si="1"/>
        <v>2.7087890095933709E-4</v>
      </c>
    </row>
    <row r="28" spans="2:6" ht="15" thickBot="1" x14ac:dyDescent="0.2">
      <c r="B28" s="252">
        <v>45903</v>
      </c>
      <c r="C28" s="254">
        <v>2572.5</v>
      </c>
      <c r="D28" s="178">
        <f t="shared" si="0"/>
        <v>-3.1603498542274178E-2</v>
      </c>
      <c r="E28" s="254">
        <v>24715.05</v>
      </c>
      <c r="F28" s="178">
        <f t="shared" si="1"/>
        <v>7.7887764742534671E-4</v>
      </c>
    </row>
    <row r="29" spans="2:6" ht="15" thickBot="1" x14ac:dyDescent="0.2">
      <c r="B29" s="252">
        <v>45902</v>
      </c>
      <c r="C29" s="254">
        <v>2607.3000000000002</v>
      </c>
      <c r="D29" s="178">
        <f t="shared" si="0"/>
        <v>-1.3347140720285422E-2</v>
      </c>
      <c r="E29" s="254">
        <v>24579.599999999999</v>
      </c>
      <c r="F29" s="178">
        <f t="shared" si="1"/>
        <v>5.510667382707668E-3</v>
      </c>
    </row>
    <row r="30" spans="2:6" ht="15" thickBot="1" x14ac:dyDescent="0.2">
      <c r="B30" s="252">
        <v>45901</v>
      </c>
      <c r="C30" s="254">
        <v>2532.65</v>
      </c>
      <c r="D30" s="178">
        <f t="shared" si="0"/>
        <v>2.9475055771622571E-2</v>
      </c>
      <c r="E30" s="254">
        <v>24625.05</v>
      </c>
      <c r="F30" s="178">
        <f t="shared" si="1"/>
        <v>-1.8456815316111319E-3</v>
      </c>
    </row>
    <row r="31" spans="2:6" ht="15" thickBot="1" x14ac:dyDescent="0.2">
      <c r="B31" s="252">
        <v>45898</v>
      </c>
      <c r="C31" s="254">
        <v>2432.3000000000002</v>
      </c>
      <c r="D31" s="178">
        <f t="shared" si="0"/>
        <v>4.1257246227850208E-2</v>
      </c>
      <c r="E31" s="254">
        <v>24426.85</v>
      </c>
      <c r="F31" s="178">
        <f t="shared" si="1"/>
        <v>8.1140220699762455E-3</v>
      </c>
    </row>
    <row r="32" spans="2:6" ht="15" thickBot="1" x14ac:dyDescent="0.2">
      <c r="B32" s="252">
        <v>45897</v>
      </c>
      <c r="C32" s="254">
        <v>2430.9499999999998</v>
      </c>
      <c r="D32" s="178">
        <f t="shared" si="0"/>
        <v>5.5533844793198561E-4</v>
      </c>
      <c r="E32" s="254">
        <v>24500.9</v>
      </c>
      <c r="F32" s="178">
        <f t="shared" si="1"/>
        <v>-3.0223379549323415E-3</v>
      </c>
    </row>
    <row r="33" spans="2:6" ht="15" thickBot="1" x14ac:dyDescent="0.2">
      <c r="B33" s="252">
        <v>45895</v>
      </c>
      <c r="C33" s="254">
        <v>2526.3000000000002</v>
      </c>
      <c r="D33" s="178">
        <f t="shared" si="0"/>
        <v>-3.7742944226734854E-2</v>
      </c>
      <c r="E33" s="254">
        <v>24712.05</v>
      </c>
      <c r="F33" s="178">
        <f t="shared" si="1"/>
        <v>-8.5444145669824056E-3</v>
      </c>
    </row>
    <row r="34" spans="2:6" ht="15" thickBot="1" x14ac:dyDescent="0.2">
      <c r="B34" s="252">
        <v>45894</v>
      </c>
      <c r="C34" s="254">
        <v>2602.1999999999998</v>
      </c>
      <c r="D34" s="178">
        <f t="shared" si="0"/>
        <v>-2.9167627392206463E-2</v>
      </c>
      <c r="E34" s="254">
        <v>24967.75</v>
      </c>
      <c r="F34" s="178">
        <f t="shared" si="1"/>
        <v>-1.0241211162399511E-2</v>
      </c>
    </row>
    <row r="35" spans="2:6" ht="15" thickBot="1" x14ac:dyDescent="0.2">
      <c r="B35" s="252">
        <v>45891</v>
      </c>
      <c r="C35" s="254">
        <v>2489.6</v>
      </c>
      <c r="D35" s="178">
        <f t="shared" si="0"/>
        <v>4.5228149100257076E-2</v>
      </c>
      <c r="E35" s="254">
        <v>24870.1</v>
      </c>
      <c r="F35" s="178">
        <f t="shared" si="1"/>
        <v>3.9264015826234733E-3</v>
      </c>
    </row>
    <row r="36" spans="2:6" ht="15" thickBot="1" x14ac:dyDescent="0.2">
      <c r="B36" s="252">
        <v>45890</v>
      </c>
      <c r="C36" s="254">
        <v>2496.6</v>
      </c>
      <c r="D36" s="178">
        <f t="shared" si="0"/>
        <v>-2.8038131859329241E-3</v>
      </c>
      <c r="E36" s="254">
        <v>25083.75</v>
      </c>
      <c r="F36" s="178">
        <f t="shared" si="1"/>
        <v>-8.5174664872676997E-3</v>
      </c>
    </row>
    <row r="37" spans="2:6" ht="15" thickBot="1" x14ac:dyDescent="0.2">
      <c r="B37" s="252">
        <v>45889</v>
      </c>
      <c r="C37" s="254">
        <v>2545.8000000000002</v>
      </c>
      <c r="D37" s="178">
        <f t="shared" si="0"/>
        <v>-1.9325948621258693E-2</v>
      </c>
      <c r="E37" s="254">
        <v>25050.55</v>
      </c>
      <c r="F37" s="178">
        <f t="shared" si="1"/>
        <v>1.3253202025504951E-3</v>
      </c>
    </row>
    <row r="38" spans="2:6" ht="15" thickBot="1" x14ac:dyDescent="0.2">
      <c r="B38" s="252">
        <v>45888</v>
      </c>
      <c r="C38" s="254">
        <v>2538.8000000000002</v>
      </c>
      <c r="D38" s="178">
        <f t="shared" si="0"/>
        <v>2.7572081298250506E-3</v>
      </c>
      <c r="E38" s="254">
        <v>24980.65</v>
      </c>
      <c r="F38" s="178">
        <f t="shared" si="1"/>
        <v>2.7981657803137772E-3</v>
      </c>
    </row>
    <row r="39" spans="2:6" ht="15" thickBot="1" x14ac:dyDescent="0.2">
      <c r="B39" s="252">
        <v>45887</v>
      </c>
      <c r="C39" s="254">
        <v>2514.5500000000002</v>
      </c>
      <c r="D39" s="178">
        <f t="shared" si="0"/>
        <v>9.6438726611123293E-3</v>
      </c>
      <c r="E39" s="254">
        <v>24876.95</v>
      </c>
      <c r="F39" s="178">
        <f t="shared" si="1"/>
        <v>4.1685174428538474E-3</v>
      </c>
    </row>
    <row r="40" spans="2:6" ht="15" thickBot="1" x14ac:dyDescent="0.2">
      <c r="B40" s="252">
        <v>45883</v>
      </c>
      <c r="C40" s="254">
        <v>2503.4499999999998</v>
      </c>
      <c r="D40" s="178">
        <f t="shared" si="0"/>
        <v>4.4338812438835529E-3</v>
      </c>
      <c r="E40" s="254">
        <v>24631.3</v>
      </c>
      <c r="F40" s="178">
        <f t="shared" si="1"/>
        <v>9.9730830285045258E-3</v>
      </c>
    </row>
    <row r="41" spans="2:6" ht="15" thickBot="1" x14ac:dyDescent="0.2">
      <c r="B41" s="252">
        <v>45882</v>
      </c>
      <c r="C41" s="254">
        <v>2509.3000000000002</v>
      </c>
      <c r="D41" s="178">
        <f t="shared" si="0"/>
        <v>-2.3313274618420587E-3</v>
      </c>
      <c r="E41" s="254">
        <v>24619.35</v>
      </c>
      <c r="F41" s="178">
        <f t="shared" si="1"/>
        <v>4.8539055661511732E-4</v>
      </c>
    </row>
    <row r="42" spans="2:6" ht="15" thickBot="1" x14ac:dyDescent="0.2">
      <c r="B42" s="252">
        <v>45881</v>
      </c>
      <c r="C42" s="254">
        <v>2521.0500000000002</v>
      </c>
      <c r="D42" s="178">
        <f t="shared" si="0"/>
        <v>-4.6607564308521754E-3</v>
      </c>
      <c r="E42" s="254">
        <v>24487.4</v>
      </c>
      <c r="F42" s="178">
        <f t="shared" si="1"/>
        <v>5.3884855068320192E-3</v>
      </c>
    </row>
    <row r="43" spans="2:6" ht="15" thickBot="1" x14ac:dyDescent="0.2">
      <c r="B43" s="252">
        <v>45880</v>
      </c>
      <c r="C43" s="254">
        <v>2525.4</v>
      </c>
      <c r="D43" s="178">
        <f t="shared" si="0"/>
        <v>-1.7224994060346388E-3</v>
      </c>
      <c r="E43" s="254">
        <v>24585.05</v>
      </c>
      <c r="F43" s="178">
        <f t="shared" si="1"/>
        <v>-3.9719260282162772E-3</v>
      </c>
    </row>
    <row r="44" spans="2:6" ht="15" thickBot="1" x14ac:dyDescent="0.2">
      <c r="B44" s="252">
        <v>45877</v>
      </c>
      <c r="C44" s="254">
        <v>2488.85</v>
      </c>
      <c r="D44" s="178">
        <f t="shared" si="0"/>
        <v>1.4685497318038587E-2</v>
      </c>
      <c r="E44" s="254">
        <v>24363.3</v>
      </c>
      <c r="F44" s="178">
        <f t="shared" si="1"/>
        <v>9.1018047637225763E-3</v>
      </c>
    </row>
    <row r="45" spans="2:6" ht="15" thickBot="1" x14ac:dyDescent="0.2">
      <c r="B45" s="252">
        <v>45876</v>
      </c>
      <c r="C45" s="254">
        <v>2523.6999999999998</v>
      </c>
      <c r="D45" s="178">
        <f t="shared" si="0"/>
        <v>-1.3809089828426435E-2</v>
      </c>
      <c r="E45" s="254">
        <v>24596.15</v>
      </c>
      <c r="F45" s="178">
        <f t="shared" si="1"/>
        <v>-9.4669287673071478E-3</v>
      </c>
    </row>
    <row r="46" spans="2:6" ht="15" thickBot="1" x14ac:dyDescent="0.2">
      <c r="B46" s="252">
        <v>45875</v>
      </c>
      <c r="C46" s="254">
        <v>2514.15</v>
      </c>
      <c r="D46" s="178">
        <f t="shared" si="0"/>
        <v>3.7985004872420625E-3</v>
      </c>
      <c r="E46" s="254">
        <v>24574.2</v>
      </c>
      <c r="F46" s="178">
        <f t="shared" si="1"/>
        <v>8.9321320734758736E-4</v>
      </c>
    </row>
    <row r="47" spans="2:6" ht="15" thickBot="1" x14ac:dyDescent="0.2">
      <c r="B47" s="252">
        <v>45874</v>
      </c>
      <c r="C47" s="254">
        <v>2523.5</v>
      </c>
      <c r="D47" s="178">
        <f t="shared" si="0"/>
        <v>-3.7051713889438842E-3</v>
      </c>
      <c r="E47" s="254">
        <v>24649.55</v>
      </c>
      <c r="F47" s="178">
        <f t="shared" si="1"/>
        <v>-3.0568509364268248E-3</v>
      </c>
    </row>
    <row r="48" spans="2:6" ht="15" thickBot="1" x14ac:dyDescent="0.2">
      <c r="B48" s="252">
        <v>45873</v>
      </c>
      <c r="C48" s="254">
        <v>2522.4</v>
      </c>
      <c r="D48" s="178">
        <f t="shared" si="0"/>
        <v>4.3609261021249068E-4</v>
      </c>
      <c r="E48" s="254">
        <v>24722.75</v>
      </c>
      <c r="F48" s="178">
        <f t="shared" si="1"/>
        <v>-2.9608356675532299E-3</v>
      </c>
    </row>
    <row r="49" spans="2:6" ht="15" thickBot="1" x14ac:dyDescent="0.2">
      <c r="B49" s="252">
        <v>45870</v>
      </c>
      <c r="C49" s="254">
        <v>2447</v>
      </c>
      <c r="D49" s="178">
        <f t="shared" si="0"/>
        <v>3.081324070290159E-2</v>
      </c>
      <c r="E49" s="254">
        <v>24565.35</v>
      </c>
      <c r="F49" s="178">
        <f t="shared" si="1"/>
        <v>6.4073990397044422E-3</v>
      </c>
    </row>
    <row r="50" spans="2:6" ht="15" thickBot="1" x14ac:dyDescent="0.2">
      <c r="B50" s="252">
        <v>45869</v>
      </c>
      <c r="C50" s="254">
        <v>2415.9499999999998</v>
      </c>
      <c r="D50" s="178">
        <f t="shared" si="0"/>
        <v>1.2852087170678317E-2</v>
      </c>
      <c r="E50" s="254">
        <v>24768.35</v>
      </c>
      <c r="F50" s="178">
        <f t="shared" si="1"/>
        <v>-8.195943613522938E-3</v>
      </c>
    </row>
    <row r="51" spans="2:6" ht="15" thickBot="1" x14ac:dyDescent="0.2">
      <c r="B51" s="252">
        <v>45868</v>
      </c>
      <c r="C51" s="254">
        <v>2467.8000000000002</v>
      </c>
      <c r="D51" s="178">
        <f t="shared" si="0"/>
        <v>-2.101061674365845E-2</v>
      </c>
      <c r="E51" s="254">
        <v>24855.05</v>
      </c>
      <c r="F51" s="178">
        <f t="shared" si="1"/>
        <v>-3.4882247269669708E-3</v>
      </c>
    </row>
    <row r="52" spans="2:6" ht="15" thickBot="1" x14ac:dyDescent="0.2">
      <c r="B52" s="252">
        <v>45867</v>
      </c>
      <c r="C52" s="254">
        <v>2452.85</v>
      </c>
      <c r="D52" s="178">
        <f t="shared" si="0"/>
        <v>6.0949507715515328E-3</v>
      </c>
      <c r="E52" s="254">
        <v>24821.1</v>
      </c>
      <c r="F52" s="178">
        <f t="shared" si="1"/>
        <v>1.3677878901419138E-3</v>
      </c>
    </row>
    <row r="53" spans="2:6" ht="15" thickBot="1" x14ac:dyDescent="0.2">
      <c r="B53" s="252">
        <v>45866</v>
      </c>
      <c r="C53" s="254">
        <v>2483.4</v>
      </c>
      <c r="D53" s="178">
        <f t="shared" si="0"/>
        <v>-1.2301683176290656E-2</v>
      </c>
      <c r="E53" s="254">
        <v>24680.9</v>
      </c>
      <c r="F53" s="178">
        <f t="shared" si="1"/>
        <v>5.6805059783069378E-3</v>
      </c>
    </row>
    <row r="54" spans="2:6" ht="15" thickBot="1" x14ac:dyDescent="0.2">
      <c r="B54" s="252">
        <v>45863</v>
      </c>
      <c r="C54" s="254">
        <v>2480.85</v>
      </c>
      <c r="D54" s="178">
        <f t="shared" si="0"/>
        <v>1.0278735110951231E-3</v>
      </c>
      <c r="E54" s="254">
        <v>24837</v>
      </c>
      <c r="F54" s="178">
        <f t="shared" si="1"/>
        <v>-6.2849780569311786E-3</v>
      </c>
    </row>
    <row r="55" spans="2:6" ht="15" thickBot="1" x14ac:dyDescent="0.2">
      <c r="B55" s="252">
        <v>45862</v>
      </c>
      <c r="C55" s="254">
        <v>2476.35</v>
      </c>
      <c r="D55" s="178">
        <f t="shared" si="0"/>
        <v>1.8171906232964385E-3</v>
      </c>
      <c r="E55" s="254">
        <v>25062.1</v>
      </c>
      <c r="F55" s="178">
        <f t="shared" si="1"/>
        <v>-8.9816894833233407E-3</v>
      </c>
    </row>
    <row r="56" spans="2:6" ht="15" thickBot="1" x14ac:dyDescent="0.2">
      <c r="B56" s="252">
        <v>45861</v>
      </c>
      <c r="C56" s="254">
        <v>2552.9499999999998</v>
      </c>
      <c r="D56" s="178">
        <f t="shared" si="0"/>
        <v>-3.0004504592726078E-2</v>
      </c>
      <c r="E56" s="254">
        <v>25219.9</v>
      </c>
      <c r="F56" s="178">
        <f t="shared" si="1"/>
        <v>-6.2569637468825601E-3</v>
      </c>
    </row>
    <row r="57" spans="2:6" ht="15" thickBot="1" x14ac:dyDescent="0.2">
      <c r="B57" s="252">
        <v>45860</v>
      </c>
      <c r="C57" s="254">
        <v>2656.25</v>
      </c>
      <c r="D57" s="178">
        <f t="shared" si="0"/>
        <v>-3.888941176470595E-2</v>
      </c>
      <c r="E57" s="254">
        <v>25060.9</v>
      </c>
      <c r="F57" s="178">
        <f t="shared" si="1"/>
        <v>6.3445446891372548E-3</v>
      </c>
    </row>
    <row r="58" spans="2:6" ht="15" thickBot="1" x14ac:dyDescent="0.2">
      <c r="B58" s="252">
        <v>45859</v>
      </c>
      <c r="C58" s="254">
        <v>2672.4</v>
      </c>
      <c r="D58" s="178">
        <f t="shared" si="0"/>
        <v>-6.0432569974555594E-3</v>
      </c>
      <c r="E58" s="254">
        <v>25090.7</v>
      </c>
      <c r="F58" s="178">
        <f t="shared" si="1"/>
        <v>-1.1876910568456855E-3</v>
      </c>
    </row>
    <row r="59" spans="2:6" ht="15" thickBot="1" x14ac:dyDescent="0.2">
      <c r="B59" s="252">
        <v>45856</v>
      </c>
      <c r="C59" s="254">
        <v>2491.6999999999998</v>
      </c>
      <c r="D59" s="178">
        <f t="shared" si="0"/>
        <v>7.252076895292392E-2</v>
      </c>
      <c r="E59" s="254">
        <v>24968.400000000001</v>
      </c>
      <c r="F59" s="178">
        <f t="shared" si="1"/>
        <v>4.8981913138206323E-3</v>
      </c>
    </row>
    <row r="60" spans="2:6" ht="15" thickBot="1" x14ac:dyDescent="0.2">
      <c r="B60" s="252">
        <v>45855</v>
      </c>
      <c r="C60" s="254">
        <v>2539.4499999999998</v>
      </c>
      <c r="D60" s="178">
        <f t="shared" si="0"/>
        <v>-1.8803284175707313E-2</v>
      </c>
      <c r="E60" s="254">
        <v>25111.45</v>
      </c>
      <c r="F60" s="178">
        <f t="shared" si="1"/>
        <v>-5.6966045369741813E-3</v>
      </c>
    </row>
    <row r="61" spans="2:6" ht="15" thickBot="1" x14ac:dyDescent="0.2">
      <c r="B61" s="252">
        <v>45854</v>
      </c>
      <c r="C61" s="254">
        <v>2556.9499999999998</v>
      </c>
      <c r="D61" s="178">
        <f t="shared" si="0"/>
        <v>-6.844091593500079E-3</v>
      </c>
      <c r="E61" s="254">
        <v>25212.05</v>
      </c>
      <c r="F61" s="178">
        <f t="shared" si="1"/>
        <v>-3.9901555010400935E-3</v>
      </c>
    </row>
    <row r="62" spans="2:6" ht="15" thickBot="1" x14ac:dyDescent="0.2">
      <c r="B62" s="252">
        <v>45853</v>
      </c>
      <c r="C62" s="254">
        <v>2524.25</v>
      </c>
      <c r="D62" s="178">
        <f t="shared" si="0"/>
        <v>1.2954342874121005E-2</v>
      </c>
      <c r="E62" s="254">
        <v>25195.8</v>
      </c>
      <c r="F62" s="178">
        <f t="shared" si="1"/>
        <v>6.4494876130138934E-4</v>
      </c>
    </row>
    <row r="63" spans="2:6" ht="15" thickBot="1" x14ac:dyDescent="0.2">
      <c r="B63" s="252">
        <v>45852</v>
      </c>
      <c r="C63" s="254">
        <v>2503.5</v>
      </c>
      <c r="D63" s="178">
        <f t="shared" si="0"/>
        <v>8.2883962452566795E-3</v>
      </c>
      <c r="E63" s="254">
        <v>25082.3</v>
      </c>
      <c r="F63" s="178">
        <f t="shared" si="1"/>
        <v>4.5251033597397683E-3</v>
      </c>
    </row>
    <row r="64" spans="2:6" ht="15" thickBot="1" x14ac:dyDescent="0.2">
      <c r="B64" s="252">
        <v>45849</v>
      </c>
      <c r="C64" s="254">
        <v>2518.1999999999998</v>
      </c>
      <c r="D64" s="178">
        <f t="shared" si="0"/>
        <v>-5.8375029783177546E-3</v>
      </c>
      <c r="E64" s="254">
        <v>25149.85</v>
      </c>
      <c r="F64" s="178">
        <f t="shared" si="1"/>
        <v>-2.68590071113739E-3</v>
      </c>
    </row>
    <row r="65" spans="2:6" ht="15" thickBot="1" x14ac:dyDescent="0.2">
      <c r="B65" s="252">
        <v>45848</v>
      </c>
      <c r="C65" s="254">
        <v>2537</v>
      </c>
      <c r="D65" s="178">
        <f t="shared" si="0"/>
        <v>-7.410327158060781E-3</v>
      </c>
      <c r="E65" s="254">
        <v>25355.25</v>
      </c>
      <c r="F65" s="178">
        <f t="shared" si="1"/>
        <v>-8.1008864041963724E-3</v>
      </c>
    </row>
    <row r="66" spans="2:6" ht="15" thickBot="1" x14ac:dyDescent="0.2">
      <c r="B66" s="252">
        <v>45847</v>
      </c>
      <c r="C66" s="254">
        <v>2577.25</v>
      </c>
      <c r="D66" s="178">
        <f t="shared" si="0"/>
        <v>-1.5617421670385045E-2</v>
      </c>
      <c r="E66" s="254">
        <v>25476.1</v>
      </c>
      <c r="F66" s="178">
        <f t="shared" si="1"/>
        <v>-4.7436617064621212E-3</v>
      </c>
    </row>
    <row r="67" spans="2:6" ht="15" thickBot="1" x14ac:dyDescent="0.2">
      <c r="B67" s="252">
        <v>45846</v>
      </c>
      <c r="C67" s="254">
        <v>2566</v>
      </c>
      <c r="D67" s="178">
        <f t="shared" si="0"/>
        <v>4.3842556508184582E-3</v>
      </c>
      <c r="E67" s="254">
        <v>25522.5</v>
      </c>
      <c r="F67" s="178">
        <f t="shared" si="1"/>
        <v>-1.8180037222059742E-3</v>
      </c>
    </row>
    <row r="68" spans="2:6" ht="15" thickBot="1" x14ac:dyDescent="0.2">
      <c r="B68" s="252">
        <v>45845</v>
      </c>
      <c r="C68" s="254">
        <v>2566.85</v>
      </c>
      <c r="D68" s="178">
        <f t="shared" si="0"/>
        <v>-3.3114517794174958E-4</v>
      </c>
      <c r="E68" s="254">
        <v>25461.3</v>
      </c>
      <c r="F68" s="178">
        <f t="shared" si="1"/>
        <v>2.403647889149374E-3</v>
      </c>
    </row>
    <row r="69" spans="2:6" ht="15" thickBot="1" x14ac:dyDescent="0.2">
      <c r="B69" s="252">
        <v>45842</v>
      </c>
      <c r="C69" s="254">
        <v>2545.4499999999998</v>
      </c>
      <c r="D69" s="178">
        <f t="shared" si="0"/>
        <v>8.4071578699247418E-3</v>
      </c>
      <c r="E69" s="254">
        <v>25461</v>
      </c>
      <c r="F69" s="178">
        <f t="shared" si="1"/>
        <v>1.1782726522913123E-5</v>
      </c>
    </row>
    <row r="70" spans="2:6" ht="15" thickBot="1" x14ac:dyDescent="0.2">
      <c r="B70" s="252">
        <v>45841</v>
      </c>
      <c r="C70" s="254">
        <v>2419.35</v>
      </c>
      <c r="D70" s="178">
        <f t="shared" si="0"/>
        <v>5.2121437576208463E-2</v>
      </c>
      <c r="E70" s="254">
        <v>25405.3</v>
      </c>
      <c r="F70" s="178">
        <f t="shared" si="1"/>
        <v>2.1924559048702719E-3</v>
      </c>
    </row>
    <row r="71" spans="2:6" ht="15" thickBot="1" x14ac:dyDescent="0.2">
      <c r="B71" s="252">
        <v>45840</v>
      </c>
      <c r="C71" s="254">
        <v>2445.8000000000002</v>
      </c>
      <c r="D71" s="178">
        <f t="shared" si="0"/>
        <v>-1.0814457437239411E-2</v>
      </c>
      <c r="E71" s="254">
        <v>25453.4</v>
      </c>
      <c r="F71" s="178">
        <f t="shared" si="1"/>
        <v>-1.8897278948981633E-3</v>
      </c>
    </row>
    <row r="72" spans="2:6" ht="15" thickBot="1" x14ac:dyDescent="0.2">
      <c r="B72" s="252">
        <v>45839</v>
      </c>
      <c r="C72" s="254">
        <v>2425.35</v>
      </c>
      <c r="D72" s="178">
        <f t="shared" si="0"/>
        <v>8.4317727338323323E-3</v>
      </c>
      <c r="E72" s="254">
        <v>25541.8</v>
      </c>
      <c r="F72" s="178">
        <f t="shared" si="1"/>
        <v>-3.4609933520737268E-3</v>
      </c>
    </row>
    <row r="73" spans="2:6" ht="15" thickBot="1" x14ac:dyDescent="0.2">
      <c r="B73" s="252">
        <v>45838</v>
      </c>
      <c r="C73" s="254">
        <v>2442.0500000000002</v>
      </c>
      <c r="D73" s="178">
        <f t="shared" ref="D73:D136" si="2">C72/C73-1</f>
        <v>-6.8385168198850099E-3</v>
      </c>
      <c r="E73" s="254">
        <v>25517.05</v>
      </c>
      <c r="F73" s="178">
        <f t="shared" si="1"/>
        <v>9.6993970698022736E-4</v>
      </c>
    </row>
    <row r="74" spans="2:6" ht="15" thickBot="1" x14ac:dyDescent="0.2">
      <c r="B74" s="252">
        <v>45835</v>
      </c>
      <c r="C74" s="254">
        <v>2426.4</v>
      </c>
      <c r="D74" s="178">
        <f t="shared" si="2"/>
        <v>6.4498846027036816E-3</v>
      </c>
      <c r="E74" s="254">
        <v>25637.8</v>
      </c>
      <c r="F74" s="178">
        <f t="shared" ref="F74:F137" si="3">E73/E74-1</f>
        <v>-4.7098424981862896E-3</v>
      </c>
    </row>
    <row r="75" spans="2:6" ht="15" thickBot="1" x14ac:dyDescent="0.2">
      <c r="B75" s="252">
        <v>45834</v>
      </c>
      <c r="C75" s="254">
        <v>2452.6</v>
      </c>
      <c r="D75" s="178">
        <f t="shared" si="2"/>
        <v>-1.0682540976922339E-2</v>
      </c>
      <c r="E75" s="254">
        <v>25549</v>
      </c>
      <c r="F75" s="178">
        <f t="shared" si="3"/>
        <v>3.4756741946846414E-3</v>
      </c>
    </row>
    <row r="76" spans="2:6" ht="15" thickBot="1" x14ac:dyDescent="0.2">
      <c r="B76" s="252">
        <v>45833</v>
      </c>
      <c r="C76" s="254">
        <v>2508.1999999999998</v>
      </c>
      <c r="D76" s="178">
        <f t="shared" si="2"/>
        <v>-2.2167291284586499E-2</v>
      </c>
      <c r="E76" s="254">
        <v>25244.75</v>
      </c>
      <c r="F76" s="178">
        <f t="shared" si="3"/>
        <v>1.2052010814129765E-2</v>
      </c>
    </row>
    <row r="77" spans="2:6" ht="15" thickBot="1" x14ac:dyDescent="0.2">
      <c r="B77" s="252">
        <v>45832</v>
      </c>
      <c r="C77" s="254">
        <v>2482.0500000000002</v>
      </c>
      <c r="D77" s="178">
        <f t="shared" si="2"/>
        <v>1.0535645937833404E-2</v>
      </c>
      <c r="E77" s="254">
        <v>25044.35</v>
      </c>
      <c r="F77" s="178">
        <f t="shared" si="3"/>
        <v>8.001804798287937E-3</v>
      </c>
    </row>
    <row r="78" spans="2:6" ht="15" thickBot="1" x14ac:dyDescent="0.2">
      <c r="B78" s="252">
        <v>45831</v>
      </c>
      <c r="C78" s="254">
        <v>2444.8000000000002</v>
      </c>
      <c r="D78" s="178">
        <f t="shared" si="2"/>
        <v>1.5236420157068054E-2</v>
      </c>
      <c r="E78" s="254">
        <v>24971.9</v>
      </c>
      <c r="F78" s="178">
        <f t="shared" si="3"/>
        <v>2.9012610173835274E-3</v>
      </c>
    </row>
    <row r="79" spans="2:6" ht="15" thickBot="1" x14ac:dyDescent="0.2">
      <c r="B79" s="252">
        <v>45828</v>
      </c>
      <c r="C79" s="254">
        <v>2421.3000000000002</v>
      </c>
      <c r="D79" s="178">
        <f t="shared" si="2"/>
        <v>9.7055300871433658E-3</v>
      </c>
      <c r="E79" s="254">
        <v>25112.400000000001</v>
      </c>
      <c r="F79" s="178">
        <f t="shared" si="3"/>
        <v>-5.594845574297902E-3</v>
      </c>
    </row>
    <row r="80" spans="2:6" ht="15" thickBot="1" x14ac:dyDescent="0.2">
      <c r="B80" s="252">
        <v>45827</v>
      </c>
      <c r="C80" s="254">
        <v>2390.6</v>
      </c>
      <c r="D80" s="178">
        <f t="shared" si="2"/>
        <v>1.2841964360411628E-2</v>
      </c>
      <c r="E80" s="254">
        <v>24793.25</v>
      </c>
      <c r="F80" s="178">
        <f t="shared" si="3"/>
        <v>1.2872455204541611E-2</v>
      </c>
    </row>
    <row r="81" spans="2:6" ht="15" thickBot="1" x14ac:dyDescent="0.2">
      <c r="B81" s="252">
        <v>45826</v>
      </c>
      <c r="C81" s="254">
        <v>2452.1</v>
      </c>
      <c r="D81" s="178">
        <f t="shared" si="2"/>
        <v>-2.5080543207862682E-2</v>
      </c>
      <c r="E81" s="254">
        <v>24812.05</v>
      </c>
      <c r="F81" s="178">
        <f t="shared" si="3"/>
        <v>-7.5769636124378703E-4</v>
      </c>
    </row>
    <row r="82" spans="2:6" ht="15" thickBot="1" x14ac:dyDescent="0.2">
      <c r="B82" s="252">
        <v>45825</v>
      </c>
      <c r="C82" s="254">
        <v>2480</v>
      </c>
      <c r="D82" s="178">
        <f t="shared" si="2"/>
        <v>-1.1249999999999982E-2</v>
      </c>
      <c r="E82" s="254">
        <v>24853.4</v>
      </c>
      <c r="F82" s="178">
        <f t="shared" si="3"/>
        <v>-1.6637562667483063E-3</v>
      </c>
    </row>
    <row r="83" spans="2:6" ht="15" thickBot="1" x14ac:dyDescent="0.2">
      <c r="B83" s="252">
        <v>45824</v>
      </c>
      <c r="C83" s="254">
        <v>2497.5500000000002</v>
      </c>
      <c r="D83" s="178">
        <f t="shared" si="2"/>
        <v>-7.026886348621697E-3</v>
      </c>
      <c r="E83" s="254">
        <v>24946.5</v>
      </c>
      <c r="F83" s="178">
        <f t="shared" si="3"/>
        <v>-3.7319864510051426E-3</v>
      </c>
    </row>
    <row r="84" spans="2:6" ht="15" thickBot="1" x14ac:dyDescent="0.2">
      <c r="B84" s="252">
        <v>45821</v>
      </c>
      <c r="C84" s="254">
        <v>2459.5500000000002</v>
      </c>
      <c r="D84" s="178">
        <f t="shared" si="2"/>
        <v>1.5449980687524123E-2</v>
      </c>
      <c r="E84" s="254">
        <v>24718.6</v>
      </c>
      <c r="F84" s="178">
        <f t="shared" si="3"/>
        <v>9.2197778191323021E-3</v>
      </c>
    </row>
    <row r="85" spans="2:6" ht="15" thickBot="1" x14ac:dyDescent="0.2">
      <c r="B85" s="252">
        <v>45820</v>
      </c>
      <c r="C85" s="254">
        <v>2406.75</v>
      </c>
      <c r="D85" s="178">
        <f t="shared" si="2"/>
        <v>2.1938298535369327E-2</v>
      </c>
      <c r="E85" s="254">
        <v>24888.2</v>
      </c>
      <c r="F85" s="178">
        <f t="shared" si="3"/>
        <v>-6.8144743292002374E-3</v>
      </c>
    </row>
    <row r="86" spans="2:6" ht="15" thickBot="1" x14ac:dyDescent="0.2">
      <c r="B86" s="252">
        <v>45819</v>
      </c>
      <c r="C86" s="254">
        <v>2467</v>
      </c>
      <c r="D86" s="178">
        <f t="shared" si="2"/>
        <v>-2.4422375354681836E-2</v>
      </c>
      <c r="E86" s="254">
        <v>25141.4</v>
      </c>
      <c r="F86" s="178">
        <f t="shared" si="3"/>
        <v>-1.0071038207896121E-2</v>
      </c>
    </row>
    <row r="87" spans="2:6" ht="15" thickBot="1" x14ac:dyDescent="0.2">
      <c r="B87" s="252">
        <v>45818</v>
      </c>
      <c r="C87" s="254">
        <v>2398</v>
      </c>
      <c r="D87" s="178">
        <f t="shared" si="2"/>
        <v>2.8773978315262738E-2</v>
      </c>
      <c r="E87" s="254">
        <v>25104.25</v>
      </c>
      <c r="F87" s="178">
        <f t="shared" si="3"/>
        <v>1.4798291126005836E-3</v>
      </c>
    </row>
    <row r="88" spans="2:6" ht="15" thickBot="1" x14ac:dyDescent="0.2">
      <c r="B88" s="252">
        <v>45817</v>
      </c>
      <c r="C88" s="254">
        <v>2363.4499999999998</v>
      </c>
      <c r="D88" s="178">
        <f t="shared" si="2"/>
        <v>1.4618460301677683E-2</v>
      </c>
      <c r="E88" s="254">
        <v>25103.200000000001</v>
      </c>
      <c r="F88" s="178">
        <f t="shared" si="3"/>
        <v>4.1827336753952338E-5</v>
      </c>
    </row>
    <row r="89" spans="2:6" ht="15" thickBot="1" x14ac:dyDescent="0.2">
      <c r="B89" s="252">
        <v>45814</v>
      </c>
      <c r="C89" s="254">
        <v>2388.5500000000002</v>
      </c>
      <c r="D89" s="178">
        <f t="shared" si="2"/>
        <v>-1.0508467480270567E-2</v>
      </c>
      <c r="E89" s="254">
        <v>25003.05</v>
      </c>
      <c r="F89" s="178">
        <f t="shared" si="3"/>
        <v>4.0055113276180609E-3</v>
      </c>
    </row>
    <row r="90" spans="2:6" ht="15" thickBot="1" x14ac:dyDescent="0.2">
      <c r="B90" s="252">
        <v>45813</v>
      </c>
      <c r="C90" s="254">
        <v>2344.8000000000002</v>
      </c>
      <c r="D90" s="178">
        <f t="shared" si="2"/>
        <v>1.8658307744797042E-2</v>
      </c>
      <c r="E90" s="254">
        <v>24750.9</v>
      </c>
      <c r="F90" s="178">
        <f t="shared" si="3"/>
        <v>1.0187508333030282E-2</v>
      </c>
    </row>
    <row r="91" spans="2:6" ht="15" thickBot="1" x14ac:dyDescent="0.2">
      <c r="B91" s="252">
        <v>45812</v>
      </c>
      <c r="C91" s="254">
        <v>2300.4499999999998</v>
      </c>
      <c r="D91" s="178">
        <f t="shared" si="2"/>
        <v>1.9278836749331729E-2</v>
      </c>
      <c r="E91" s="254">
        <v>24620.2</v>
      </c>
      <c r="F91" s="178">
        <f t="shared" si="3"/>
        <v>5.3086489955402882E-3</v>
      </c>
    </row>
    <row r="92" spans="2:6" ht="15" thickBot="1" x14ac:dyDescent="0.2">
      <c r="B92" s="252">
        <v>45811</v>
      </c>
      <c r="C92" s="254">
        <v>2315.5500000000002</v>
      </c>
      <c r="D92" s="178">
        <f t="shared" si="2"/>
        <v>-6.5211288894648778E-3</v>
      </c>
      <c r="E92" s="254">
        <v>24542.5</v>
      </c>
      <c r="F92" s="178">
        <f t="shared" si="3"/>
        <v>3.1659366405216716E-3</v>
      </c>
    </row>
    <row r="93" spans="2:6" ht="15" thickBot="1" x14ac:dyDescent="0.2">
      <c r="B93" s="252">
        <v>45810</v>
      </c>
      <c r="C93" s="254">
        <v>2288.35</v>
      </c>
      <c r="D93" s="178">
        <f t="shared" si="2"/>
        <v>1.1886293617672239E-2</v>
      </c>
      <c r="E93" s="254">
        <v>24716.6</v>
      </c>
      <c r="F93" s="178">
        <f t="shared" si="3"/>
        <v>-7.0438490730925229E-3</v>
      </c>
    </row>
    <row r="94" spans="2:6" ht="15" thickBot="1" x14ac:dyDescent="0.2">
      <c r="B94" s="252">
        <v>45807</v>
      </c>
      <c r="C94" s="254">
        <v>2326.35</v>
      </c>
      <c r="D94" s="178">
        <f t="shared" si="2"/>
        <v>-1.6334601414232597E-2</v>
      </c>
      <c r="E94" s="254">
        <v>24750.7</v>
      </c>
      <c r="F94" s="178">
        <f t="shared" si="3"/>
        <v>-1.3777388114276645E-3</v>
      </c>
    </row>
    <row r="95" spans="2:6" ht="15" thickBot="1" x14ac:dyDescent="0.2">
      <c r="B95" s="252">
        <v>45806</v>
      </c>
      <c r="C95" s="254">
        <v>2311.1</v>
      </c>
      <c r="D95" s="178">
        <f t="shared" si="2"/>
        <v>6.5985894162952086E-3</v>
      </c>
      <c r="E95" s="254">
        <v>24833.599999999999</v>
      </c>
      <c r="F95" s="178">
        <f t="shared" si="3"/>
        <v>-3.3382191869080202E-3</v>
      </c>
    </row>
    <row r="96" spans="2:6" ht="15" thickBot="1" x14ac:dyDescent="0.2">
      <c r="B96" s="252">
        <v>45805</v>
      </c>
      <c r="C96" s="254">
        <v>2245.8000000000002</v>
      </c>
      <c r="D96" s="178">
        <f t="shared" si="2"/>
        <v>2.9076498352480051E-2</v>
      </c>
      <c r="E96" s="254">
        <v>24752.45</v>
      </c>
      <c r="F96" s="178">
        <f t="shared" si="3"/>
        <v>3.2784633440325894E-3</v>
      </c>
    </row>
    <row r="97" spans="2:6" ht="15" thickBot="1" x14ac:dyDescent="0.2">
      <c r="B97" s="252">
        <v>45804</v>
      </c>
      <c r="C97" s="254">
        <v>2299.6</v>
      </c>
      <c r="D97" s="178">
        <f t="shared" si="2"/>
        <v>-2.3395373108366591E-2</v>
      </c>
      <c r="E97" s="254">
        <v>24826.2</v>
      </c>
      <c r="F97" s="178">
        <f t="shared" si="3"/>
        <v>-2.9706519725128944E-3</v>
      </c>
    </row>
    <row r="98" spans="2:6" ht="15" thickBot="1" x14ac:dyDescent="0.2">
      <c r="B98" s="252">
        <v>45803</v>
      </c>
      <c r="C98" s="254">
        <v>2323.4</v>
      </c>
      <c r="D98" s="178">
        <f t="shared" si="2"/>
        <v>-1.0243608504777568E-2</v>
      </c>
      <c r="E98" s="254">
        <v>25001.15</v>
      </c>
      <c r="F98" s="178">
        <f t="shared" si="3"/>
        <v>-6.9976781068070704E-3</v>
      </c>
    </row>
    <row r="99" spans="2:6" ht="15" thickBot="1" x14ac:dyDescent="0.2">
      <c r="B99" s="252">
        <v>45800</v>
      </c>
      <c r="C99" s="254">
        <v>2330.65</v>
      </c>
      <c r="D99" s="178">
        <f t="shared" si="2"/>
        <v>-3.1107201853559641E-3</v>
      </c>
      <c r="E99" s="254">
        <v>24853.15</v>
      </c>
      <c r="F99" s="178">
        <f t="shared" si="3"/>
        <v>5.954979549875894E-3</v>
      </c>
    </row>
    <row r="100" spans="2:6" ht="15" thickBot="1" x14ac:dyDescent="0.2">
      <c r="B100" s="252">
        <v>45799</v>
      </c>
      <c r="C100" s="254">
        <v>2320.1</v>
      </c>
      <c r="D100" s="178">
        <f t="shared" si="2"/>
        <v>4.5472177923366885E-3</v>
      </c>
      <c r="E100" s="254">
        <v>24609.7</v>
      </c>
      <c r="F100" s="178">
        <f t="shared" si="3"/>
        <v>9.8924407855438545E-3</v>
      </c>
    </row>
    <row r="101" spans="2:6" ht="15" thickBot="1" x14ac:dyDescent="0.2">
      <c r="B101" s="252">
        <v>45798</v>
      </c>
      <c r="C101" s="254">
        <v>2312.6</v>
      </c>
      <c r="D101" s="178">
        <f t="shared" si="2"/>
        <v>3.2431030009512085E-3</v>
      </c>
      <c r="E101" s="254">
        <v>24813.45</v>
      </c>
      <c r="F101" s="178">
        <f t="shared" si="3"/>
        <v>-8.2112725155107924E-3</v>
      </c>
    </row>
    <row r="102" spans="2:6" ht="15" thickBot="1" x14ac:dyDescent="0.2">
      <c r="B102" s="252">
        <v>45797</v>
      </c>
      <c r="C102" s="254">
        <v>2332.5</v>
      </c>
      <c r="D102" s="178">
        <f t="shared" si="2"/>
        <v>-8.5316184351554858E-3</v>
      </c>
      <c r="E102" s="254">
        <v>24683.9</v>
      </c>
      <c r="F102" s="178">
        <f t="shared" si="3"/>
        <v>5.2483602672186436E-3</v>
      </c>
    </row>
    <row r="103" spans="2:6" ht="15" thickBot="1" x14ac:dyDescent="0.2">
      <c r="B103" s="252">
        <v>45796</v>
      </c>
      <c r="C103" s="254">
        <v>2324.0500000000002</v>
      </c>
      <c r="D103" s="178">
        <f t="shared" si="2"/>
        <v>3.6358942363545754E-3</v>
      </c>
      <c r="E103" s="254">
        <v>24945.45</v>
      </c>
      <c r="F103" s="178">
        <f t="shared" si="3"/>
        <v>-1.0484878003804265E-2</v>
      </c>
    </row>
    <row r="104" spans="2:6" ht="15" thickBot="1" x14ac:dyDescent="0.2">
      <c r="B104" s="252">
        <v>45793</v>
      </c>
      <c r="C104" s="254">
        <v>2342.4</v>
      </c>
      <c r="D104" s="178">
        <f t="shared" si="2"/>
        <v>-7.8338456284152702E-3</v>
      </c>
      <c r="E104" s="254">
        <v>25019.8</v>
      </c>
      <c r="F104" s="178">
        <f t="shared" si="3"/>
        <v>-2.9716464560067823E-3</v>
      </c>
    </row>
    <row r="105" spans="2:6" ht="15" thickBot="1" x14ac:dyDescent="0.2">
      <c r="B105" s="252">
        <v>45792</v>
      </c>
      <c r="C105" s="254">
        <v>2327.6</v>
      </c>
      <c r="D105" s="178">
        <f t="shared" si="2"/>
        <v>6.3584808386321079E-3</v>
      </c>
      <c r="E105" s="254">
        <v>25062.1</v>
      </c>
      <c r="F105" s="178">
        <f t="shared" si="3"/>
        <v>-1.6878074862042292E-3</v>
      </c>
    </row>
    <row r="106" spans="2:6" ht="15" thickBot="1" x14ac:dyDescent="0.2">
      <c r="B106" s="252">
        <v>45791</v>
      </c>
      <c r="C106" s="254">
        <v>2320.75</v>
      </c>
      <c r="D106" s="178">
        <f t="shared" si="2"/>
        <v>2.9516320155122955E-3</v>
      </c>
      <c r="E106" s="254">
        <v>24666.9</v>
      </c>
      <c r="F106" s="178">
        <f t="shared" si="3"/>
        <v>1.6021470067175025E-2</v>
      </c>
    </row>
    <row r="107" spans="2:6" ht="15" thickBot="1" x14ac:dyDescent="0.2">
      <c r="B107" s="252">
        <v>45790</v>
      </c>
      <c r="C107" s="254">
        <v>2258.85</v>
      </c>
      <c r="D107" s="178">
        <f t="shared" si="2"/>
        <v>2.7403324700622012E-2</v>
      </c>
      <c r="E107" s="254">
        <v>24578.35</v>
      </c>
      <c r="F107" s="178">
        <f t="shared" si="3"/>
        <v>3.602764221357635E-3</v>
      </c>
    </row>
    <row r="108" spans="2:6" ht="15" thickBot="1" x14ac:dyDescent="0.2">
      <c r="B108" s="252">
        <v>45789</v>
      </c>
      <c r="C108" s="254">
        <v>2260.0500000000002</v>
      </c>
      <c r="D108" s="178">
        <f t="shared" si="2"/>
        <v>-5.3096170438715617E-4</v>
      </c>
      <c r="E108" s="254">
        <v>24924.7</v>
      </c>
      <c r="F108" s="178">
        <f t="shared" si="3"/>
        <v>-1.3895854313191403E-2</v>
      </c>
    </row>
    <row r="109" spans="2:6" ht="15" thickBot="1" x14ac:dyDescent="0.2">
      <c r="B109" s="252">
        <v>45786</v>
      </c>
      <c r="C109" s="254">
        <v>2134.4</v>
      </c>
      <c r="D109" s="178">
        <f t="shared" si="2"/>
        <v>5.8869002998500841E-2</v>
      </c>
      <c r="E109" s="254">
        <v>24008</v>
      </c>
      <c r="F109" s="178">
        <f t="shared" si="3"/>
        <v>3.8183105631456105E-2</v>
      </c>
    </row>
    <row r="110" spans="2:6" ht="15" thickBot="1" x14ac:dyDescent="0.2">
      <c r="B110" s="252">
        <v>45785</v>
      </c>
      <c r="C110" s="254">
        <v>2137.1999999999998</v>
      </c>
      <c r="D110" s="178">
        <f t="shared" si="2"/>
        <v>-1.3101253977164662E-3</v>
      </c>
      <c r="E110" s="254">
        <v>24273.8</v>
      </c>
      <c r="F110" s="178">
        <f t="shared" si="3"/>
        <v>-1.0950077861727414E-2</v>
      </c>
    </row>
    <row r="111" spans="2:6" ht="15" thickBot="1" x14ac:dyDescent="0.2">
      <c r="B111" s="252">
        <v>45784</v>
      </c>
      <c r="C111" s="254">
        <v>2093.75</v>
      </c>
      <c r="D111" s="178">
        <f t="shared" si="2"/>
        <v>2.0752238805969991E-2</v>
      </c>
      <c r="E111" s="254">
        <v>24414.400000000001</v>
      </c>
      <c r="F111" s="178">
        <f t="shared" si="3"/>
        <v>-5.758896389016388E-3</v>
      </c>
    </row>
    <row r="112" spans="2:6" ht="15" thickBot="1" x14ac:dyDescent="0.2">
      <c r="B112" s="252">
        <v>45783</v>
      </c>
      <c r="C112" s="254">
        <v>2055.35</v>
      </c>
      <c r="D112" s="178">
        <f t="shared" si="2"/>
        <v>1.8682949376018776E-2</v>
      </c>
      <c r="E112" s="254">
        <v>24379.599999999999</v>
      </c>
      <c r="F112" s="178">
        <f t="shared" si="3"/>
        <v>1.4274229273656402E-3</v>
      </c>
    </row>
    <row r="113" spans="2:6" ht="15" thickBot="1" x14ac:dyDescent="0.2">
      <c r="B113" s="252">
        <v>45782</v>
      </c>
      <c r="C113" s="254">
        <v>2084.3000000000002</v>
      </c>
      <c r="D113" s="178">
        <f t="shared" si="2"/>
        <v>-1.3889555246365815E-2</v>
      </c>
      <c r="E113" s="254">
        <v>24461.15</v>
      </c>
      <c r="F113" s="178">
        <f t="shared" si="3"/>
        <v>-3.3338579747886898E-3</v>
      </c>
    </row>
    <row r="114" spans="2:6" ht="15" thickBot="1" x14ac:dyDescent="0.2">
      <c r="B114" s="252">
        <v>45779</v>
      </c>
      <c r="C114" s="254">
        <v>2077.5</v>
      </c>
      <c r="D114" s="178">
        <f t="shared" si="2"/>
        <v>3.2731648616126652E-3</v>
      </c>
      <c r="E114" s="254">
        <v>24346.7</v>
      </c>
      <c r="F114" s="178">
        <f t="shared" si="3"/>
        <v>4.7008424139616256E-3</v>
      </c>
    </row>
    <row r="115" spans="2:6" ht="15" thickBot="1" x14ac:dyDescent="0.2">
      <c r="B115" s="252">
        <v>45777</v>
      </c>
      <c r="C115" s="254">
        <v>2087.75</v>
      </c>
      <c r="D115" s="178">
        <f t="shared" si="2"/>
        <v>-4.9095916656687333E-3</v>
      </c>
      <c r="E115" s="254">
        <v>24334.2</v>
      </c>
      <c r="F115" s="178">
        <f t="shared" si="3"/>
        <v>5.1368033467302787E-4</v>
      </c>
    </row>
    <row r="116" spans="2:6" ht="15" thickBot="1" x14ac:dyDescent="0.2">
      <c r="B116" s="252">
        <v>45776</v>
      </c>
      <c r="C116" s="254">
        <v>2131.35</v>
      </c>
      <c r="D116" s="178">
        <f t="shared" si="2"/>
        <v>-2.0456518169235438E-2</v>
      </c>
      <c r="E116" s="254">
        <v>24335.95</v>
      </c>
      <c r="F116" s="178">
        <f t="shared" si="3"/>
        <v>-7.1910075423398112E-5</v>
      </c>
    </row>
    <row r="117" spans="2:6" ht="15" thickBot="1" x14ac:dyDescent="0.2">
      <c r="B117" s="252">
        <v>45775</v>
      </c>
      <c r="C117" s="254">
        <v>2135.0500000000002</v>
      </c>
      <c r="D117" s="178">
        <f t="shared" si="2"/>
        <v>-1.7329804922602277E-3</v>
      </c>
      <c r="E117" s="254">
        <v>24328.5</v>
      </c>
      <c r="F117" s="178">
        <f t="shared" si="3"/>
        <v>3.0622520911682827E-4</v>
      </c>
    </row>
    <row r="118" spans="2:6" ht="15" thickBot="1" x14ac:dyDescent="0.2">
      <c r="B118" s="252">
        <v>45772</v>
      </c>
      <c r="C118" s="254">
        <v>2170.5500000000002</v>
      </c>
      <c r="D118" s="178">
        <f t="shared" si="2"/>
        <v>-1.6355301651655108E-2</v>
      </c>
      <c r="E118" s="254">
        <v>24039.35</v>
      </c>
      <c r="F118" s="178">
        <f t="shared" si="3"/>
        <v>1.2028195437896683E-2</v>
      </c>
    </row>
    <row r="119" spans="2:6" ht="15" thickBot="1" x14ac:dyDescent="0.2">
      <c r="B119" s="252">
        <v>45771</v>
      </c>
      <c r="C119" s="254">
        <v>2197.35</v>
      </c>
      <c r="D119" s="178">
        <f t="shared" si="2"/>
        <v>-1.2196509431815494E-2</v>
      </c>
      <c r="E119" s="254">
        <v>24246.7</v>
      </c>
      <c r="F119" s="178">
        <f t="shared" si="3"/>
        <v>-8.5516791975815964E-3</v>
      </c>
    </row>
    <row r="120" spans="2:6" ht="15" thickBot="1" x14ac:dyDescent="0.2">
      <c r="B120" s="252">
        <v>45770</v>
      </c>
      <c r="C120" s="254">
        <v>2218.75</v>
      </c>
      <c r="D120" s="178">
        <f t="shared" si="2"/>
        <v>-9.6450704225352624E-3</v>
      </c>
      <c r="E120" s="254">
        <v>24328.95</v>
      </c>
      <c r="F120" s="178">
        <f t="shared" si="3"/>
        <v>-3.380745983694311E-3</v>
      </c>
    </row>
    <row r="121" spans="2:6" ht="15" thickBot="1" x14ac:dyDescent="0.2">
      <c r="B121" s="252">
        <v>45769</v>
      </c>
      <c r="C121" s="254">
        <v>2247</v>
      </c>
      <c r="D121" s="178">
        <f t="shared" si="2"/>
        <v>-1.2572318647084968E-2</v>
      </c>
      <c r="E121" s="254">
        <v>24167.25</v>
      </c>
      <c r="F121" s="178">
        <f t="shared" si="3"/>
        <v>6.6908729789281196E-3</v>
      </c>
    </row>
    <row r="122" spans="2:6" ht="15" thickBot="1" x14ac:dyDescent="0.2">
      <c r="B122" s="252">
        <v>45768</v>
      </c>
      <c r="C122" s="254">
        <v>2314.0500000000002</v>
      </c>
      <c r="D122" s="178">
        <f t="shared" si="2"/>
        <v>-2.8975173397290499E-2</v>
      </c>
      <c r="E122" s="254">
        <v>24125.55</v>
      </c>
      <c r="F122" s="178">
        <f t="shared" si="3"/>
        <v>1.7284580040661801E-3</v>
      </c>
    </row>
    <row r="123" spans="2:6" ht="15" thickBot="1" x14ac:dyDescent="0.2">
      <c r="B123" s="252">
        <v>45764</v>
      </c>
      <c r="C123" s="254">
        <v>2328.1</v>
      </c>
      <c r="D123" s="178">
        <f t="shared" si="2"/>
        <v>-6.0349641338429683E-3</v>
      </c>
      <c r="E123" s="254">
        <v>23851.65</v>
      </c>
      <c r="F123" s="178">
        <f t="shared" si="3"/>
        <v>1.1483482274811108E-2</v>
      </c>
    </row>
    <row r="124" spans="2:6" ht="15" thickBot="1" x14ac:dyDescent="0.2">
      <c r="B124" s="252">
        <v>45763</v>
      </c>
      <c r="C124" s="254">
        <v>2334.3000000000002</v>
      </c>
      <c r="D124" s="178">
        <f t="shared" si="2"/>
        <v>-2.6560424966800555E-3</v>
      </c>
      <c r="E124" s="254">
        <v>23437.200000000001</v>
      </c>
      <c r="F124" s="178">
        <f t="shared" si="3"/>
        <v>1.7683426347857356E-2</v>
      </c>
    </row>
    <row r="125" spans="2:6" ht="15" thickBot="1" x14ac:dyDescent="0.2">
      <c r="B125" s="252">
        <v>45762</v>
      </c>
      <c r="C125" s="254">
        <v>2336.6</v>
      </c>
      <c r="D125" s="178">
        <f t="shared" si="2"/>
        <v>-9.843362150131485E-4</v>
      </c>
      <c r="E125" s="254">
        <v>23328.55</v>
      </c>
      <c r="F125" s="178">
        <f t="shared" si="3"/>
        <v>4.6573833350123106E-3</v>
      </c>
    </row>
    <row r="126" spans="2:6" ht="15" thickBot="1" x14ac:dyDescent="0.2">
      <c r="B126" s="252">
        <v>45758</v>
      </c>
      <c r="C126" s="254">
        <v>2198.0500000000002</v>
      </c>
      <c r="D126" s="178">
        <f t="shared" si="2"/>
        <v>6.3033143013125237E-2</v>
      </c>
      <c r="E126" s="254">
        <v>22828.55</v>
      </c>
      <c r="F126" s="178">
        <f t="shared" si="3"/>
        <v>2.1902398531663314E-2</v>
      </c>
    </row>
    <row r="127" spans="2:6" ht="15" thickBot="1" x14ac:dyDescent="0.2">
      <c r="B127" s="252">
        <v>45756</v>
      </c>
      <c r="C127" s="254">
        <v>2131.35</v>
      </c>
      <c r="D127" s="178">
        <f t="shared" si="2"/>
        <v>3.129471930935801E-2</v>
      </c>
      <c r="E127" s="254">
        <v>22399.15</v>
      </c>
      <c r="F127" s="178">
        <f t="shared" si="3"/>
        <v>1.91703703042303E-2</v>
      </c>
    </row>
    <row r="128" spans="2:6" ht="15" thickBot="1" x14ac:dyDescent="0.2">
      <c r="B128" s="252">
        <v>45755</v>
      </c>
      <c r="C128" s="254">
        <v>1979.25</v>
      </c>
      <c r="D128" s="178">
        <f t="shared" si="2"/>
        <v>7.6847290640394084E-2</v>
      </c>
      <c r="E128" s="254">
        <v>22535.85</v>
      </c>
      <c r="F128" s="178">
        <f t="shared" si="3"/>
        <v>-6.0658905699140231E-3</v>
      </c>
    </row>
    <row r="129" spans="2:6" ht="15" thickBot="1" x14ac:dyDescent="0.2">
      <c r="B129" s="252">
        <v>45754</v>
      </c>
      <c r="C129" s="254">
        <v>1966.65</v>
      </c>
      <c r="D129" s="178">
        <f t="shared" si="2"/>
        <v>6.4068339562199927E-3</v>
      </c>
      <c r="E129" s="254">
        <v>22161.599999999999</v>
      </c>
      <c r="F129" s="178">
        <f t="shared" si="3"/>
        <v>1.68873186051548E-2</v>
      </c>
    </row>
    <row r="130" spans="2:6" ht="15" thickBot="1" x14ac:dyDescent="0.2">
      <c r="B130" s="252">
        <v>45751</v>
      </c>
      <c r="C130" s="254">
        <v>2096.1999999999998</v>
      </c>
      <c r="D130" s="178">
        <f t="shared" si="2"/>
        <v>-6.1802308939986506E-2</v>
      </c>
      <c r="E130" s="254">
        <v>22904.45</v>
      </c>
      <c r="F130" s="178">
        <f t="shared" si="3"/>
        <v>-3.2432562231356932E-2</v>
      </c>
    </row>
    <row r="131" spans="2:6" ht="15" thickBot="1" x14ac:dyDescent="0.2">
      <c r="B131" s="252">
        <v>45750</v>
      </c>
      <c r="C131" s="254">
        <v>2176.8000000000002</v>
      </c>
      <c r="D131" s="178">
        <f t="shared" si="2"/>
        <v>-3.7026828371922282E-2</v>
      </c>
      <c r="E131" s="254">
        <v>23250.1</v>
      </c>
      <c r="F131" s="178">
        <f t="shared" si="3"/>
        <v>-1.4866602724289302E-2</v>
      </c>
    </row>
    <row r="132" spans="2:6" ht="15" thickBot="1" x14ac:dyDescent="0.2">
      <c r="B132" s="252">
        <v>45749</v>
      </c>
      <c r="C132" s="254">
        <v>2186.4499999999998</v>
      </c>
      <c r="D132" s="178">
        <f t="shared" si="2"/>
        <v>-4.4135470740239713E-3</v>
      </c>
      <c r="E132" s="254">
        <v>23332.35</v>
      </c>
      <c r="F132" s="178">
        <f t="shared" si="3"/>
        <v>-3.5251485598322141E-3</v>
      </c>
    </row>
    <row r="133" spans="2:6" ht="15" thickBot="1" x14ac:dyDescent="0.2">
      <c r="B133" s="252">
        <v>45748</v>
      </c>
      <c r="C133" s="254">
        <v>2121.75</v>
      </c>
      <c r="D133" s="178">
        <f t="shared" si="2"/>
        <v>3.0493696241310264E-2</v>
      </c>
      <c r="E133" s="254">
        <v>23165.7</v>
      </c>
      <c r="F133" s="178">
        <f t="shared" si="3"/>
        <v>7.1938253538634811E-3</v>
      </c>
    </row>
    <row r="134" spans="2:6" ht="15" thickBot="1" x14ac:dyDescent="0.2">
      <c r="B134" s="252">
        <v>45744</v>
      </c>
      <c r="C134" s="254">
        <v>2180.4</v>
      </c>
      <c r="D134" s="178">
        <f t="shared" si="2"/>
        <v>-2.6898734177215222E-2</v>
      </c>
      <c r="E134" s="254">
        <v>23519.35</v>
      </c>
      <c r="F134" s="178">
        <f t="shared" si="3"/>
        <v>-1.5036555006834651E-2</v>
      </c>
    </row>
    <row r="135" spans="2:6" ht="15" thickBot="1" x14ac:dyDescent="0.2">
      <c r="B135" s="252">
        <v>45743</v>
      </c>
      <c r="C135" s="254">
        <v>2162.5500000000002</v>
      </c>
      <c r="D135" s="178">
        <f t="shared" si="2"/>
        <v>8.2541444128458874E-3</v>
      </c>
      <c r="E135" s="254">
        <v>23591.95</v>
      </c>
      <c r="F135" s="178">
        <f t="shared" si="3"/>
        <v>-3.0773208658039231E-3</v>
      </c>
    </row>
    <row r="136" spans="2:6" ht="15" thickBot="1" x14ac:dyDescent="0.2">
      <c r="B136" s="252">
        <v>45742</v>
      </c>
      <c r="C136" s="254">
        <v>2246.6</v>
      </c>
      <c r="D136" s="178">
        <f t="shared" si="2"/>
        <v>-3.7412089379506686E-2</v>
      </c>
      <c r="E136" s="254">
        <v>23486.85</v>
      </c>
      <c r="F136" s="178">
        <f t="shared" si="3"/>
        <v>4.4748444342259663E-3</v>
      </c>
    </row>
    <row r="137" spans="2:6" ht="15" thickBot="1" x14ac:dyDescent="0.2">
      <c r="B137" s="252">
        <v>45741</v>
      </c>
      <c r="C137" s="254">
        <v>2273.9</v>
      </c>
      <c r="D137" s="178">
        <f t="shared" ref="D137:D200" si="4">C136/C137-1</f>
        <v>-1.2005805004617676E-2</v>
      </c>
      <c r="E137" s="254">
        <v>23668.65</v>
      </c>
      <c r="F137" s="178">
        <f t="shared" si="3"/>
        <v>-7.6810464475161044E-3</v>
      </c>
    </row>
    <row r="138" spans="2:6" ht="15" thickBot="1" x14ac:dyDescent="0.2">
      <c r="B138" s="252">
        <v>45740</v>
      </c>
      <c r="C138" s="254">
        <v>2285.6</v>
      </c>
      <c r="D138" s="178">
        <f t="shared" si="4"/>
        <v>-5.1190059502974616E-3</v>
      </c>
      <c r="E138" s="254">
        <v>23658.35</v>
      </c>
      <c r="F138" s="178">
        <f t="shared" ref="F138:F201" si="5">E137/E138-1</f>
        <v>4.353642582852757E-4</v>
      </c>
    </row>
    <row r="139" spans="2:6" ht="15" thickBot="1" x14ac:dyDescent="0.2">
      <c r="B139" s="252">
        <v>45737</v>
      </c>
      <c r="C139" s="254">
        <v>2323.6999999999998</v>
      </c>
      <c r="D139" s="178">
        <f t="shared" si="4"/>
        <v>-1.6396264578043551E-2</v>
      </c>
      <c r="E139" s="254">
        <v>23350.400000000001</v>
      </c>
      <c r="F139" s="178">
        <f t="shared" si="5"/>
        <v>1.3188210908592346E-2</v>
      </c>
    </row>
    <row r="140" spans="2:6" ht="15" thickBot="1" x14ac:dyDescent="0.2">
      <c r="B140" s="252">
        <v>45736</v>
      </c>
      <c r="C140" s="254">
        <v>2339.0500000000002</v>
      </c>
      <c r="D140" s="178">
        <f t="shared" si="4"/>
        <v>-6.5624933199377455E-3</v>
      </c>
      <c r="E140" s="254">
        <v>23190.65</v>
      </c>
      <c r="F140" s="178">
        <f t="shared" si="5"/>
        <v>6.8885520673203082E-3</v>
      </c>
    </row>
    <row r="141" spans="2:6" ht="15" thickBot="1" x14ac:dyDescent="0.2">
      <c r="B141" s="252">
        <v>45735</v>
      </c>
      <c r="C141" s="254">
        <v>2318.85</v>
      </c>
      <c r="D141" s="178">
        <f t="shared" si="4"/>
        <v>8.7112146106906874E-3</v>
      </c>
      <c r="E141" s="254">
        <v>22907.599999999999</v>
      </c>
      <c r="F141" s="178">
        <f t="shared" si="5"/>
        <v>1.2356161273987754E-2</v>
      </c>
    </row>
    <row r="142" spans="2:6" ht="15" thickBot="1" x14ac:dyDescent="0.2">
      <c r="B142" s="252">
        <v>45734</v>
      </c>
      <c r="C142" s="254">
        <v>2439.35</v>
      </c>
      <c r="D142" s="178">
        <f t="shared" si="4"/>
        <v>-4.9398405312890747E-2</v>
      </c>
      <c r="E142" s="254">
        <v>22834.3</v>
      </c>
      <c r="F142" s="178">
        <f t="shared" si="5"/>
        <v>3.2100830767747279E-3</v>
      </c>
    </row>
    <row r="143" spans="2:6" ht="15" thickBot="1" x14ac:dyDescent="0.2">
      <c r="B143" s="252">
        <v>45733</v>
      </c>
      <c r="C143" s="254">
        <v>2112.9</v>
      </c>
      <c r="D143" s="178">
        <f t="shared" si="4"/>
        <v>0.15450328931799895</v>
      </c>
      <c r="E143" s="254">
        <v>22508.75</v>
      </c>
      <c r="F143" s="178">
        <f t="shared" si="5"/>
        <v>1.4463264286110888E-2</v>
      </c>
    </row>
    <row r="144" spans="2:6" ht="15" thickBot="1" x14ac:dyDescent="0.2">
      <c r="B144" s="252">
        <v>45729</v>
      </c>
      <c r="C144" s="254">
        <v>2248.25</v>
      </c>
      <c r="D144" s="178">
        <f t="shared" si="4"/>
        <v>-6.0202379628599978E-2</v>
      </c>
      <c r="E144" s="254">
        <v>22397.200000000001</v>
      </c>
      <c r="F144" s="178">
        <f t="shared" si="5"/>
        <v>4.9805332809458314E-3</v>
      </c>
    </row>
    <row r="145" spans="2:6" ht="15" thickBot="1" x14ac:dyDescent="0.2">
      <c r="B145" s="252">
        <v>45728</v>
      </c>
      <c r="C145" s="254">
        <v>2313.6999999999998</v>
      </c>
      <c r="D145" s="178">
        <f t="shared" si="4"/>
        <v>-2.8288023512123339E-2</v>
      </c>
      <c r="E145" s="254">
        <v>22470.5</v>
      </c>
      <c r="F145" s="178">
        <f t="shared" si="5"/>
        <v>-3.2620546939320372E-3</v>
      </c>
    </row>
    <row r="146" spans="2:6" ht="15" thickBot="1" x14ac:dyDescent="0.2">
      <c r="B146" s="252">
        <v>45727</v>
      </c>
      <c r="C146" s="254">
        <v>2377.5</v>
      </c>
      <c r="D146" s="178">
        <f t="shared" si="4"/>
        <v>-2.6834910620399666E-2</v>
      </c>
      <c r="E146" s="254">
        <v>22497.9</v>
      </c>
      <c r="F146" s="178">
        <f t="shared" si="5"/>
        <v>-1.2178914476462799E-3</v>
      </c>
    </row>
    <row r="147" spans="2:6" ht="15" thickBot="1" x14ac:dyDescent="0.2">
      <c r="B147" s="252">
        <v>45726</v>
      </c>
      <c r="C147" s="254">
        <v>2398.3000000000002</v>
      </c>
      <c r="D147" s="178">
        <f t="shared" si="4"/>
        <v>-8.6728099070175757E-3</v>
      </c>
      <c r="E147" s="254">
        <v>22460.3</v>
      </c>
      <c r="F147" s="178">
        <f t="shared" si="5"/>
        <v>1.6740649056334878E-3</v>
      </c>
    </row>
    <row r="148" spans="2:6" ht="15" thickBot="1" x14ac:dyDescent="0.2">
      <c r="B148" s="252">
        <v>45723</v>
      </c>
      <c r="C148" s="254">
        <v>2410</v>
      </c>
      <c r="D148" s="178">
        <f t="shared" si="4"/>
        <v>-4.8547717842323257E-3</v>
      </c>
      <c r="E148" s="254">
        <v>22552.5</v>
      </c>
      <c r="F148" s="178">
        <f t="shared" si="5"/>
        <v>-4.0882385544840361E-3</v>
      </c>
    </row>
    <row r="149" spans="2:6" ht="15" thickBot="1" x14ac:dyDescent="0.2">
      <c r="B149" s="252">
        <v>45722</v>
      </c>
      <c r="C149" s="254">
        <v>2383.8000000000002</v>
      </c>
      <c r="D149" s="178">
        <f t="shared" si="4"/>
        <v>1.0990854937494632E-2</v>
      </c>
      <c r="E149" s="254">
        <v>22544.7</v>
      </c>
      <c r="F149" s="178">
        <f t="shared" si="5"/>
        <v>3.459793210820461E-4</v>
      </c>
    </row>
    <row r="150" spans="2:6" ht="15" thickBot="1" x14ac:dyDescent="0.2">
      <c r="B150" s="252">
        <v>45721</v>
      </c>
      <c r="C150" s="254">
        <v>2320.65</v>
      </c>
      <c r="D150" s="178">
        <f t="shared" si="4"/>
        <v>2.7212203477473995E-2</v>
      </c>
      <c r="E150" s="254">
        <v>22337.3</v>
      </c>
      <c r="F150" s="178">
        <f t="shared" si="5"/>
        <v>9.2849180518683738E-3</v>
      </c>
    </row>
    <row r="151" spans="2:6" ht="15" thickBot="1" x14ac:dyDescent="0.2">
      <c r="B151" s="252">
        <v>45720</v>
      </c>
      <c r="C151" s="254">
        <v>2238.5</v>
      </c>
      <c r="D151" s="178">
        <f t="shared" si="4"/>
        <v>3.669868215322758E-2</v>
      </c>
      <c r="E151" s="254">
        <v>22082.65</v>
      </c>
      <c r="F151" s="178">
        <f t="shared" si="5"/>
        <v>1.1531677583985545E-2</v>
      </c>
    </row>
    <row r="152" spans="2:6" ht="15" thickBot="1" x14ac:dyDescent="0.2">
      <c r="B152" s="252">
        <v>45719</v>
      </c>
      <c r="C152" s="254">
        <v>2148.65</v>
      </c>
      <c r="D152" s="178">
        <f t="shared" si="4"/>
        <v>4.1816954832103903E-2</v>
      </c>
      <c r="E152" s="254">
        <v>22119.3</v>
      </c>
      <c r="F152" s="178">
        <f t="shared" si="5"/>
        <v>-1.6569240437083188E-3</v>
      </c>
    </row>
    <row r="153" spans="2:6" ht="15" thickBot="1" x14ac:dyDescent="0.2">
      <c r="B153" s="252">
        <v>45716</v>
      </c>
      <c r="C153" s="254">
        <v>2223.9</v>
      </c>
      <c r="D153" s="178">
        <f t="shared" si="4"/>
        <v>-3.3836953100409239E-2</v>
      </c>
      <c r="E153" s="254">
        <v>22124.7</v>
      </c>
      <c r="F153" s="178">
        <f t="shared" si="5"/>
        <v>-2.4407110604895976E-4</v>
      </c>
    </row>
    <row r="154" spans="2:6" ht="15" thickBot="1" x14ac:dyDescent="0.2">
      <c r="B154" s="252">
        <v>45715</v>
      </c>
      <c r="C154" s="254">
        <v>2370.9</v>
      </c>
      <c r="D154" s="178">
        <f t="shared" si="4"/>
        <v>-6.2001771479185064E-2</v>
      </c>
      <c r="E154" s="254">
        <v>22545.05</v>
      </c>
      <c r="F154" s="178">
        <f t="shared" si="5"/>
        <v>-1.8644891007116748E-2</v>
      </c>
    </row>
    <row r="155" spans="2:6" ht="15" thickBot="1" x14ac:dyDescent="0.2">
      <c r="B155" s="252">
        <v>45713</v>
      </c>
      <c r="C155" s="254">
        <v>2348.6999999999998</v>
      </c>
      <c r="D155" s="178">
        <f t="shared" si="4"/>
        <v>9.4520372972284328E-3</v>
      </c>
      <c r="E155" s="254">
        <v>22547.55</v>
      </c>
      <c r="F155" s="178">
        <f t="shared" si="5"/>
        <v>-1.1087679149179852E-4</v>
      </c>
    </row>
    <row r="156" spans="2:6" ht="15" thickBot="1" x14ac:dyDescent="0.2">
      <c r="B156" s="252">
        <v>45712</v>
      </c>
      <c r="C156" s="254">
        <v>2350.5</v>
      </c>
      <c r="D156" s="178">
        <f t="shared" si="4"/>
        <v>-7.6579451180602831E-4</v>
      </c>
      <c r="E156" s="254">
        <v>22553.35</v>
      </c>
      <c r="F156" s="178">
        <f t="shared" si="5"/>
        <v>-2.5716800386632599E-4</v>
      </c>
    </row>
    <row r="157" spans="2:6" ht="15" thickBot="1" x14ac:dyDescent="0.2">
      <c r="B157" s="252">
        <v>45709</v>
      </c>
      <c r="C157" s="254">
        <v>2442.75</v>
      </c>
      <c r="D157" s="178">
        <f t="shared" si="4"/>
        <v>-3.7764814246238898E-2</v>
      </c>
      <c r="E157" s="254">
        <v>22795.9</v>
      </c>
      <c r="F157" s="178">
        <f t="shared" si="5"/>
        <v>-1.0640071240881177E-2</v>
      </c>
    </row>
    <row r="158" spans="2:6" ht="15" thickBot="1" x14ac:dyDescent="0.2">
      <c r="B158" s="252">
        <v>45708</v>
      </c>
      <c r="C158" s="254">
        <v>2505.5</v>
      </c>
      <c r="D158" s="178">
        <f t="shared" si="4"/>
        <v>-2.5044901217321947E-2</v>
      </c>
      <c r="E158" s="254">
        <v>22913.15</v>
      </c>
      <c r="F158" s="178">
        <f t="shared" si="5"/>
        <v>-5.1171488861200265E-3</v>
      </c>
    </row>
    <row r="159" spans="2:6" ht="15" thickBot="1" x14ac:dyDescent="0.2">
      <c r="B159" s="252">
        <v>45707</v>
      </c>
      <c r="C159" s="254">
        <v>2460.75</v>
      </c>
      <c r="D159" s="178">
        <f t="shared" si="4"/>
        <v>1.8185512546987637E-2</v>
      </c>
      <c r="E159" s="254">
        <v>22932.9</v>
      </c>
      <c r="F159" s="178">
        <f t="shared" si="5"/>
        <v>-8.6120813329326751E-4</v>
      </c>
    </row>
    <row r="160" spans="2:6" ht="15" thickBot="1" x14ac:dyDescent="0.2">
      <c r="B160" s="252">
        <v>45706</v>
      </c>
      <c r="C160" s="254">
        <v>2416.1999999999998</v>
      </c>
      <c r="D160" s="178">
        <f t="shared" si="4"/>
        <v>1.8438043208343746E-2</v>
      </c>
      <c r="E160" s="254">
        <v>22945.3</v>
      </c>
      <c r="F160" s="178">
        <f t="shared" si="5"/>
        <v>-5.4041568425766684E-4</v>
      </c>
    </row>
    <row r="161" spans="2:6" ht="15" thickBot="1" x14ac:dyDescent="0.2">
      <c r="B161" s="252">
        <v>45705</v>
      </c>
      <c r="C161" s="254">
        <v>2338.9499999999998</v>
      </c>
      <c r="D161" s="178">
        <f t="shared" si="4"/>
        <v>3.3027640607965036E-2</v>
      </c>
      <c r="E161" s="254">
        <v>22959.5</v>
      </c>
      <c r="F161" s="178">
        <f t="shared" si="5"/>
        <v>-6.1848036760381309E-4</v>
      </c>
    </row>
    <row r="162" spans="2:6" ht="15" thickBot="1" x14ac:dyDescent="0.2">
      <c r="B162" s="252">
        <v>45702</v>
      </c>
      <c r="C162" s="254">
        <v>2441.65</v>
      </c>
      <c r="D162" s="178">
        <f t="shared" si="4"/>
        <v>-4.2061720557819648E-2</v>
      </c>
      <c r="E162" s="254">
        <v>22929.25</v>
      </c>
      <c r="F162" s="178">
        <f t="shared" si="5"/>
        <v>1.3192755977626813E-3</v>
      </c>
    </row>
    <row r="163" spans="2:6" ht="15" thickBot="1" x14ac:dyDescent="0.2">
      <c r="B163" s="252">
        <v>45701</v>
      </c>
      <c r="C163" s="254">
        <v>2597.6999999999998</v>
      </c>
      <c r="D163" s="178">
        <f t="shared" si="4"/>
        <v>-6.007237171343871E-2</v>
      </c>
      <c r="E163" s="254">
        <v>23031.4</v>
      </c>
      <c r="F163" s="178">
        <f t="shared" si="5"/>
        <v>-4.4352492683902289E-3</v>
      </c>
    </row>
    <row r="164" spans="2:6" ht="15" thickBot="1" x14ac:dyDescent="0.2">
      <c r="B164" s="252">
        <v>45700</v>
      </c>
      <c r="C164" s="254">
        <v>2589.85</v>
      </c>
      <c r="D164" s="178">
        <f t="shared" si="4"/>
        <v>3.0310635751105153E-3</v>
      </c>
      <c r="E164" s="254">
        <v>23045.25</v>
      </c>
      <c r="F164" s="178">
        <f t="shared" si="5"/>
        <v>-6.0099152753811946E-4</v>
      </c>
    </row>
    <row r="165" spans="2:6" ht="15" thickBot="1" x14ac:dyDescent="0.2">
      <c r="B165" s="252">
        <v>45699</v>
      </c>
      <c r="C165" s="254">
        <v>2575.1999999999998</v>
      </c>
      <c r="D165" s="178">
        <f t="shared" si="4"/>
        <v>5.6888785337061432E-3</v>
      </c>
      <c r="E165" s="254">
        <v>23071.8</v>
      </c>
      <c r="F165" s="178">
        <f t="shared" si="5"/>
        <v>-1.1507554677138154E-3</v>
      </c>
    </row>
    <row r="166" spans="2:6" ht="15" thickBot="1" x14ac:dyDescent="0.2">
      <c r="B166" s="252">
        <v>45698</v>
      </c>
      <c r="C166" s="254">
        <v>2697.7</v>
      </c>
      <c r="D166" s="178">
        <f t="shared" si="4"/>
        <v>-4.540905215553992E-2</v>
      </c>
      <c r="E166" s="254">
        <v>23381.599999999999</v>
      </c>
      <c r="F166" s="178">
        <f t="shared" si="5"/>
        <v>-1.3249734834228644E-2</v>
      </c>
    </row>
    <row r="167" spans="2:6" ht="15" thickBot="1" x14ac:dyDescent="0.2">
      <c r="B167" s="252">
        <v>45695</v>
      </c>
      <c r="C167" s="254">
        <v>2748.35</v>
      </c>
      <c r="D167" s="178">
        <f t="shared" si="4"/>
        <v>-1.8429239361798966E-2</v>
      </c>
      <c r="E167" s="254">
        <v>23559.95</v>
      </c>
      <c r="F167" s="178">
        <f t="shared" si="5"/>
        <v>-7.5700500213287114E-3</v>
      </c>
    </row>
    <row r="168" spans="2:6" ht="15" thickBot="1" x14ac:dyDescent="0.2">
      <c r="B168" s="252">
        <v>45694</v>
      </c>
      <c r="C168" s="254">
        <v>2769.85</v>
      </c>
      <c r="D168" s="178">
        <f t="shared" si="4"/>
        <v>-7.762153185190579E-3</v>
      </c>
      <c r="E168" s="254">
        <v>23603.35</v>
      </c>
      <c r="F168" s="178">
        <f t="shared" si="5"/>
        <v>-1.8387220458111475E-3</v>
      </c>
    </row>
    <row r="169" spans="2:6" ht="15" thickBot="1" x14ac:dyDescent="0.2">
      <c r="B169" s="252">
        <v>45693</v>
      </c>
      <c r="C169" s="254">
        <v>2733.6</v>
      </c>
      <c r="D169" s="178">
        <f t="shared" si="4"/>
        <v>1.3260901375475642E-2</v>
      </c>
      <c r="E169" s="254">
        <v>23696.3</v>
      </c>
      <c r="F169" s="178">
        <f t="shared" si="5"/>
        <v>-3.922553310010457E-3</v>
      </c>
    </row>
    <row r="170" spans="2:6" ht="15" thickBot="1" x14ac:dyDescent="0.2">
      <c r="B170" s="252">
        <v>45692</v>
      </c>
      <c r="C170" s="254">
        <v>2677.45</v>
      </c>
      <c r="D170" s="178">
        <f t="shared" si="4"/>
        <v>2.0971446712356956E-2</v>
      </c>
      <c r="E170" s="254">
        <v>23739.25</v>
      </c>
      <c r="F170" s="178">
        <f t="shared" si="5"/>
        <v>-1.8092399717767327E-3</v>
      </c>
    </row>
    <row r="171" spans="2:6" ht="15" thickBot="1" x14ac:dyDescent="0.2">
      <c r="B171" s="252">
        <v>45691</v>
      </c>
      <c r="C171" s="254">
        <v>2557.0500000000002</v>
      </c>
      <c r="D171" s="178">
        <f t="shared" si="4"/>
        <v>4.7085508691656175E-2</v>
      </c>
      <c r="E171" s="254">
        <v>23361.05</v>
      </c>
      <c r="F171" s="178">
        <f t="shared" si="5"/>
        <v>1.6189340804458663E-2</v>
      </c>
    </row>
    <row r="172" spans="2:6" ht="15" thickBot="1" x14ac:dyDescent="0.2">
      <c r="B172" s="252">
        <v>45689</v>
      </c>
      <c r="C172" s="254">
        <v>2573.75</v>
      </c>
      <c r="D172" s="178">
        <f t="shared" si="4"/>
        <v>-6.4885866925691316E-3</v>
      </c>
      <c r="E172" s="254">
        <v>23482.15</v>
      </c>
      <c r="F172" s="178">
        <f t="shared" si="5"/>
        <v>-5.1571086974575575E-3</v>
      </c>
    </row>
    <row r="173" spans="2:6" ht="15" thickBot="1" x14ac:dyDescent="0.2">
      <c r="B173" s="252">
        <v>45688</v>
      </c>
      <c r="C173" s="254">
        <v>2592</v>
      </c>
      <c r="D173" s="178">
        <f t="shared" si="4"/>
        <v>-7.0408950617284471E-3</v>
      </c>
      <c r="E173" s="254">
        <v>23508.400000000001</v>
      </c>
      <c r="F173" s="178">
        <f t="shared" si="5"/>
        <v>-1.1166221435742196E-3</v>
      </c>
    </row>
    <row r="174" spans="2:6" ht="15" thickBot="1" x14ac:dyDescent="0.2">
      <c r="B174" s="252">
        <v>45687</v>
      </c>
      <c r="C174" s="254">
        <v>2505.5</v>
      </c>
      <c r="D174" s="178">
        <f t="shared" si="4"/>
        <v>3.45240470963879E-2</v>
      </c>
      <c r="E174" s="254">
        <v>23249.5</v>
      </c>
      <c r="F174" s="178">
        <f t="shared" si="5"/>
        <v>1.1135723348889348E-2</v>
      </c>
    </row>
    <row r="175" spans="2:6" ht="15" thickBot="1" x14ac:dyDescent="0.2">
      <c r="B175" s="252">
        <v>45686</v>
      </c>
      <c r="C175" s="254">
        <v>2496.5500000000002</v>
      </c>
      <c r="D175" s="178">
        <f t="shared" si="4"/>
        <v>3.5849472271733962E-3</v>
      </c>
      <c r="E175" s="254">
        <v>23163.1</v>
      </c>
      <c r="F175" s="178">
        <f t="shared" si="5"/>
        <v>3.7300706727512178E-3</v>
      </c>
    </row>
    <row r="176" spans="2:6" ht="15" thickBot="1" x14ac:dyDescent="0.2">
      <c r="B176" s="252">
        <v>45685</v>
      </c>
      <c r="C176" s="254">
        <v>2454.0500000000002</v>
      </c>
      <c r="D176" s="178">
        <f t="shared" si="4"/>
        <v>1.7318310547869809E-2</v>
      </c>
      <c r="E176" s="254">
        <v>22957.25</v>
      </c>
      <c r="F176" s="178">
        <f t="shared" si="5"/>
        <v>8.9666663036731542E-3</v>
      </c>
    </row>
    <row r="177" spans="2:6" ht="15" thickBot="1" x14ac:dyDescent="0.2">
      <c r="B177" s="252">
        <v>45684</v>
      </c>
      <c r="C177" s="254">
        <v>2391.15</v>
      </c>
      <c r="D177" s="178">
        <f t="shared" si="4"/>
        <v>2.6305334253392765E-2</v>
      </c>
      <c r="E177" s="254">
        <v>22829.15</v>
      </c>
      <c r="F177" s="178">
        <f t="shared" si="5"/>
        <v>5.6112470240896606E-3</v>
      </c>
    </row>
    <row r="178" spans="2:6" ht="15" thickBot="1" x14ac:dyDescent="0.2">
      <c r="B178" s="252">
        <v>45681</v>
      </c>
      <c r="C178" s="254">
        <v>2592.6</v>
      </c>
      <c r="D178" s="178">
        <f t="shared" si="4"/>
        <v>-7.7701920851654616E-2</v>
      </c>
      <c r="E178" s="254">
        <v>23092.2</v>
      </c>
      <c r="F178" s="178">
        <f t="shared" si="5"/>
        <v>-1.139129229783209E-2</v>
      </c>
    </row>
    <row r="179" spans="2:6" ht="15" thickBot="1" x14ac:dyDescent="0.2">
      <c r="B179" s="252">
        <v>45680</v>
      </c>
      <c r="C179" s="254">
        <v>2706.4</v>
      </c>
      <c r="D179" s="178">
        <f t="shared" si="4"/>
        <v>-4.2048477682530394E-2</v>
      </c>
      <c r="E179" s="254">
        <v>23205.35</v>
      </c>
      <c r="F179" s="178">
        <f t="shared" si="5"/>
        <v>-4.876030742910431E-3</v>
      </c>
    </row>
    <row r="180" spans="2:6" ht="15" thickBot="1" x14ac:dyDescent="0.2">
      <c r="B180" s="252">
        <v>45679</v>
      </c>
      <c r="C180" s="254">
        <v>2610.5500000000002</v>
      </c>
      <c r="D180" s="178">
        <f t="shared" si="4"/>
        <v>3.6716400758460832E-2</v>
      </c>
      <c r="E180" s="254">
        <v>23155.35</v>
      </c>
      <c r="F180" s="178">
        <f t="shared" si="5"/>
        <v>2.1593281898135697E-3</v>
      </c>
    </row>
    <row r="181" spans="2:6" ht="15" thickBot="1" x14ac:dyDescent="0.2">
      <c r="B181" s="252">
        <v>45678</v>
      </c>
      <c r="C181" s="254">
        <v>2626</v>
      </c>
      <c r="D181" s="178">
        <f t="shared" si="4"/>
        <v>-5.8834729626807691E-3</v>
      </c>
      <c r="E181" s="254">
        <v>23024.65</v>
      </c>
      <c r="F181" s="178">
        <f t="shared" si="5"/>
        <v>5.6765249417471964E-3</v>
      </c>
    </row>
    <row r="182" spans="2:6" ht="15" thickBot="1" x14ac:dyDescent="0.2">
      <c r="B182" s="252">
        <v>45677</v>
      </c>
      <c r="C182" s="254">
        <v>2698.85</v>
      </c>
      <c r="D182" s="178">
        <f t="shared" si="4"/>
        <v>-2.6992978490838704E-2</v>
      </c>
      <c r="E182" s="254">
        <v>23344.75</v>
      </c>
      <c r="F182" s="178">
        <f t="shared" si="5"/>
        <v>-1.3711862410177855E-2</v>
      </c>
    </row>
    <row r="183" spans="2:6" ht="15" thickBot="1" x14ac:dyDescent="0.2">
      <c r="B183" s="252">
        <v>45674</v>
      </c>
      <c r="C183" s="254">
        <v>2750.75</v>
      </c>
      <c r="D183" s="178">
        <f t="shared" si="4"/>
        <v>-1.8867581568663083E-2</v>
      </c>
      <c r="E183" s="254">
        <v>23203.200000000001</v>
      </c>
      <c r="F183" s="178">
        <f t="shared" si="5"/>
        <v>6.1004516618397009E-3</v>
      </c>
    </row>
    <row r="184" spans="2:6" ht="15" thickBot="1" x14ac:dyDescent="0.2">
      <c r="B184" s="252">
        <v>45673</v>
      </c>
      <c r="C184" s="254">
        <v>2741.15</v>
      </c>
      <c r="D184" s="178">
        <f t="shared" si="4"/>
        <v>3.5021797420791145E-3</v>
      </c>
      <c r="E184" s="254">
        <v>23311.8</v>
      </c>
      <c r="F184" s="178">
        <f t="shared" si="5"/>
        <v>-4.6585849226571385E-3</v>
      </c>
    </row>
    <row r="185" spans="2:6" ht="15" thickBot="1" x14ac:dyDescent="0.2">
      <c r="B185" s="252">
        <v>45672</v>
      </c>
      <c r="C185" s="254">
        <v>2729.1</v>
      </c>
      <c r="D185" s="178">
        <f t="shared" si="4"/>
        <v>4.4153750320619078E-3</v>
      </c>
      <c r="E185" s="254">
        <v>23213.200000000001</v>
      </c>
      <c r="F185" s="178">
        <f t="shared" si="5"/>
        <v>4.2475832715866968E-3</v>
      </c>
    </row>
    <row r="186" spans="2:6" ht="15" thickBot="1" x14ac:dyDescent="0.2">
      <c r="B186" s="252">
        <v>45671</v>
      </c>
      <c r="C186" s="254">
        <v>2779.6</v>
      </c>
      <c r="D186" s="178">
        <f t="shared" si="4"/>
        <v>-1.8168081738379582E-2</v>
      </c>
      <c r="E186" s="254">
        <v>23176.05</v>
      </c>
      <c r="F186" s="178">
        <f t="shared" si="5"/>
        <v>1.6029478707546563E-3</v>
      </c>
    </row>
    <row r="187" spans="2:6" ht="15" thickBot="1" x14ac:dyDescent="0.2">
      <c r="B187" s="252">
        <v>45670</v>
      </c>
      <c r="C187" s="254">
        <v>2812.7</v>
      </c>
      <c r="D187" s="178">
        <f t="shared" si="4"/>
        <v>-1.176805204963205E-2</v>
      </c>
      <c r="E187" s="254">
        <v>23085.95</v>
      </c>
      <c r="F187" s="178">
        <f t="shared" si="5"/>
        <v>3.9028066854513987E-3</v>
      </c>
    </row>
    <row r="188" spans="2:6" ht="15" thickBot="1" x14ac:dyDescent="0.2">
      <c r="B188" s="252">
        <v>45667</v>
      </c>
      <c r="C188" s="254">
        <v>2943.5</v>
      </c>
      <c r="D188" s="178">
        <f t="shared" si="4"/>
        <v>-4.4436894853066122E-2</v>
      </c>
      <c r="E188" s="254">
        <v>23431.5</v>
      </c>
      <c r="F188" s="178">
        <f t="shared" si="5"/>
        <v>-1.4747241960608504E-2</v>
      </c>
    </row>
    <row r="189" spans="2:6" ht="15" thickBot="1" x14ac:dyDescent="0.2">
      <c r="B189" s="252">
        <v>45666</v>
      </c>
      <c r="C189" s="254">
        <v>2961.4</v>
      </c>
      <c r="D189" s="178">
        <f t="shared" si="4"/>
        <v>-6.0444384412777774E-3</v>
      </c>
      <c r="E189" s="254">
        <v>23526.5</v>
      </c>
      <c r="F189" s="178">
        <f t="shared" si="5"/>
        <v>-4.037999702463213E-3</v>
      </c>
    </row>
    <row r="190" spans="2:6" ht="15" thickBot="1" x14ac:dyDescent="0.2">
      <c r="B190" s="252">
        <v>45665</v>
      </c>
      <c r="C190" s="254">
        <v>3018.2</v>
      </c>
      <c r="D190" s="178">
        <f t="shared" si="4"/>
        <v>-1.8819163739977385E-2</v>
      </c>
      <c r="E190" s="254">
        <v>23688.95</v>
      </c>
      <c r="F190" s="178">
        <f t="shared" si="5"/>
        <v>-6.8576277124988705E-3</v>
      </c>
    </row>
    <row r="191" spans="2:6" ht="15" thickBot="1" x14ac:dyDescent="0.2">
      <c r="B191" s="252">
        <v>45664</v>
      </c>
      <c r="C191" s="254">
        <v>3066.4</v>
      </c>
      <c r="D191" s="178">
        <f t="shared" si="4"/>
        <v>-1.5718758152882928E-2</v>
      </c>
      <c r="E191" s="254">
        <v>23707.9</v>
      </c>
      <c r="F191" s="178">
        <f t="shared" si="5"/>
        <v>-7.9931162186441806E-4</v>
      </c>
    </row>
    <row r="192" spans="2:6" ht="15" thickBot="1" x14ac:dyDescent="0.2">
      <c r="B192" s="252">
        <v>45663</v>
      </c>
      <c r="C192" s="254">
        <v>2988.4</v>
      </c>
      <c r="D192" s="178">
        <f t="shared" si="4"/>
        <v>2.6100923571141799E-2</v>
      </c>
      <c r="E192" s="254">
        <v>23616.05</v>
      </c>
      <c r="F192" s="178">
        <f t="shared" si="5"/>
        <v>3.8893040961549552E-3</v>
      </c>
    </row>
    <row r="193" spans="2:6" ht="15" thickBot="1" x14ac:dyDescent="0.2">
      <c r="B193" s="252">
        <v>45660</v>
      </c>
      <c r="C193" s="254">
        <v>3066.2</v>
      </c>
      <c r="D193" s="178">
        <f t="shared" si="4"/>
        <v>-2.5373426390972398E-2</v>
      </c>
      <c r="E193" s="254">
        <v>24004.75</v>
      </c>
      <c r="F193" s="178">
        <f t="shared" si="5"/>
        <v>-1.6192628542267662E-2</v>
      </c>
    </row>
    <row r="194" spans="2:6" ht="15" thickBot="1" x14ac:dyDescent="0.2">
      <c r="B194" s="252">
        <v>45659</v>
      </c>
      <c r="C194" s="254">
        <v>3082.65</v>
      </c>
      <c r="D194" s="178">
        <f t="shared" si="4"/>
        <v>-5.336317778534827E-3</v>
      </c>
      <c r="E194" s="254">
        <v>24188.65</v>
      </c>
      <c r="F194" s="178">
        <f t="shared" si="5"/>
        <v>-7.6027393012839672E-3</v>
      </c>
    </row>
    <row r="195" spans="2:6" ht="15" thickBot="1" x14ac:dyDescent="0.2">
      <c r="B195" s="252">
        <v>45658</v>
      </c>
      <c r="C195" s="254">
        <v>3023.6</v>
      </c>
      <c r="D195" s="178">
        <f t="shared" si="4"/>
        <v>1.9529699695727043E-2</v>
      </c>
      <c r="E195" s="254">
        <v>23742.9</v>
      </c>
      <c r="F195" s="178">
        <f t="shared" si="5"/>
        <v>1.8774033500541298E-2</v>
      </c>
    </row>
    <row r="196" spans="2:6" ht="15" thickBot="1" x14ac:dyDescent="0.2">
      <c r="B196" s="252">
        <v>45657</v>
      </c>
      <c r="C196" s="254">
        <v>2978.6</v>
      </c>
      <c r="D196" s="178">
        <f t="shared" si="4"/>
        <v>1.5107768750419748E-2</v>
      </c>
      <c r="E196" s="254">
        <v>23644.799999999999</v>
      </c>
      <c r="F196" s="178">
        <f t="shared" si="5"/>
        <v>4.1489037758830616E-3</v>
      </c>
    </row>
    <row r="197" spans="2:6" ht="15" thickBot="1" x14ac:dyDescent="0.2">
      <c r="B197" s="252">
        <v>45656</v>
      </c>
      <c r="C197" s="254">
        <v>2968.8</v>
      </c>
      <c r="D197" s="178">
        <f t="shared" si="4"/>
        <v>3.3009970358393037E-3</v>
      </c>
      <c r="E197" s="254">
        <v>23644.9</v>
      </c>
      <c r="F197" s="178">
        <f t="shared" si="5"/>
        <v>-4.2292418238609741E-6</v>
      </c>
    </row>
    <row r="198" spans="2:6" ht="15" thickBot="1" x14ac:dyDescent="0.2">
      <c r="B198" s="252">
        <v>45653</v>
      </c>
      <c r="C198" s="254">
        <v>2930</v>
      </c>
      <c r="D198" s="178">
        <f t="shared" si="4"/>
        <v>1.3242320819112585E-2</v>
      </c>
      <c r="E198" s="254">
        <v>23813.4</v>
      </c>
      <c r="F198" s="178">
        <f t="shared" si="5"/>
        <v>-7.0758480519371725E-3</v>
      </c>
    </row>
    <row r="199" spans="2:6" ht="15" thickBot="1" x14ac:dyDescent="0.2">
      <c r="B199" s="252">
        <v>45652</v>
      </c>
      <c r="C199" s="254">
        <v>2875.6</v>
      </c>
      <c r="D199" s="178">
        <f t="shared" si="4"/>
        <v>1.8917791069689827E-2</v>
      </c>
      <c r="E199" s="254">
        <v>23750.2</v>
      </c>
      <c r="F199" s="178">
        <f t="shared" si="5"/>
        <v>2.6610302229033156E-3</v>
      </c>
    </row>
    <row r="200" spans="2:6" ht="15" thickBot="1" x14ac:dyDescent="0.2">
      <c r="B200" s="252">
        <v>45650</v>
      </c>
      <c r="C200" s="254">
        <v>2963.75</v>
      </c>
      <c r="D200" s="178">
        <f t="shared" si="4"/>
        <v>-2.9742724588781133E-2</v>
      </c>
      <c r="E200" s="254">
        <v>23727.65</v>
      </c>
      <c r="F200" s="178">
        <f t="shared" si="5"/>
        <v>9.5036803054671104E-4</v>
      </c>
    </row>
    <row r="201" spans="2:6" ht="15" thickBot="1" x14ac:dyDescent="0.2">
      <c r="B201" s="252">
        <v>45649</v>
      </c>
      <c r="C201" s="254">
        <v>2995.55</v>
      </c>
      <c r="D201" s="178">
        <f t="shared" ref="D201:D257" si="6">C200/C201-1</f>
        <v>-1.061574669092491E-2</v>
      </c>
      <c r="E201" s="254">
        <v>23753.45</v>
      </c>
      <c r="F201" s="178">
        <f t="shared" si="5"/>
        <v>-1.0861580107310864E-3</v>
      </c>
    </row>
    <row r="202" spans="2:6" ht="15" thickBot="1" x14ac:dyDescent="0.2">
      <c r="B202" s="252">
        <v>45646</v>
      </c>
      <c r="C202" s="254">
        <v>3043</v>
      </c>
      <c r="D202" s="178">
        <f t="shared" si="6"/>
        <v>-1.5593164640157697E-2</v>
      </c>
      <c r="E202" s="254">
        <v>23587.5</v>
      </c>
      <c r="F202" s="178">
        <f t="shared" ref="F202:F257" si="7">E201/E202-1</f>
        <v>7.0355060943296799E-3</v>
      </c>
    </row>
    <row r="203" spans="2:6" ht="15" thickBot="1" x14ac:dyDescent="0.2">
      <c r="B203" s="252">
        <v>45645</v>
      </c>
      <c r="C203" s="254">
        <v>3228.6</v>
      </c>
      <c r="D203" s="178">
        <f t="shared" si="6"/>
        <v>-5.7486216936133316E-2</v>
      </c>
      <c r="E203" s="254">
        <v>23951.7</v>
      </c>
      <c r="F203" s="178">
        <f t="shared" si="7"/>
        <v>-1.5205601272561098E-2</v>
      </c>
    </row>
    <row r="204" spans="2:6" ht="15" thickBot="1" x14ac:dyDescent="0.2">
      <c r="B204" s="252">
        <v>45644</v>
      </c>
      <c r="C204" s="254">
        <v>3202.05</v>
      </c>
      <c r="D204" s="178">
        <f t="shared" si="6"/>
        <v>8.2915632173137244E-3</v>
      </c>
      <c r="E204" s="254">
        <v>24198.85</v>
      </c>
      <c r="F204" s="178">
        <f t="shared" si="7"/>
        <v>-1.0213295259898669E-2</v>
      </c>
    </row>
    <row r="205" spans="2:6" ht="15" thickBot="1" x14ac:dyDescent="0.2">
      <c r="B205" s="252">
        <v>45643</v>
      </c>
      <c r="C205" s="254">
        <v>3230.05</v>
      </c>
      <c r="D205" s="178">
        <f t="shared" si="6"/>
        <v>-8.6685964613550937E-3</v>
      </c>
      <c r="E205" s="254">
        <v>24336</v>
      </c>
      <c r="F205" s="178">
        <f t="shared" si="7"/>
        <v>-5.6356837606837962E-3</v>
      </c>
    </row>
    <row r="206" spans="2:6" ht="15" thickBot="1" x14ac:dyDescent="0.2">
      <c r="B206" s="252">
        <v>45642</v>
      </c>
      <c r="C206" s="254">
        <v>3246.6</v>
      </c>
      <c r="D206" s="178">
        <f t="shared" si="6"/>
        <v>-5.0976406086366E-3</v>
      </c>
      <c r="E206" s="254">
        <v>24668.25</v>
      </c>
      <c r="F206" s="178">
        <f t="shared" si="7"/>
        <v>-1.3468730047733413E-2</v>
      </c>
    </row>
    <row r="207" spans="2:6" ht="15" thickBot="1" x14ac:dyDescent="0.2">
      <c r="B207" s="252">
        <v>45639</v>
      </c>
      <c r="C207" s="254">
        <v>3243.35</v>
      </c>
      <c r="D207" s="178">
        <f t="shared" si="6"/>
        <v>1.002050349176109E-3</v>
      </c>
      <c r="E207" s="254">
        <v>24768.3</v>
      </c>
      <c r="F207" s="178">
        <f t="shared" si="7"/>
        <v>-4.0394375068131261E-3</v>
      </c>
    </row>
    <row r="208" spans="2:6" ht="15" thickBot="1" x14ac:dyDescent="0.2">
      <c r="B208" s="252">
        <v>45638</v>
      </c>
      <c r="C208" s="254">
        <v>3257.25</v>
      </c>
      <c r="D208" s="178">
        <f t="shared" si="6"/>
        <v>-4.2674034845345821E-3</v>
      </c>
      <c r="E208" s="254">
        <v>24548.7</v>
      </c>
      <c r="F208" s="178">
        <f t="shared" si="7"/>
        <v>8.9454838749098986E-3</v>
      </c>
    </row>
    <row r="209" spans="2:6" ht="15" thickBot="1" x14ac:dyDescent="0.2">
      <c r="B209" s="252">
        <v>45637</v>
      </c>
      <c r="C209" s="254">
        <v>3238.65</v>
      </c>
      <c r="D209" s="178">
        <f t="shared" si="6"/>
        <v>5.7431337131210736E-3</v>
      </c>
      <c r="E209" s="254">
        <v>24641.8</v>
      </c>
      <c r="F209" s="178">
        <f t="shared" si="7"/>
        <v>-3.778133090926783E-3</v>
      </c>
    </row>
    <row r="210" spans="2:6" ht="15" thickBot="1" x14ac:dyDescent="0.2">
      <c r="B210" s="252">
        <v>45636</v>
      </c>
      <c r="C210" s="254">
        <v>3275.65</v>
      </c>
      <c r="D210" s="178">
        <f t="shared" si="6"/>
        <v>-1.1295468075038562E-2</v>
      </c>
      <c r="E210" s="254">
        <v>24610.05</v>
      </c>
      <c r="F210" s="178">
        <f t="shared" si="7"/>
        <v>1.2901233439184256E-3</v>
      </c>
    </row>
    <row r="211" spans="2:6" ht="15" thickBot="1" x14ac:dyDescent="0.2">
      <c r="B211" s="252">
        <v>45635</v>
      </c>
      <c r="C211" s="254">
        <v>3224.5</v>
      </c>
      <c r="D211" s="178">
        <f t="shared" si="6"/>
        <v>1.5862924484416174E-2</v>
      </c>
      <c r="E211" s="254">
        <v>24619</v>
      </c>
      <c r="F211" s="178">
        <f t="shared" si="7"/>
        <v>-3.6354035501040549E-4</v>
      </c>
    </row>
    <row r="212" spans="2:6" ht="15" thickBot="1" x14ac:dyDescent="0.2">
      <c r="B212" s="252">
        <v>45632</v>
      </c>
      <c r="C212" s="254">
        <v>3200.7</v>
      </c>
      <c r="D212" s="178">
        <f t="shared" si="6"/>
        <v>7.4358734026931383E-3</v>
      </c>
      <c r="E212" s="254">
        <v>24677.8</v>
      </c>
      <c r="F212" s="178">
        <f t="shared" si="7"/>
        <v>-2.3827083451523068E-3</v>
      </c>
    </row>
    <row r="213" spans="2:6" ht="15" thickBot="1" x14ac:dyDescent="0.2">
      <c r="B213" s="252">
        <v>45631</v>
      </c>
      <c r="C213" s="254">
        <v>3195.2</v>
      </c>
      <c r="D213" s="178">
        <f t="shared" si="6"/>
        <v>1.7213319979969555E-3</v>
      </c>
      <c r="E213" s="254">
        <v>24708.400000000001</v>
      </c>
      <c r="F213" s="178">
        <f t="shared" si="7"/>
        <v>-1.2384452251057443E-3</v>
      </c>
    </row>
    <row r="214" spans="2:6" ht="15" thickBot="1" x14ac:dyDescent="0.2">
      <c r="B214" s="252">
        <v>45630</v>
      </c>
      <c r="C214" s="254">
        <v>3252.95</v>
      </c>
      <c r="D214" s="178">
        <f t="shared" si="6"/>
        <v>-1.775311640203503E-2</v>
      </c>
      <c r="E214" s="254">
        <v>24467.45</v>
      </c>
      <c r="F214" s="178">
        <f t="shared" si="7"/>
        <v>9.8477773531773227E-3</v>
      </c>
    </row>
    <row r="215" spans="2:6" ht="15" thickBot="1" x14ac:dyDescent="0.2">
      <c r="B215" s="252">
        <v>45629</v>
      </c>
      <c r="C215" s="254">
        <v>3243</v>
      </c>
      <c r="D215" s="178">
        <f t="shared" si="6"/>
        <v>3.0681467776749738E-3</v>
      </c>
      <c r="E215" s="254">
        <v>24457.15</v>
      </c>
      <c r="F215" s="178">
        <f t="shared" si="7"/>
        <v>4.2114473681520437E-4</v>
      </c>
    </row>
    <row r="216" spans="2:6" ht="15" thickBot="1" x14ac:dyDescent="0.2">
      <c r="B216" s="252">
        <v>45628</v>
      </c>
      <c r="C216" s="254">
        <v>3204.45</v>
      </c>
      <c r="D216" s="178">
        <f t="shared" si="6"/>
        <v>1.2030145578804552E-2</v>
      </c>
      <c r="E216" s="254">
        <v>24276.05</v>
      </c>
      <c r="F216" s="178">
        <f t="shared" si="7"/>
        <v>7.4600274756395635E-3</v>
      </c>
    </row>
    <row r="217" spans="2:6" ht="15" thickBot="1" x14ac:dyDescent="0.2">
      <c r="B217" s="252">
        <v>45625</v>
      </c>
      <c r="C217" s="254">
        <v>3172</v>
      </c>
      <c r="D217" s="178">
        <f t="shared" si="6"/>
        <v>1.0230138713745118E-2</v>
      </c>
      <c r="E217" s="254">
        <v>24131.1</v>
      </c>
      <c r="F217" s="178">
        <f t="shared" si="7"/>
        <v>6.0067713448621607E-3</v>
      </c>
    </row>
    <row r="218" spans="2:6" ht="15" thickBot="1" x14ac:dyDescent="0.2">
      <c r="B218" s="252">
        <v>45624</v>
      </c>
      <c r="C218" s="254">
        <v>3174.15</v>
      </c>
      <c r="D218" s="178">
        <f t="shared" si="6"/>
        <v>-6.7734669124019931E-4</v>
      </c>
      <c r="E218" s="254">
        <v>23914.15</v>
      </c>
      <c r="F218" s="178">
        <f t="shared" si="7"/>
        <v>9.0720347576642713E-3</v>
      </c>
    </row>
    <row r="219" spans="2:6" ht="15" thickBot="1" x14ac:dyDescent="0.2">
      <c r="B219" s="252">
        <v>45623</v>
      </c>
      <c r="C219" s="254">
        <v>3257.25</v>
      </c>
      <c r="D219" s="178">
        <f t="shared" si="6"/>
        <v>-2.551231867372783E-2</v>
      </c>
      <c r="E219" s="254">
        <v>24274.9</v>
      </c>
      <c r="F219" s="178">
        <f t="shared" si="7"/>
        <v>-1.4861029293632533E-2</v>
      </c>
    </row>
    <row r="220" spans="2:6" ht="15" thickBot="1" x14ac:dyDescent="0.2">
      <c r="B220" s="252">
        <v>45622</v>
      </c>
      <c r="C220" s="254">
        <v>3230.1</v>
      </c>
      <c r="D220" s="178">
        <f t="shared" si="6"/>
        <v>8.4053125290239894E-3</v>
      </c>
      <c r="E220" s="254">
        <v>24194.5</v>
      </c>
      <c r="F220" s="178">
        <f t="shared" si="7"/>
        <v>3.3230692926078387E-3</v>
      </c>
    </row>
    <row r="221" spans="2:6" ht="15" thickBot="1" x14ac:dyDescent="0.2">
      <c r="B221" s="252">
        <v>45621</v>
      </c>
      <c r="C221" s="254">
        <v>3253.1</v>
      </c>
      <c r="D221" s="178">
        <f t="shared" si="6"/>
        <v>-7.0701792136731445E-3</v>
      </c>
      <c r="E221" s="254">
        <v>24221.9</v>
      </c>
      <c r="F221" s="178">
        <f t="shared" si="7"/>
        <v>-1.1312077087264338E-3</v>
      </c>
    </row>
    <row r="222" spans="2:6" ht="15" thickBot="1" x14ac:dyDescent="0.2">
      <c r="B222" s="252">
        <v>45618</v>
      </c>
      <c r="C222" s="254">
        <v>3228.9</v>
      </c>
      <c r="D222" s="178">
        <f t="shared" si="6"/>
        <v>7.4948124748366318E-3</v>
      </c>
      <c r="E222" s="254">
        <v>23907.25</v>
      </c>
      <c r="F222" s="178">
        <f t="shared" si="7"/>
        <v>1.3161279528176584E-2</v>
      </c>
    </row>
    <row r="223" spans="2:6" ht="15" thickBot="1" x14ac:dyDescent="0.2">
      <c r="B223" s="252">
        <v>45617</v>
      </c>
      <c r="C223" s="254">
        <v>3191.2</v>
      </c>
      <c r="D223" s="178">
        <f t="shared" si="6"/>
        <v>1.1813737778892053E-2</v>
      </c>
      <c r="E223" s="254">
        <v>23349.9</v>
      </c>
      <c r="F223" s="178">
        <f t="shared" si="7"/>
        <v>2.3869481239748191E-2</v>
      </c>
    </row>
    <row r="224" spans="2:6" ht="15" thickBot="1" x14ac:dyDescent="0.2">
      <c r="B224" s="252">
        <v>45615</v>
      </c>
      <c r="C224" s="254">
        <v>3151.4</v>
      </c>
      <c r="D224" s="178">
        <f t="shared" si="6"/>
        <v>1.2629307609316465E-2</v>
      </c>
      <c r="E224" s="254">
        <v>23518.5</v>
      </c>
      <c r="F224" s="178">
        <f t="shared" si="7"/>
        <v>-7.1688245423814356E-3</v>
      </c>
    </row>
    <row r="225" spans="2:6" ht="15" thickBot="1" x14ac:dyDescent="0.2">
      <c r="B225" s="252">
        <v>45614</v>
      </c>
      <c r="C225" s="254">
        <v>3135.45</v>
      </c>
      <c r="D225" s="178">
        <f t="shared" si="6"/>
        <v>5.0869891084215357E-3</v>
      </c>
      <c r="E225" s="254">
        <v>23453.8</v>
      </c>
      <c r="F225" s="178">
        <f t="shared" si="7"/>
        <v>2.758614808687776E-3</v>
      </c>
    </row>
    <row r="226" spans="2:6" ht="15" thickBot="1" x14ac:dyDescent="0.2">
      <c r="B226" s="252">
        <v>45610</v>
      </c>
      <c r="C226" s="254">
        <v>3020</v>
      </c>
      <c r="D226" s="178">
        <f t="shared" si="6"/>
        <v>3.8228476821192015E-2</v>
      </c>
      <c r="E226" s="254">
        <v>23532.7</v>
      </c>
      <c r="F226" s="178">
        <f t="shared" si="7"/>
        <v>-3.3527814487925856E-3</v>
      </c>
    </row>
    <row r="227" spans="2:6" ht="15" thickBot="1" x14ac:dyDescent="0.2">
      <c r="B227" s="252">
        <v>45609</v>
      </c>
      <c r="C227" s="254">
        <v>3011.9</v>
      </c>
      <c r="D227" s="178">
        <f t="shared" si="6"/>
        <v>2.6893323151497839E-3</v>
      </c>
      <c r="E227" s="254">
        <v>23559.05</v>
      </c>
      <c r="F227" s="178">
        <f t="shared" si="7"/>
        <v>-1.1184661520731165E-3</v>
      </c>
    </row>
    <row r="228" spans="2:6" ht="15" thickBot="1" x14ac:dyDescent="0.2">
      <c r="B228" s="252">
        <v>45608</v>
      </c>
      <c r="C228" s="254">
        <v>3026.35</v>
      </c>
      <c r="D228" s="178">
        <f t="shared" si="6"/>
        <v>-4.7747286335023675E-3</v>
      </c>
      <c r="E228" s="254">
        <v>23883.45</v>
      </c>
      <c r="F228" s="178">
        <f t="shared" si="7"/>
        <v>-1.3582627300494754E-2</v>
      </c>
    </row>
    <row r="229" spans="2:6" ht="15" thickBot="1" x14ac:dyDescent="0.2">
      <c r="B229" s="252">
        <v>45607</v>
      </c>
      <c r="C229" s="254">
        <v>2952.05</v>
      </c>
      <c r="D229" s="178">
        <f t="shared" si="6"/>
        <v>2.5168950390406675E-2</v>
      </c>
      <c r="E229" s="254">
        <v>24141.3</v>
      </c>
      <c r="F229" s="178">
        <f t="shared" si="7"/>
        <v>-1.0680866399075395E-2</v>
      </c>
    </row>
    <row r="230" spans="2:6" ht="15" thickBot="1" x14ac:dyDescent="0.2">
      <c r="B230" s="252">
        <v>45604</v>
      </c>
      <c r="C230" s="254">
        <v>2918.25</v>
      </c>
      <c r="D230" s="178">
        <f t="shared" si="6"/>
        <v>1.1582283903024182E-2</v>
      </c>
      <c r="E230" s="254">
        <v>24148.2</v>
      </c>
      <c r="F230" s="178">
        <f t="shared" si="7"/>
        <v>-2.8573558277644739E-4</v>
      </c>
    </row>
    <row r="231" spans="2:6" ht="15" thickBot="1" x14ac:dyDescent="0.2">
      <c r="B231" s="252">
        <v>45603</v>
      </c>
      <c r="C231" s="254">
        <v>2954.4</v>
      </c>
      <c r="D231" s="178">
        <f t="shared" si="6"/>
        <v>-1.223598700243711E-2</v>
      </c>
      <c r="E231" s="254">
        <v>24199.35</v>
      </c>
      <c r="F231" s="178">
        <f t="shared" si="7"/>
        <v>-2.1136931363857636E-3</v>
      </c>
    </row>
    <row r="232" spans="2:6" ht="15" thickBot="1" x14ac:dyDescent="0.2">
      <c r="B232" s="252">
        <v>45602</v>
      </c>
      <c r="C232" s="254">
        <v>2953.45</v>
      </c>
      <c r="D232" s="178">
        <f t="shared" si="6"/>
        <v>3.216577223248418E-4</v>
      </c>
      <c r="E232" s="254">
        <v>24484.05</v>
      </c>
      <c r="F232" s="178">
        <f t="shared" si="7"/>
        <v>-1.1627978214388546E-2</v>
      </c>
    </row>
    <row r="233" spans="2:6" ht="15" thickBot="1" x14ac:dyDescent="0.2">
      <c r="B233" s="252">
        <v>45601</v>
      </c>
      <c r="C233" s="254">
        <v>2874.6</v>
      </c>
      <c r="D233" s="178">
        <f t="shared" si="6"/>
        <v>2.7429903290892677E-2</v>
      </c>
      <c r="E233" s="254">
        <v>24213.3</v>
      </c>
      <c r="F233" s="178">
        <f t="shared" si="7"/>
        <v>1.1181871120417242E-2</v>
      </c>
    </row>
    <row r="234" spans="2:6" ht="15" thickBot="1" x14ac:dyDescent="0.2">
      <c r="B234" s="252">
        <v>45600</v>
      </c>
      <c r="C234" s="254">
        <v>2885.85</v>
      </c>
      <c r="D234" s="178">
        <f t="shared" si="6"/>
        <v>-3.8983315141120078E-3</v>
      </c>
      <c r="E234" s="254">
        <v>23995.35</v>
      </c>
      <c r="F234" s="178">
        <f t="shared" si="7"/>
        <v>9.0830098331551312E-3</v>
      </c>
    </row>
    <row r="235" spans="2:6" ht="15" thickBot="1" x14ac:dyDescent="0.2">
      <c r="B235" s="252">
        <v>45597</v>
      </c>
      <c r="C235" s="254">
        <v>2891.7</v>
      </c>
      <c r="D235" s="178">
        <f t="shared" si="6"/>
        <v>-2.0230314347960965E-3</v>
      </c>
      <c r="E235" s="254">
        <v>24304.35</v>
      </c>
      <c r="F235" s="178">
        <f t="shared" si="7"/>
        <v>-1.2713773460306443E-2</v>
      </c>
    </row>
    <row r="236" spans="2:6" ht="15" thickBot="1" x14ac:dyDescent="0.2">
      <c r="B236" s="252">
        <v>45596</v>
      </c>
      <c r="C236" s="254">
        <v>2886.2</v>
      </c>
      <c r="D236" s="178">
        <f t="shared" si="6"/>
        <v>1.9056198461644414E-3</v>
      </c>
      <c r="E236" s="254">
        <v>24205.35</v>
      </c>
      <c r="F236" s="178">
        <f t="shared" si="7"/>
        <v>4.0900048956118429E-3</v>
      </c>
    </row>
    <row r="237" spans="2:6" ht="15" thickBot="1" x14ac:dyDescent="0.2">
      <c r="B237" s="252">
        <v>45595</v>
      </c>
      <c r="C237" s="254">
        <v>2829.25</v>
      </c>
      <c r="D237" s="178">
        <f t="shared" si="6"/>
        <v>2.0129009454802338E-2</v>
      </c>
      <c r="E237" s="254">
        <v>24340.85</v>
      </c>
      <c r="F237" s="178">
        <f t="shared" si="7"/>
        <v>-5.5667735514577377E-3</v>
      </c>
    </row>
    <row r="238" spans="2:6" ht="15" thickBot="1" x14ac:dyDescent="0.2">
      <c r="B238" s="252">
        <v>45594</v>
      </c>
      <c r="C238" s="254">
        <v>2828.3</v>
      </c>
      <c r="D238" s="178">
        <f t="shared" si="6"/>
        <v>3.3589081780571739E-4</v>
      </c>
      <c r="E238" s="254">
        <v>24466.85</v>
      </c>
      <c r="F238" s="178">
        <f t="shared" si="7"/>
        <v>-5.1498251716097787E-3</v>
      </c>
    </row>
    <row r="239" spans="2:6" ht="15" thickBot="1" x14ac:dyDescent="0.2">
      <c r="B239" s="252">
        <v>45593</v>
      </c>
      <c r="C239" s="254">
        <v>2718.4</v>
      </c>
      <c r="D239" s="178">
        <f t="shared" si="6"/>
        <v>4.0428193054738104E-2</v>
      </c>
      <c r="E239" s="254">
        <v>24339.15</v>
      </c>
      <c r="F239" s="178">
        <f t="shared" si="7"/>
        <v>5.2466910307056303E-3</v>
      </c>
    </row>
    <row r="240" spans="2:6" ht="15" thickBot="1" x14ac:dyDescent="0.2">
      <c r="B240" s="252">
        <v>45590</v>
      </c>
      <c r="C240" s="254">
        <v>2641.35</v>
      </c>
      <c r="D240" s="178">
        <f t="shared" si="6"/>
        <v>2.9170689230885838E-2</v>
      </c>
      <c r="E240" s="254">
        <v>24180.799999999999</v>
      </c>
      <c r="F240" s="178">
        <f t="shared" si="7"/>
        <v>6.5485840005294893E-3</v>
      </c>
    </row>
    <row r="241" spans="2:12" ht="15" thickBot="1" x14ac:dyDescent="0.2">
      <c r="B241" s="252">
        <v>45589</v>
      </c>
      <c r="C241" s="254">
        <v>2774.05</v>
      </c>
      <c r="D241" s="178">
        <f t="shared" si="6"/>
        <v>-4.7836196175267354E-2</v>
      </c>
      <c r="E241" s="254">
        <v>24399.4</v>
      </c>
      <c r="F241" s="178">
        <f t="shared" si="7"/>
        <v>-8.9592367025419506E-3</v>
      </c>
    </row>
    <row r="242" spans="2:12" ht="15" thickBot="1" x14ac:dyDescent="0.2">
      <c r="B242" s="252">
        <v>45588</v>
      </c>
      <c r="C242" s="254">
        <v>2823.25</v>
      </c>
      <c r="D242" s="178">
        <f t="shared" si="6"/>
        <v>-1.7426724519613801E-2</v>
      </c>
      <c r="E242" s="254">
        <v>24435.5</v>
      </c>
      <c r="F242" s="178">
        <f t="shared" si="7"/>
        <v>-1.4773587608192251E-3</v>
      </c>
    </row>
    <row r="243" spans="2:12" ht="15" thickBot="1" x14ac:dyDescent="0.2">
      <c r="B243" s="252">
        <v>45587</v>
      </c>
      <c r="C243" s="254">
        <v>2731.05</v>
      </c>
      <c r="D243" s="178">
        <f t="shared" si="6"/>
        <v>3.3759909192434989E-2</v>
      </c>
      <c r="E243" s="254">
        <v>24472.1</v>
      </c>
      <c r="F243" s="178">
        <f t="shared" si="7"/>
        <v>-1.4955806816742134E-3</v>
      </c>
    </row>
    <row r="244" spans="2:12" ht="15" thickBot="1" x14ac:dyDescent="0.2">
      <c r="B244" s="252">
        <v>45586</v>
      </c>
      <c r="C244" s="254">
        <v>2840.75</v>
      </c>
      <c r="D244" s="178">
        <f t="shared" si="6"/>
        <v>-3.8616562527501452E-2</v>
      </c>
      <c r="E244" s="254">
        <v>24781.1</v>
      </c>
      <c r="F244" s="178">
        <f t="shared" si="7"/>
        <v>-1.2469180141317371E-2</v>
      </c>
      <c r="I244" s="4"/>
      <c r="J244" s="89"/>
      <c r="K244" s="4"/>
      <c r="L244" s="90"/>
    </row>
    <row r="245" spans="2:12" ht="15" thickBot="1" x14ac:dyDescent="0.2">
      <c r="B245" s="252">
        <v>45583</v>
      </c>
      <c r="C245" s="254">
        <v>3018.25</v>
      </c>
      <c r="D245" s="178">
        <f t="shared" si="6"/>
        <v>-5.8808912449267003E-2</v>
      </c>
      <c r="E245" s="254">
        <v>24854.05</v>
      </c>
      <c r="F245" s="178">
        <f t="shared" si="7"/>
        <v>-2.9351353199982277E-3</v>
      </c>
    </row>
    <row r="246" spans="2:12" ht="15" thickBot="1" x14ac:dyDescent="0.2">
      <c r="B246" s="252">
        <v>45582</v>
      </c>
      <c r="C246" s="254">
        <v>2986</v>
      </c>
      <c r="D246" s="178">
        <f t="shared" si="6"/>
        <v>1.0800401875418641E-2</v>
      </c>
      <c r="E246" s="254">
        <v>24749.85</v>
      </c>
      <c r="F246" s="178">
        <f t="shared" si="7"/>
        <v>4.2101265260194864E-3</v>
      </c>
      <c r="I246" s="4"/>
      <c r="J246" s="91"/>
      <c r="K246" s="4"/>
      <c r="L246" s="4"/>
    </row>
    <row r="247" spans="2:12" ht="15" thickBot="1" x14ac:dyDescent="0.2">
      <c r="B247" s="252">
        <v>45581</v>
      </c>
      <c r="C247" s="254">
        <v>2941</v>
      </c>
      <c r="D247" s="178">
        <f t="shared" si="6"/>
        <v>1.5300918055083379E-2</v>
      </c>
      <c r="E247" s="254">
        <v>24971.3</v>
      </c>
      <c r="F247" s="178">
        <f t="shared" si="7"/>
        <v>-8.8681806714108191E-3</v>
      </c>
    </row>
    <row r="248" spans="2:12" ht="15" thickBot="1" x14ac:dyDescent="0.2">
      <c r="B248" s="252">
        <v>45580</v>
      </c>
      <c r="C248" s="254">
        <v>2904.25</v>
      </c>
      <c r="D248" s="178">
        <f t="shared" si="6"/>
        <v>1.2653869329430911E-2</v>
      </c>
      <c r="E248" s="254">
        <v>25057.35</v>
      </c>
      <c r="F248" s="178">
        <f t="shared" si="7"/>
        <v>-3.4341221238478603E-3</v>
      </c>
    </row>
    <row r="249" spans="2:12" ht="15" thickBot="1" x14ac:dyDescent="0.2">
      <c r="B249" s="252">
        <v>45579</v>
      </c>
      <c r="C249" s="254">
        <v>2775.15</v>
      </c>
      <c r="D249" s="178">
        <f t="shared" si="6"/>
        <v>4.652000792749944E-2</v>
      </c>
      <c r="E249" s="254">
        <v>25127.95</v>
      </c>
      <c r="F249" s="178">
        <f t="shared" si="7"/>
        <v>-2.809620362982379E-3</v>
      </c>
    </row>
    <row r="250" spans="2:12" ht="15" thickBot="1" x14ac:dyDescent="0.2">
      <c r="B250" s="252">
        <v>45576</v>
      </c>
      <c r="C250" s="262">
        <v>2713.6</v>
      </c>
      <c r="D250" s="178">
        <f t="shared" si="6"/>
        <v>2.2682045990566113E-2</v>
      </c>
      <c r="E250" s="254">
        <v>24964.25</v>
      </c>
      <c r="F250" s="178">
        <f t="shared" si="7"/>
        <v>6.5573770491802463E-3</v>
      </c>
    </row>
    <row r="251" spans="2:12" ht="15" thickBot="1" x14ac:dyDescent="0.2">
      <c r="B251" s="252">
        <v>45575</v>
      </c>
      <c r="C251" s="254">
        <v>2697.9</v>
      </c>
      <c r="D251" s="178">
        <f t="shared" si="6"/>
        <v>5.8193409689015763E-3</v>
      </c>
      <c r="E251" s="254">
        <v>24998.45</v>
      </c>
      <c r="F251" s="178">
        <f t="shared" si="7"/>
        <v>-1.3680848212589414E-3</v>
      </c>
    </row>
    <row r="252" spans="2:12" ht="15" thickBot="1" x14ac:dyDescent="0.2">
      <c r="B252" s="252">
        <v>45574</v>
      </c>
      <c r="C252" s="254">
        <v>2700.15</v>
      </c>
      <c r="D252" s="178">
        <f t="shared" si="6"/>
        <v>-8.3328703960894313E-4</v>
      </c>
      <c r="E252" s="254">
        <v>24981.95</v>
      </c>
      <c r="F252" s="178">
        <f t="shared" si="7"/>
        <v>6.6047686429593355E-4</v>
      </c>
    </row>
    <row r="253" spans="2:12" ht="15" thickBot="1" x14ac:dyDescent="0.2">
      <c r="B253" s="252">
        <v>45573</v>
      </c>
      <c r="C253" s="254">
        <v>2645.15</v>
      </c>
      <c r="D253" s="178">
        <f t="shared" si="6"/>
        <v>2.0792771676464428E-2</v>
      </c>
      <c r="E253" s="254">
        <v>25013.15</v>
      </c>
      <c r="F253" s="178">
        <f t="shared" si="7"/>
        <v>-1.2473438971101203E-3</v>
      </c>
    </row>
    <row r="254" spans="2:12" ht="15" thickBot="1" x14ac:dyDescent="0.2">
      <c r="B254" s="252">
        <v>45572</v>
      </c>
      <c r="C254" s="254">
        <v>2628.75</v>
      </c>
      <c r="D254" s="178">
        <f t="shared" si="6"/>
        <v>6.23870660960546E-3</v>
      </c>
      <c r="E254" s="254">
        <v>24795.75</v>
      </c>
      <c r="F254" s="178">
        <f t="shared" si="7"/>
        <v>8.7676315497615676E-3</v>
      </c>
    </row>
    <row r="255" spans="2:12" ht="15" thickBot="1" x14ac:dyDescent="0.2">
      <c r="B255" s="252">
        <v>45569</v>
      </c>
      <c r="C255" s="254">
        <v>2660.05</v>
      </c>
      <c r="D255" s="178">
        <f t="shared" si="6"/>
        <v>-1.1766696114734798E-2</v>
      </c>
      <c r="E255" s="254">
        <v>25014.6</v>
      </c>
      <c r="F255" s="178">
        <f t="shared" si="7"/>
        <v>-8.7488906478615514E-3</v>
      </c>
    </row>
    <row r="256" spans="2:12" ht="15" thickBot="1" x14ac:dyDescent="0.2">
      <c r="B256" s="252">
        <v>45568</v>
      </c>
      <c r="C256" s="254">
        <v>2640.05</v>
      </c>
      <c r="D256" s="178">
        <f t="shared" si="6"/>
        <v>7.5756140982179421E-3</v>
      </c>
      <c r="E256" s="254">
        <v>25250.1</v>
      </c>
      <c r="F256" s="178">
        <f t="shared" si="7"/>
        <v>-9.3266957358584257E-3</v>
      </c>
      <c r="G256" s="179"/>
      <c r="H256" s="180"/>
    </row>
    <row r="257" spans="2:8" ht="15" thickBot="1" x14ac:dyDescent="0.2">
      <c r="B257" s="252">
        <v>45566</v>
      </c>
      <c r="C257" s="254">
        <v>2647.9</v>
      </c>
      <c r="D257" s="178">
        <f t="shared" si="6"/>
        <v>-2.964613467275945E-3</v>
      </c>
      <c r="E257" s="254">
        <v>25796.9</v>
      </c>
      <c r="F257" s="178">
        <f t="shared" si="7"/>
        <v>-2.1196345297303298E-2</v>
      </c>
      <c r="G257" s="179"/>
      <c r="H257" s="180"/>
    </row>
    <row r="258" spans="2:8" s="4" customFormat="1" x14ac:dyDescent="0.15"/>
    <row r="260" spans="2:8" s="4" customFormat="1" x14ac:dyDescent="0.15">
      <c r="B260" s="4" t="s">
        <v>98</v>
      </c>
      <c r="C260" s="89">
        <f>_xlfn.COVARIANCE.S(D8:D257,F8:F257)</f>
        <v>9.0231000024659051E-5</v>
      </c>
      <c r="D260" s="263" t="s">
        <v>99</v>
      </c>
      <c r="E260" s="90">
        <f>_xlfn.VAR.S(F8:F257)</f>
        <v>6.6614898732315453E-5</v>
      </c>
    </row>
    <row r="262" spans="2:8" x14ac:dyDescent="0.15">
      <c r="B262" s="4" t="s">
        <v>100</v>
      </c>
      <c r="C262" s="91">
        <f>C260/E260</f>
        <v>1.3545168084281307</v>
      </c>
      <c r="D262" s="4"/>
      <c r="E262" s="4"/>
    </row>
  </sheetData>
  <autoFilter ref="B7:F7" xr:uid="{00000000-0009-0000-0000-00000E000000}"/>
  <conditionalFormatting sqref="D8:D257">
    <cfRule type="cellIs" dxfId="6" priority="1" operator="greaterThan">
      <formula>0</formula>
    </cfRule>
    <cfRule type="cellIs" dxfId="5" priority="2" operator="lessThan">
      <formula>0</formula>
    </cfRule>
  </conditionalFormatting>
  <conditionalFormatting sqref="F8:F257">
    <cfRule type="cellIs" dxfId="4" priority="3" operator="greaterThan">
      <formula>0</formula>
    </cfRule>
    <cfRule type="cellIs" dxfId="3" priority="4" operator="lessThan">
      <formula>0</formula>
    </cfRule>
  </conditionalFormatting>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tabColor rgb="FF92D050"/>
  </sheetPr>
  <dimension ref="B6:I2491"/>
  <sheetViews>
    <sheetView showGridLines="0" topLeftCell="A2475" zoomScale="150" zoomScaleNormal="100" workbookViewId="0">
      <selection activeCell="B2489" sqref="B2489"/>
    </sheetView>
  </sheetViews>
  <sheetFormatPr baseColWidth="10" defaultColWidth="8.83203125" defaultRowHeight="13" x14ac:dyDescent="0.15"/>
  <cols>
    <col min="1" max="1" width="5.33203125" style="207" customWidth="1"/>
    <col min="2" max="2" width="17.83203125" style="207" bestFit="1" customWidth="1"/>
    <col min="3" max="3" width="19.5" style="209" bestFit="1" customWidth="1"/>
    <col min="4" max="4" width="12.5" style="207" bestFit="1" customWidth="1"/>
    <col min="5" max="5" width="12" style="207" bestFit="1" customWidth="1"/>
    <col min="6" max="6" width="8.83203125" style="207"/>
    <col min="7" max="7" width="11.1640625" style="207" bestFit="1" customWidth="1"/>
    <col min="8" max="8" width="12.5" style="207" bestFit="1" customWidth="1"/>
    <col min="9" max="16384" width="8.83203125" style="207"/>
  </cols>
  <sheetData>
    <row r="6" spans="2:4" ht="16.25" customHeight="1" x14ac:dyDescent="0.15"/>
    <row r="7" spans="2:4" s="206" customFormat="1" x14ac:dyDescent="0.15">
      <c r="B7" s="296" t="s">
        <v>96</v>
      </c>
      <c r="C7" s="297" t="s">
        <v>376</v>
      </c>
      <c r="D7" s="297" t="s">
        <v>220</v>
      </c>
    </row>
    <row r="8" spans="2:4" ht="14" thickBot="1" x14ac:dyDescent="0.2">
      <c r="B8" s="251">
        <v>42278</v>
      </c>
      <c r="C8" s="451">
        <v>26220.95</v>
      </c>
      <c r="D8" s="261"/>
    </row>
    <row r="9" spans="2:4" ht="14" thickBot="1" x14ac:dyDescent="0.2">
      <c r="B9" s="251">
        <v>42282</v>
      </c>
      <c r="C9" s="451">
        <v>26785.55</v>
      </c>
      <c r="D9" s="261">
        <f>C8/C9-1</f>
        <v>-2.1078529281646219E-2</v>
      </c>
    </row>
    <row r="10" spans="2:4" ht="14" thickBot="1" x14ac:dyDescent="0.2">
      <c r="B10" s="251">
        <v>42283</v>
      </c>
      <c r="C10" s="451">
        <v>26932.880000000001</v>
      </c>
      <c r="D10" s="261">
        <f t="shared" ref="D10:D73" si="0">C9/C10-1</f>
        <v>-5.4702653410998447E-3</v>
      </c>
    </row>
    <row r="11" spans="2:4" ht="14" thickBot="1" x14ac:dyDescent="0.2">
      <c r="B11" s="251">
        <v>42284</v>
      </c>
      <c r="C11" s="451">
        <v>27035.85</v>
      </c>
      <c r="D11" s="261">
        <f t="shared" si="0"/>
        <v>-3.8086466672954122E-3</v>
      </c>
    </row>
    <row r="12" spans="2:4" ht="14" thickBot="1" x14ac:dyDescent="0.2">
      <c r="B12" s="251">
        <v>42285</v>
      </c>
      <c r="C12" s="451">
        <v>26845.81</v>
      </c>
      <c r="D12" s="261">
        <f t="shared" si="0"/>
        <v>7.0789445354786373E-3</v>
      </c>
    </row>
    <row r="13" spans="2:4" ht="14" thickBot="1" x14ac:dyDescent="0.2">
      <c r="B13" s="251">
        <v>42286</v>
      </c>
      <c r="C13" s="451">
        <v>27079.51</v>
      </c>
      <c r="D13" s="261">
        <f t="shared" si="0"/>
        <v>-8.6301413873440813E-3</v>
      </c>
    </row>
    <row r="14" spans="2:4" ht="14" thickBot="1" x14ac:dyDescent="0.2">
      <c r="B14" s="251">
        <v>42289</v>
      </c>
      <c r="C14" s="451">
        <v>26904.11</v>
      </c>
      <c r="D14" s="261">
        <f t="shared" si="0"/>
        <v>6.5194500022487389E-3</v>
      </c>
    </row>
    <row r="15" spans="2:4" ht="14" thickBot="1" x14ac:dyDescent="0.2">
      <c r="B15" s="251">
        <v>42290</v>
      </c>
      <c r="C15" s="451">
        <v>26846.53</v>
      </c>
      <c r="D15" s="261">
        <f t="shared" si="0"/>
        <v>2.1447837020278637E-3</v>
      </c>
    </row>
    <row r="16" spans="2:4" ht="14" thickBot="1" x14ac:dyDescent="0.2">
      <c r="B16" s="251">
        <v>42291</v>
      </c>
      <c r="C16" s="451">
        <v>26779.66</v>
      </c>
      <c r="D16" s="261">
        <f t="shared" si="0"/>
        <v>2.4970443986218616E-3</v>
      </c>
    </row>
    <row r="17" spans="2:4" ht="14" thickBot="1" x14ac:dyDescent="0.2">
      <c r="B17" s="251">
        <v>42292</v>
      </c>
      <c r="C17" s="451">
        <v>27010.14</v>
      </c>
      <c r="D17" s="261">
        <f t="shared" si="0"/>
        <v>-8.5330916463224327E-3</v>
      </c>
    </row>
    <row r="18" spans="2:4" ht="14" thickBot="1" x14ac:dyDescent="0.2">
      <c r="B18" s="251">
        <v>42293</v>
      </c>
      <c r="C18" s="451">
        <v>27214.6</v>
      </c>
      <c r="D18" s="261">
        <f t="shared" si="0"/>
        <v>-7.5128791163566744E-3</v>
      </c>
    </row>
    <row r="19" spans="2:4" ht="14" thickBot="1" x14ac:dyDescent="0.2">
      <c r="B19" s="251">
        <v>42296</v>
      </c>
      <c r="C19" s="451">
        <v>27364.92</v>
      </c>
      <c r="D19" s="261">
        <f t="shared" si="0"/>
        <v>-5.4931642409332682E-3</v>
      </c>
    </row>
    <row r="20" spans="2:4" ht="14" thickBot="1" x14ac:dyDescent="0.2">
      <c r="B20" s="251">
        <v>42297</v>
      </c>
      <c r="C20" s="451">
        <v>27306.83</v>
      </c>
      <c r="D20" s="261">
        <f t="shared" si="0"/>
        <v>2.1273066115692352E-3</v>
      </c>
    </row>
    <row r="21" spans="2:4" ht="14" thickBot="1" x14ac:dyDescent="0.2">
      <c r="B21" s="251">
        <v>42298</v>
      </c>
      <c r="C21" s="451">
        <v>27287.66</v>
      </c>
      <c r="D21" s="261">
        <f t="shared" si="0"/>
        <v>7.0251534942911142E-4</v>
      </c>
    </row>
    <row r="22" spans="2:4" ht="14" thickBot="1" x14ac:dyDescent="0.2">
      <c r="B22" s="251">
        <v>42300</v>
      </c>
      <c r="C22" s="451">
        <v>27470.81</v>
      </c>
      <c r="D22" s="261">
        <f t="shared" si="0"/>
        <v>-6.6670767989732704E-3</v>
      </c>
    </row>
    <row r="23" spans="2:4" ht="14" thickBot="1" x14ac:dyDescent="0.2">
      <c r="B23" s="251">
        <v>42303</v>
      </c>
      <c r="C23" s="451">
        <v>27361.96</v>
      </c>
      <c r="D23" s="261">
        <f t="shared" si="0"/>
        <v>3.9781506880356421E-3</v>
      </c>
    </row>
    <row r="24" spans="2:4" ht="14" thickBot="1" x14ac:dyDescent="0.2">
      <c r="B24" s="251">
        <v>42304</v>
      </c>
      <c r="C24" s="451">
        <v>27253.439999999999</v>
      </c>
      <c r="D24" s="261">
        <f t="shared" si="0"/>
        <v>3.9818826540796159E-3</v>
      </c>
    </row>
    <row r="25" spans="2:4" ht="14" thickBot="1" x14ac:dyDescent="0.2">
      <c r="B25" s="251">
        <v>42305</v>
      </c>
      <c r="C25" s="451">
        <v>27039.759999999998</v>
      </c>
      <c r="D25" s="261">
        <f t="shared" si="0"/>
        <v>7.9024370038787151E-3</v>
      </c>
    </row>
    <row r="26" spans="2:4" ht="14" thickBot="1" x14ac:dyDescent="0.2">
      <c r="B26" s="251">
        <v>42306</v>
      </c>
      <c r="C26" s="451">
        <v>26838.14</v>
      </c>
      <c r="D26" s="261">
        <f t="shared" si="0"/>
        <v>7.5124431126747382E-3</v>
      </c>
    </row>
    <row r="27" spans="2:4" ht="14" thickBot="1" x14ac:dyDescent="0.2">
      <c r="B27" s="251">
        <v>42307</v>
      </c>
      <c r="C27" s="451">
        <v>26656.83</v>
      </c>
      <c r="D27" s="261">
        <f t="shared" si="0"/>
        <v>6.8016339527241509E-3</v>
      </c>
    </row>
    <row r="28" spans="2:4" ht="14" thickBot="1" x14ac:dyDescent="0.2">
      <c r="B28" s="251">
        <v>42310</v>
      </c>
      <c r="C28" s="451">
        <v>26559.15</v>
      </c>
      <c r="D28" s="261">
        <f t="shared" si="0"/>
        <v>3.6778285449647896E-3</v>
      </c>
    </row>
    <row r="29" spans="2:4" ht="14" thickBot="1" x14ac:dyDescent="0.2">
      <c r="B29" s="251">
        <v>42311</v>
      </c>
      <c r="C29" s="451">
        <v>26590.59</v>
      </c>
      <c r="D29" s="261">
        <f t="shared" si="0"/>
        <v>-1.1823731628368694E-3</v>
      </c>
    </row>
    <row r="30" spans="2:4" ht="14" thickBot="1" x14ac:dyDescent="0.2">
      <c r="B30" s="251">
        <v>42312</v>
      </c>
      <c r="C30" s="451">
        <v>26552.92</v>
      </c>
      <c r="D30" s="261">
        <f t="shared" si="0"/>
        <v>1.4186763640309241E-3</v>
      </c>
    </row>
    <row r="31" spans="2:4" ht="14" thickBot="1" x14ac:dyDescent="0.2">
      <c r="B31" s="251">
        <v>42313</v>
      </c>
      <c r="C31" s="451">
        <v>26304.2</v>
      </c>
      <c r="D31" s="261">
        <f t="shared" si="0"/>
        <v>9.455524212863331E-3</v>
      </c>
    </row>
    <row r="32" spans="2:4" ht="14" thickBot="1" x14ac:dyDescent="0.2">
      <c r="B32" s="251">
        <v>42314</v>
      </c>
      <c r="C32" s="451">
        <v>26265.24</v>
      </c>
      <c r="D32" s="261">
        <f t="shared" si="0"/>
        <v>1.4833292975811041E-3</v>
      </c>
    </row>
    <row r="33" spans="2:4" ht="14" thickBot="1" x14ac:dyDescent="0.2">
      <c r="B33" s="251">
        <v>42317</v>
      </c>
      <c r="C33" s="451">
        <v>26121.4</v>
      </c>
      <c r="D33" s="261">
        <f t="shared" si="0"/>
        <v>5.50659612425064E-3</v>
      </c>
    </row>
    <row r="34" spans="2:4" ht="14" thickBot="1" x14ac:dyDescent="0.2">
      <c r="B34" s="251">
        <v>42318</v>
      </c>
      <c r="C34" s="451">
        <v>25743.26</v>
      </c>
      <c r="D34" s="261">
        <f t="shared" si="0"/>
        <v>1.4688893325864871E-2</v>
      </c>
    </row>
    <row r="35" spans="2:4" ht="14" thickBot="1" x14ac:dyDescent="0.2">
      <c r="B35" s="251">
        <v>42319</v>
      </c>
      <c r="C35" s="451">
        <v>25866.95</v>
      </c>
      <c r="D35" s="261">
        <f t="shared" si="0"/>
        <v>-4.7817775191896228E-3</v>
      </c>
    </row>
    <row r="36" spans="2:4" ht="14" thickBot="1" x14ac:dyDescent="0.2">
      <c r="B36" s="251">
        <v>42321</v>
      </c>
      <c r="C36" s="451">
        <v>25610.53</v>
      </c>
      <c r="D36" s="261">
        <f t="shared" si="0"/>
        <v>1.0012287914385354E-2</v>
      </c>
    </row>
    <row r="37" spans="2:4" ht="14" thickBot="1" x14ac:dyDescent="0.2">
      <c r="B37" s="251">
        <v>42324</v>
      </c>
      <c r="C37" s="451">
        <v>25760.1</v>
      </c>
      <c r="D37" s="261">
        <f t="shared" si="0"/>
        <v>-5.806266280022232E-3</v>
      </c>
    </row>
    <row r="38" spans="2:4" ht="14" thickBot="1" x14ac:dyDescent="0.2">
      <c r="B38" s="251">
        <v>42325</v>
      </c>
      <c r="C38" s="451">
        <v>25864.47</v>
      </c>
      <c r="D38" s="261">
        <f t="shared" si="0"/>
        <v>-4.0352653659635473E-3</v>
      </c>
    </row>
    <row r="39" spans="2:4" ht="14" thickBot="1" x14ac:dyDescent="0.2">
      <c r="B39" s="251">
        <v>42326</v>
      </c>
      <c r="C39" s="451">
        <v>25482.52</v>
      </c>
      <c r="D39" s="261">
        <f t="shared" si="0"/>
        <v>1.498870598355273E-2</v>
      </c>
    </row>
    <row r="40" spans="2:4" ht="14" thickBot="1" x14ac:dyDescent="0.2">
      <c r="B40" s="251">
        <v>42327</v>
      </c>
      <c r="C40" s="451">
        <v>25841.919999999998</v>
      </c>
      <c r="D40" s="261">
        <f t="shared" si="0"/>
        <v>-1.3907635345980385E-2</v>
      </c>
    </row>
    <row r="41" spans="2:4" ht="14" thickBot="1" x14ac:dyDescent="0.2">
      <c r="B41" s="251">
        <v>42328</v>
      </c>
      <c r="C41" s="451">
        <v>25868.49</v>
      </c>
      <c r="D41" s="261">
        <f t="shared" si="0"/>
        <v>-1.0271183203969247E-3</v>
      </c>
    </row>
    <row r="42" spans="2:4" ht="14" thickBot="1" x14ac:dyDescent="0.2">
      <c r="B42" s="251">
        <v>42331</v>
      </c>
      <c r="C42" s="451">
        <v>25819.34</v>
      </c>
      <c r="D42" s="261">
        <f t="shared" si="0"/>
        <v>1.903611788682591E-3</v>
      </c>
    </row>
    <row r="43" spans="2:4" ht="14" thickBot="1" x14ac:dyDescent="0.2">
      <c r="B43" s="251">
        <v>42332</v>
      </c>
      <c r="C43" s="451">
        <v>25775.74</v>
      </c>
      <c r="D43" s="261">
        <f t="shared" si="0"/>
        <v>1.6915130273660317E-3</v>
      </c>
    </row>
    <row r="44" spans="2:4" ht="14" thickBot="1" x14ac:dyDescent="0.2">
      <c r="B44" s="251">
        <v>42334</v>
      </c>
      <c r="C44" s="451">
        <v>25958.63</v>
      </c>
      <c r="D44" s="261">
        <f t="shared" si="0"/>
        <v>-7.0454411500144865E-3</v>
      </c>
    </row>
    <row r="45" spans="2:4" ht="14" thickBot="1" x14ac:dyDescent="0.2">
      <c r="B45" s="251">
        <v>42335</v>
      </c>
      <c r="C45" s="451">
        <v>26128.2</v>
      </c>
      <c r="D45" s="261">
        <f t="shared" si="0"/>
        <v>-6.4899227654411362E-3</v>
      </c>
    </row>
    <row r="46" spans="2:4" ht="14" thickBot="1" x14ac:dyDescent="0.2">
      <c r="B46" s="251">
        <v>42338</v>
      </c>
      <c r="C46" s="451">
        <v>26145.67</v>
      </c>
      <c r="D46" s="261">
        <f t="shared" si="0"/>
        <v>-6.6817947292985291E-4</v>
      </c>
    </row>
    <row r="47" spans="2:4" ht="14" thickBot="1" x14ac:dyDescent="0.2">
      <c r="B47" s="251">
        <v>42339</v>
      </c>
      <c r="C47" s="451">
        <v>26169.41</v>
      </c>
      <c r="D47" s="261">
        <f t="shared" si="0"/>
        <v>-9.071660385160385E-4</v>
      </c>
    </row>
    <row r="48" spans="2:4" ht="14" thickBot="1" x14ac:dyDescent="0.2">
      <c r="B48" s="251">
        <v>42340</v>
      </c>
      <c r="C48" s="451">
        <v>26117.85</v>
      </c>
      <c r="D48" s="261">
        <f t="shared" si="0"/>
        <v>1.9741288046297711E-3</v>
      </c>
    </row>
    <row r="49" spans="2:4" ht="14" thickBot="1" x14ac:dyDescent="0.2">
      <c r="B49" s="251">
        <v>42341</v>
      </c>
      <c r="C49" s="451">
        <v>25886.62</v>
      </c>
      <c r="D49" s="261">
        <f t="shared" si="0"/>
        <v>8.9324137334267917E-3</v>
      </c>
    </row>
    <row r="50" spans="2:4" ht="14" thickBot="1" x14ac:dyDescent="0.2">
      <c r="B50" s="251">
        <v>42342</v>
      </c>
      <c r="C50" s="451">
        <v>25638.11</v>
      </c>
      <c r="D50" s="261">
        <f t="shared" si="0"/>
        <v>9.6929921901418581E-3</v>
      </c>
    </row>
    <row r="51" spans="2:4" ht="14" thickBot="1" x14ac:dyDescent="0.2">
      <c r="B51" s="251">
        <v>42345</v>
      </c>
      <c r="C51" s="451">
        <v>25530.11</v>
      </c>
      <c r="D51" s="261">
        <f t="shared" si="0"/>
        <v>4.2302990468900958E-3</v>
      </c>
    </row>
    <row r="52" spans="2:4" ht="14" thickBot="1" x14ac:dyDescent="0.2">
      <c r="B52" s="251">
        <v>42346</v>
      </c>
      <c r="C52" s="451">
        <v>25310.33</v>
      </c>
      <c r="D52" s="261">
        <f t="shared" si="0"/>
        <v>8.6834110815623422E-3</v>
      </c>
    </row>
    <row r="53" spans="2:4" ht="14" thickBot="1" x14ac:dyDescent="0.2">
      <c r="B53" s="251">
        <v>42347</v>
      </c>
      <c r="C53" s="451">
        <v>25036.05</v>
      </c>
      <c r="D53" s="261">
        <f t="shared" si="0"/>
        <v>1.0955402309869244E-2</v>
      </c>
    </row>
    <row r="54" spans="2:4" ht="14" thickBot="1" x14ac:dyDescent="0.2">
      <c r="B54" s="251">
        <v>42348</v>
      </c>
      <c r="C54" s="451">
        <v>25252.32</v>
      </c>
      <c r="D54" s="261">
        <f t="shared" si="0"/>
        <v>-8.564361611131166E-3</v>
      </c>
    </row>
    <row r="55" spans="2:4" ht="14" thickBot="1" x14ac:dyDescent="0.2">
      <c r="B55" s="251">
        <v>42349</v>
      </c>
      <c r="C55" s="451">
        <v>25044.43</v>
      </c>
      <c r="D55" s="261">
        <f t="shared" si="0"/>
        <v>8.3008477334081121E-3</v>
      </c>
    </row>
    <row r="56" spans="2:4" ht="14" thickBot="1" x14ac:dyDescent="0.2">
      <c r="B56" s="251">
        <v>42352</v>
      </c>
      <c r="C56" s="451">
        <v>25150.35</v>
      </c>
      <c r="D56" s="261">
        <f t="shared" si="0"/>
        <v>-4.2114722061521448E-3</v>
      </c>
    </row>
    <row r="57" spans="2:4" ht="14" thickBot="1" x14ac:dyDescent="0.2">
      <c r="B57" s="251">
        <v>42353</v>
      </c>
      <c r="C57" s="451">
        <v>25320.44</v>
      </c>
      <c r="D57" s="261">
        <f t="shared" si="0"/>
        <v>-6.7174978001962593E-3</v>
      </c>
    </row>
    <row r="58" spans="2:4" ht="14" thickBot="1" x14ac:dyDescent="0.2">
      <c r="B58" s="251">
        <v>42354</v>
      </c>
      <c r="C58" s="451">
        <v>25494.37</v>
      </c>
      <c r="D58" s="261">
        <f t="shared" si="0"/>
        <v>-6.8222905684667268E-3</v>
      </c>
    </row>
    <row r="59" spans="2:4" ht="14" thickBot="1" x14ac:dyDescent="0.2">
      <c r="B59" s="251">
        <v>42355</v>
      </c>
      <c r="C59" s="451">
        <v>25803.78</v>
      </c>
      <c r="D59" s="261">
        <f t="shared" si="0"/>
        <v>-1.1990878855733578E-2</v>
      </c>
    </row>
    <row r="60" spans="2:4" ht="14" thickBot="1" x14ac:dyDescent="0.2">
      <c r="B60" s="251">
        <v>42356</v>
      </c>
      <c r="C60" s="451">
        <v>25519.22</v>
      </c>
      <c r="D60" s="261">
        <f t="shared" si="0"/>
        <v>1.1150811035760322E-2</v>
      </c>
    </row>
    <row r="61" spans="2:4" ht="14" thickBot="1" x14ac:dyDescent="0.2">
      <c r="B61" s="251">
        <v>42359</v>
      </c>
      <c r="C61" s="451">
        <v>25735.9</v>
      </c>
      <c r="D61" s="261">
        <f t="shared" si="0"/>
        <v>-8.4193674983195077E-3</v>
      </c>
    </row>
    <row r="62" spans="2:4" ht="14" thickBot="1" x14ac:dyDescent="0.2">
      <c r="B62" s="251">
        <v>42360</v>
      </c>
      <c r="C62" s="451">
        <v>25590.65</v>
      </c>
      <c r="D62" s="261">
        <f t="shared" si="0"/>
        <v>5.6759011592124597E-3</v>
      </c>
    </row>
    <row r="63" spans="2:4" ht="14" thickBot="1" x14ac:dyDescent="0.2">
      <c r="B63" s="251">
        <v>42361</v>
      </c>
      <c r="C63" s="451">
        <v>25850.3</v>
      </c>
      <c r="D63" s="261">
        <f t="shared" si="0"/>
        <v>-1.0044370858365181E-2</v>
      </c>
    </row>
    <row r="64" spans="2:4" ht="14" thickBot="1" x14ac:dyDescent="0.2">
      <c r="B64" s="251">
        <v>42362</v>
      </c>
      <c r="C64" s="451">
        <v>25838.71</v>
      </c>
      <c r="D64" s="261">
        <f t="shared" si="0"/>
        <v>4.4855180463732047E-4</v>
      </c>
    </row>
    <row r="65" spans="2:4" ht="14" thickBot="1" x14ac:dyDescent="0.2">
      <c r="B65" s="251">
        <v>42366</v>
      </c>
      <c r="C65" s="451">
        <v>26034.13</v>
      </c>
      <c r="D65" s="261">
        <f t="shared" si="0"/>
        <v>-7.5063003833814035E-3</v>
      </c>
    </row>
    <row r="66" spans="2:4" ht="14" thickBot="1" x14ac:dyDescent="0.2">
      <c r="B66" s="251">
        <v>42367</v>
      </c>
      <c r="C66" s="451">
        <v>26079.48</v>
      </c>
      <c r="D66" s="261">
        <f t="shared" si="0"/>
        <v>-1.738915039717015E-3</v>
      </c>
    </row>
    <row r="67" spans="2:4" ht="14" thickBot="1" x14ac:dyDescent="0.2">
      <c r="B67" s="251">
        <v>42368</v>
      </c>
      <c r="C67" s="451">
        <v>25960.03</v>
      </c>
      <c r="D67" s="261">
        <f t="shared" si="0"/>
        <v>4.6013043898640582E-3</v>
      </c>
    </row>
    <row r="68" spans="2:4" ht="14" thickBot="1" x14ac:dyDescent="0.2">
      <c r="B68" s="251">
        <v>42369</v>
      </c>
      <c r="C68" s="451">
        <v>26117.54</v>
      </c>
      <c r="D68" s="261">
        <f t="shared" si="0"/>
        <v>-6.030813009188507E-3</v>
      </c>
    </row>
    <row r="69" spans="2:4" ht="14" thickBot="1" x14ac:dyDescent="0.2">
      <c r="B69" s="251">
        <v>42370</v>
      </c>
      <c r="C69" s="451">
        <v>26160.9</v>
      </c>
      <c r="D69" s="261">
        <f t="shared" si="0"/>
        <v>-1.6574353328823177E-3</v>
      </c>
    </row>
    <row r="70" spans="2:4" ht="14" thickBot="1" x14ac:dyDescent="0.2">
      <c r="B70" s="251">
        <v>42373</v>
      </c>
      <c r="C70" s="451">
        <v>25623.35</v>
      </c>
      <c r="D70" s="261">
        <f t="shared" si="0"/>
        <v>2.097891181285827E-2</v>
      </c>
    </row>
    <row r="71" spans="2:4" ht="14" thickBot="1" x14ac:dyDescent="0.2">
      <c r="B71" s="251">
        <v>42374</v>
      </c>
      <c r="C71" s="451">
        <v>25580.34</v>
      </c>
      <c r="D71" s="261">
        <f t="shared" si="0"/>
        <v>1.6813693641288818E-3</v>
      </c>
    </row>
    <row r="72" spans="2:4" ht="14" thickBot="1" x14ac:dyDescent="0.2">
      <c r="B72" s="251">
        <v>42375</v>
      </c>
      <c r="C72" s="451">
        <v>25406.33</v>
      </c>
      <c r="D72" s="261">
        <f t="shared" si="0"/>
        <v>6.8490805244203479E-3</v>
      </c>
    </row>
    <row r="73" spans="2:4" ht="14" thickBot="1" x14ac:dyDescent="0.2">
      <c r="B73" s="251">
        <v>42376</v>
      </c>
      <c r="C73" s="451">
        <v>24851.83</v>
      </c>
      <c r="D73" s="261">
        <f t="shared" si="0"/>
        <v>2.2312240185129228E-2</v>
      </c>
    </row>
    <row r="74" spans="2:4" ht="14" thickBot="1" x14ac:dyDescent="0.2">
      <c r="B74" s="251">
        <v>42377</v>
      </c>
      <c r="C74" s="451">
        <v>24934.33</v>
      </c>
      <c r="D74" s="261">
        <f t="shared" ref="D74:D137" si="1">C73/C74-1</f>
        <v>-3.308691270228592E-3</v>
      </c>
    </row>
    <row r="75" spans="2:4" ht="14" thickBot="1" x14ac:dyDescent="0.2">
      <c r="B75" s="251">
        <v>42380</v>
      </c>
      <c r="C75" s="451">
        <v>24825.040000000001</v>
      </c>
      <c r="D75" s="261">
        <f t="shared" si="1"/>
        <v>4.4024098249186849E-3</v>
      </c>
    </row>
    <row r="76" spans="2:4" ht="14" thickBot="1" x14ac:dyDescent="0.2">
      <c r="B76" s="251">
        <v>42381</v>
      </c>
      <c r="C76" s="451">
        <v>24682.03</v>
      </c>
      <c r="D76" s="261">
        <f t="shared" si="1"/>
        <v>5.7940939217722143E-3</v>
      </c>
    </row>
    <row r="77" spans="2:4" ht="14" thickBot="1" x14ac:dyDescent="0.2">
      <c r="B77" s="251">
        <v>42382</v>
      </c>
      <c r="C77" s="451">
        <v>24854.11</v>
      </c>
      <c r="D77" s="261">
        <f t="shared" si="1"/>
        <v>-6.923603379883736E-3</v>
      </c>
    </row>
    <row r="78" spans="2:4" ht="14" thickBot="1" x14ac:dyDescent="0.2">
      <c r="B78" s="251">
        <v>42383</v>
      </c>
      <c r="C78" s="451">
        <v>24772.97</v>
      </c>
      <c r="D78" s="261">
        <f t="shared" si="1"/>
        <v>3.2753440544270873E-3</v>
      </c>
    </row>
    <row r="79" spans="2:4" ht="14" thickBot="1" x14ac:dyDescent="0.2">
      <c r="B79" s="251">
        <v>42384</v>
      </c>
      <c r="C79" s="451">
        <v>24455.040000000001</v>
      </c>
      <c r="D79" s="261">
        <f t="shared" si="1"/>
        <v>1.3000592106984898E-2</v>
      </c>
    </row>
    <row r="80" spans="2:4" ht="14" thickBot="1" x14ac:dyDescent="0.2">
      <c r="B80" s="251">
        <v>42387</v>
      </c>
      <c r="C80" s="451">
        <v>24188.37</v>
      </c>
      <c r="D80" s="261">
        <f t="shared" si="1"/>
        <v>1.1024719731011379E-2</v>
      </c>
    </row>
    <row r="81" spans="2:4" ht="14" thickBot="1" x14ac:dyDescent="0.2">
      <c r="B81" s="251">
        <v>42388</v>
      </c>
      <c r="C81" s="451">
        <v>24479.84</v>
      </c>
      <c r="D81" s="261">
        <f t="shared" si="1"/>
        <v>-1.1906532068837072E-2</v>
      </c>
    </row>
    <row r="82" spans="2:4" ht="14" thickBot="1" x14ac:dyDescent="0.2">
      <c r="B82" s="251">
        <v>42389</v>
      </c>
      <c r="C82" s="451">
        <v>24062.04</v>
      </c>
      <c r="D82" s="261">
        <f t="shared" si="1"/>
        <v>1.7363448818138449E-2</v>
      </c>
    </row>
    <row r="83" spans="2:4" ht="14" thickBot="1" x14ac:dyDescent="0.2">
      <c r="B83" s="251">
        <v>42390</v>
      </c>
      <c r="C83" s="451">
        <v>23962.21</v>
      </c>
      <c r="D83" s="261">
        <f t="shared" si="1"/>
        <v>4.1661432730955017E-3</v>
      </c>
    </row>
    <row r="84" spans="2:4" ht="14" thickBot="1" x14ac:dyDescent="0.2">
      <c r="B84" s="251">
        <v>42391</v>
      </c>
      <c r="C84" s="451">
        <v>24435.66</v>
      </c>
      <c r="D84" s="261">
        <f t="shared" si="1"/>
        <v>-1.9375371895009263E-2</v>
      </c>
    </row>
    <row r="85" spans="2:4" ht="14" thickBot="1" x14ac:dyDescent="0.2">
      <c r="B85" s="251">
        <v>42394</v>
      </c>
      <c r="C85" s="451">
        <v>24485.95</v>
      </c>
      <c r="D85" s="261">
        <f t="shared" si="1"/>
        <v>-2.0538308703562658E-3</v>
      </c>
    </row>
    <row r="86" spans="2:4" ht="14" thickBot="1" x14ac:dyDescent="0.2">
      <c r="B86" s="251">
        <v>42396</v>
      </c>
      <c r="C86" s="451">
        <v>24492.39</v>
      </c>
      <c r="D86" s="261">
        <f t="shared" si="1"/>
        <v>-2.6293881487260418E-4</v>
      </c>
    </row>
    <row r="87" spans="2:4" ht="14" thickBot="1" x14ac:dyDescent="0.2">
      <c r="B87" s="251">
        <v>42397</v>
      </c>
      <c r="C87" s="451">
        <v>24469.57</v>
      </c>
      <c r="D87" s="261">
        <f t="shared" si="1"/>
        <v>9.3258688240127618E-4</v>
      </c>
    </row>
    <row r="88" spans="2:4" ht="14" thickBot="1" x14ac:dyDescent="0.2">
      <c r="B88" s="251">
        <v>42398</v>
      </c>
      <c r="C88" s="451">
        <v>24870.69</v>
      </c>
      <c r="D88" s="261">
        <f t="shared" si="1"/>
        <v>-1.6128221613473492E-2</v>
      </c>
    </row>
    <row r="89" spans="2:4" ht="14" thickBot="1" x14ac:dyDescent="0.2">
      <c r="B89" s="251">
        <v>42401</v>
      </c>
      <c r="C89" s="451">
        <v>24824.83</v>
      </c>
      <c r="D89" s="261">
        <f t="shared" si="1"/>
        <v>1.8473439697268557E-3</v>
      </c>
    </row>
    <row r="90" spans="2:4" ht="14" thickBot="1" x14ac:dyDescent="0.2">
      <c r="B90" s="251">
        <v>42402</v>
      </c>
      <c r="C90" s="451">
        <v>24539</v>
      </c>
      <c r="D90" s="261">
        <f t="shared" si="1"/>
        <v>1.1647988915603813E-2</v>
      </c>
    </row>
    <row r="91" spans="2:4" ht="14" thickBot="1" x14ac:dyDescent="0.2">
      <c r="B91" s="251">
        <v>42403</v>
      </c>
      <c r="C91" s="451">
        <v>24223.32</v>
      </c>
      <c r="D91" s="261">
        <f t="shared" si="1"/>
        <v>1.3032069922702672E-2</v>
      </c>
    </row>
    <row r="92" spans="2:4" ht="14" thickBot="1" x14ac:dyDescent="0.2">
      <c r="B92" s="251">
        <v>42404</v>
      </c>
      <c r="C92" s="451">
        <v>24338.43</v>
      </c>
      <c r="D92" s="261">
        <f t="shared" si="1"/>
        <v>-4.7295573297044813E-3</v>
      </c>
    </row>
    <row r="93" spans="2:4" ht="14" thickBot="1" x14ac:dyDescent="0.2">
      <c r="B93" s="251">
        <v>42405</v>
      </c>
      <c r="C93" s="451">
        <v>24616.97</v>
      </c>
      <c r="D93" s="261">
        <f t="shared" si="1"/>
        <v>-1.1314958745938353E-2</v>
      </c>
    </row>
    <row r="94" spans="2:4" ht="14" thickBot="1" x14ac:dyDescent="0.2">
      <c r="B94" s="251">
        <v>42408</v>
      </c>
      <c r="C94" s="451">
        <v>24287.42</v>
      </c>
      <c r="D94" s="261">
        <f t="shared" si="1"/>
        <v>1.3568752877003876E-2</v>
      </c>
    </row>
    <row r="95" spans="2:4" ht="14" thickBot="1" x14ac:dyDescent="0.2">
      <c r="B95" s="251">
        <v>42409</v>
      </c>
      <c r="C95" s="451">
        <v>24020.98</v>
      </c>
      <c r="D95" s="261">
        <f t="shared" si="1"/>
        <v>1.1091970435843868E-2</v>
      </c>
    </row>
    <row r="96" spans="2:4" ht="14" thickBot="1" x14ac:dyDescent="0.2">
      <c r="B96" s="251">
        <v>42410</v>
      </c>
      <c r="C96" s="451">
        <v>23758.9</v>
      </c>
      <c r="D96" s="261">
        <f t="shared" si="1"/>
        <v>1.1030813716123244E-2</v>
      </c>
    </row>
    <row r="97" spans="2:4" ht="14" thickBot="1" x14ac:dyDescent="0.2">
      <c r="B97" s="251">
        <v>42411</v>
      </c>
      <c r="C97" s="451">
        <v>22951.83</v>
      </c>
      <c r="D97" s="261">
        <f t="shared" si="1"/>
        <v>3.5163644903260405E-2</v>
      </c>
    </row>
    <row r="98" spans="2:4" ht="14" thickBot="1" x14ac:dyDescent="0.2">
      <c r="B98" s="251">
        <v>42412</v>
      </c>
      <c r="C98" s="451">
        <v>22986.12</v>
      </c>
      <c r="D98" s="261">
        <f t="shared" si="1"/>
        <v>-1.4917698158714021E-3</v>
      </c>
    </row>
    <row r="99" spans="2:4" ht="14" thickBot="1" x14ac:dyDescent="0.2">
      <c r="B99" s="251">
        <v>42415</v>
      </c>
      <c r="C99" s="451">
        <v>23554.12</v>
      </c>
      <c r="D99" s="261">
        <f t="shared" si="1"/>
        <v>-2.4114677177495936E-2</v>
      </c>
    </row>
    <row r="100" spans="2:4" ht="14" thickBot="1" x14ac:dyDescent="0.2">
      <c r="B100" s="251">
        <v>42416</v>
      </c>
      <c r="C100" s="451">
        <v>23191.97</v>
      </c>
      <c r="D100" s="261">
        <f t="shared" si="1"/>
        <v>1.5615318577938631E-2</v>
      </c>
    </row>
    <row r="101" spans="2:4" ht="14" thickBot="1" x14ac:dyDescent="0.2">
      <c r="B101" s="251">
        <v>42417</v>
      </c>
      <c r="C101" s="451">
        <v>23381.87</v>
      </c>
      <c r="D101" s="261">
        <f t="shared" si="1"/>
        <v>-8.1216771797977261E-3</v>
      </c>
    </row>
    <row r="102" spans="2:4" ht="14" thickBot="1" x14ac:dyDescent="0.2">
      <c r="B102" s="251">
        <v>42418</v>
      </c>
      <c r="C102" s="451">
        <v>23649.22</v>
      </c>
      <c r="D102" s="261">
        <f t="shared" si="1"/>
        <v>-1.1304812590013591E-2</v>
      </c>
    </row>
    <row r="103" spans="2:4" ht="14" thickBot="1" x14ac:dyDescent="0.2">
      <c r="B103" s="251">
        <v>42419</v>
      </c>
      <c r="C103" s="451">
        <v>23709.15</v>
      </c>
      <c r="D103" s="261">
        <f t="shared" si="1"/>
        <v>-2.5277160927321685E-3</v>
      </c>
    </row>
    <row r="104" spans="2:4" ht="14" thickBot="1" x14ac:dyDescent="0.2">
      <c r="B104" s="251">
        <v>42422</v>
      </c>
      <c r="C104" s="451">
        <v>23788.79</v>
      </c>
      <c r="D104" s="261">
        <f t="shared" si="1"/>
        <v>-3.3477953271267014E-3</v>
      </c>
    </row>
    <row r="105" spans="2:4" ht="14" thickBot="1" x14ac:dyDescent="0.2">
      <c r="B105" s="251">
        <v>42423</v>
      </c>
      <c r="C105" s="451">
        <v>23410.18</v>
      </c>
      <c r="D105" s="261">
        <f t="shared" si="1"/>
        <v>1.6172878636558918E-2</v>
      </c>
    </row>
    <row r="106" spans="2:4" ht="14" thickBot="1" x14ac:dyDescent="0.2">
      <c r="B106" s="251">
        <v>42424</v>
      </c>
      <c r="C106" s="451">
        <v>23088.93</v>
      </c>
      <c r="D106" s="261">
        <f t="shared" si="1"/>
        <v>1.3913594090328107E-2</v>
      </c>
    </row>
    <row r="107" spans="2:4" ht="14" thickBot="1" x14ac:dyDescent="0.2">
      <c r="B107" s="251">
        <v>42425</v>
      </c>
      <c r="C107" s="451">
        <v>22976</v>
      </c>
      <c r="D107" s="261">
        <f t="shared" si="1"/>
        <v>4.9151288300834928E-3</v>
      </c>
    </row>
    <row r="108" spans="2:4" ht="14" thickBot="1" x14ac:dyDescent="0.2">
      <c r="B108" s="251">
        <v>42426</v>
      </c>
      <c r="C108" s="451">
        <v>23154.3</v>
      </c>
      <c r="D108" s="261">
        <f t="shared" si="1"/>
        <v>-7.7005135115291168E-3</v>
      </c>
    </row>
    <row r="109" spans="2:4" ht="14" thickBot="1" x14ac:dyDescent="0.2">
      <c r="B109" s="251">
        <v>42429</v>
      </c>
      <c r="C109" s="451">
        <v>23002</v>
      </c>
      <c r="D109" s="261">
        <f t="shared" si="1"/>
        <v>6.6211633770976164E-3</v>
      </c>
    </row>
    <row r="110" spans="2:4" ht="14" thickBot="1" x14ac:dyDescent="0.2">
      <c r="B110" s="251">
        <v>42430</v>
      </c>
      <c r="C110" s="451">
        <v>23779.35</v>
      </c>
      <c r="D110" s="261">
        <f t="shared" si="1"/>
        <v>-3.269012819946715E-2</v>
      </c>
    </row>
    <row r="111" spans="2:4" ht="14" thickBot="1" x14ac:dyDescent="0.2">
      <c r="B111" s="251">
        <v>42431</v>
      </c>
      <c r="C111" s="451">
        <v>24242.98</v>
      </c>
      <c r="D111" s="261">
        <f t="shared" si="1"/>
        <v>-1.9124299075443774E-2</v>
      </c>
    </row>
    <row r="112" spans="2:4" ht="14" thickBot="1" x14ac:dyDescent="0.2">
      <c r="B112" s="251">
        <v>42432</v>
      </c>
      <c r="C112" s="451">
        <v>24606.99</v>
      </c>
      <c r="D112" s="261">
        <f t="shared" si="1"/>
        <v>-1.4792951108607788E-2</v>
      </c>
    </row>
    <row r="113" spans="2:4" ht="14" thickBot="1" x14ac:dyDescent="0.2">
      <c r="B113" s="251">
        <v>42433</v>
      </c>
      <c r="C113" s="451">
        <v>24646.48</v>
      </c>
      <c r="D113" s="261">
        <f t="shared" si="1"/>
        <v>-1.6022571985937484E-3</v>
      </c>
    </row>
    <row r="114" spans="2:4" ht="14" thickBot="1" x14ac:dyDescent="0.2">
      <c r="B114" s="251">
        <v>42437</v>
      </c>
      <c r="C114" s="451">
        <v>24659.23</v>
      </c>
      <c r="D114" s="261">
        <f t="shared" si="1"/>
        <v>-5.1704777480887643E-4</v>
      </c>
    </row>
    <row r="115" spans="2:4" ht="14" thickBot="1" x14ac:dyDescent="0.2">
      <c r="B115" s="251">
        <v>42438</v>
      </c>
      <c r="C115" s="451">
        <v>24793.96</v>
      </c>
      <c r="D115" s="261">
        <f t="shared" si="1"/>
        <v>-5.4339847285387322E-3</v>
      </c>
    </row>
    <row r="116" spans="2:4" ht="14" thickBot="1" x14ac:dyDescent="0.2">
      <c r="B116" s="251">
        <v>42439</v>
      </c>
      <c r="C116" s="451">
        <v>24623.34</v>
      </c>
      <c r="D116" s="261">
        <f t="shared" si="1"/>
        <v>6.9291980697987476E-3</v>
      </c>
    </row>
    <row r="117" spans="2:4" ht="14" thickBot="1" x14ac:dyDescent="0.2">
      <c r="B117" s="251">
        <v>42440</v>
      </c>
      <c r="C117" s="451">
        <v>24717.99</v>
      </c>
      <c r="D117" s="261">
        <f t="shared" si="1"/>
        <v>-3.8291948495813299E-3</v>
      </c>
    </row>
    <row r="118" spans="2:4" ht="14" thickBot="1" x14ac:dyDescent="0.2">
      <c r="B118" s="251">
        <v>42443</v>
      </c>
      <c r="C118" s="451">
        <v>24804.28</v>
      </c>
      <c r="D118" s="261">
        <f t="shared" si="1"/>
        <v>-3.4788351042641663E-3</v>
      </c>
    </row>
    <row r="119" spans="2:4" ht="14" thickBot="1" x14ac:dyDescent="0.2">
      <c r="B119" s="251">
        <v>42444</v>
      </c>
      <c r="C119" s="451">
        <v>24551.17</v>
      </c>
      <c r="D119" s="261">
        <f t="shared" si="1"/>
        <v>1.0309488305445313E-2</v>
      </c>
    </row>
    <row r="120" spans="2:4" ht="14" thickBot="1" x14ac:dyDescent="0.2">
      <c r="B120" s="251">
        <v>42445</v>
      </c>
      <c r="C120" s="451">
        <v>24682.48</v>
      </c>
      <c r="D120" s="261">
        <f t="shared" si="1"/>
        <v>-5.3199678476393286E-3</v>
      </c>
    </row>
    <row r="121" spans="2:4" ht="14" thickBot="1" x14ac:dyDescent="0.2">
      <c r="B121" s="251">
        <v>42446</v>
      </c>
      <c r="C121" s="451">
        <v>24677.37</v>
      </c>
      <c r="D121" s="261">
        <f t="shared" si="1"/>
        <v>2.070723095695115E-4</v>
      </c>
    </row>
    <row r="122" spans="2:4" ht="14" thickBot="1" x14ac:dyDescent="0.2">
      <c r="B122" s="251">
        <v>42447</v>
      </c>
      <c r="C122" s="451">
        <v>24952.74</v>
      </c>
      <c r="D122" s="261">
        <f t="shared" si="1"/>
        <v>-1.103566181509541E-2</v>
      </c>
    </row>
    <row r="123" spans="2:4" ht="14" thickBot="1" x14ac:dyDescent="0.2">
      <c r="B123" s="251">
        <v>42450</v>
      </c>
      <c r="C123" s="451">
        <v>25285.37</v>
      </c>
      <c r="D123" s="261">
        <f t="shared" si="1"/>
        <v>-1.3155037873679443E-2</v>
      </c>
    </row>
    <row r="124" spans="2:4" ht="14" thickBot="1" x14ac:dyDescent="0.2">
      <c r="B124" s="251">
        <v>42451</v>
      </c>
      <c r="C124" s="451">
        <v>25330.49</v>
      </c>
      <c r="D124" s="261">
        <f t="shared" si="1"/>
        <v>-1.7812525537406199E-3</v>
      </c>
    </row>
    <row r="125" spans="2:4" ht="14" thickBot="1" x14ac:dyDescent="0.2">
      <c r="B125" s="251">
        <v>42452</v>
      </c>
      <c r="C125" s="451">
        <v>25337.56</v>
      </c>
      <c r="D125" s="261">
        <f t="shared" si="1"/>
        <v>-2.7903239301652061E-4</v>
      </c>
    </row>
    <row r="126" spans="2:4" ht="14" thickBot="1" x14ac:dyDescent="0.2">
      <c r="B126" s="251">
        <v>42457</v>
      </c>
      <c r="C126" s="451">
        <v>24966.400000000001</v>
      </c>
      <c r="D126" s="261">
        <f t="shared" si="1"/>
        <v>1.4866380415278213E-2</v>
      </c>
    </row>
    <row r="127" spans="2:4" ht="14" thickBot="1" x14ac:dyDescent="0.2">
      <c r="B127" s="251">
        <v>42458</v>
      </c>
      <c r="C127" s="451">
        <v>24900.46</v>
      </c>
      <c r="D127" s="261">
        <f t="shared" si="1"/>
        <v>2.6481438495513654E-3</v>
      </c>
    </row>
    <row r="128" spans="2:4" ht="14" thickBot="1" x14ac:dyDescent="0.2">
      <c r="B128" s="251">
        <v>42459</v>
      </c>
      <c r="C128" s="451">
        <v>25338.58</v>
      </c>
      <c r="D128" s="261">
        <f t="shared" si="1"/>
        <v>-1.7290629545933633E-2</v>
      </c>
    </row>
    <row r="129" spans="2:4" ht="14" thickBot="1" x14ac:dyDescent="0.2">
      <c r="B129" s="251">
        <v>42460</v>
      </c>
      <c r="C129" s="451">
        <v>25341.86</v>
      </c>
      <c r="D129" s="261">
        <f t="shared" si="1"/>
        <v>-1.2943012075672389E-4</v>
      </c>
    </row>
    <row r="130" spans="2:4" ht="14" thickBot="1" x14ac:dyDescent="0.2">
      <c r="B130" s="251">
        <v>42461</v>
      </c>
      <c r="C130" s="451">
        <v>25269.64</v>
      </c>
      <c r="D130" s="261">
        <f t="shared" si="1"/>
        <v>2.8579750245749658E-3</v>
      </c>
    </row>
    <row r="131" spans="2:4" ht="14" thickBot="1" x14ac:dyDescent="0.2">
      <c r="B131" s="251">
        <v>42464</v>
      </c>
      <c r="C131" s="451">
        <v>25399.65</v>
      </c>
      <c r="D131" s="261">
        <f t="shared" si="1"/>
        <v>-5.1185744685459111E-3</v>
      </c>
    </row>
    <row r="132" spans="2:4" ht="14" thickBot="1" x14ac:dyDescent="0.2">
      <c r="B132" s="251">
        <v>42465</v>
      </c>
      <c r="C132" s="451">
        <v>24883.59</v>
      </c>
      <c r="D132" s="261">
        <f t="shared" si="1"/>
        <v>2.0738968934948643E-2</v>
      </c>
    </row>
    <row r="133" spans="2:4" ht="14" thickBot="1" x14ac:dyDescent="0.2">
      <c r="B133" s="251">
        <v>42466</v>
      </c>
      <c r="C133" s="451">
        <v>24900.63</v>
      </c>
      <c r="D133" s="261">
        <f t="shared" si="1"/>
        <v>-6.8432003527629792E-4</v>
      </c>
    </row>
    <row r="134" spans="2:4" ht="14" thickBot="1" x14ac:dyDescent="0.2">
      <c r="B134" s="251">
        <v>42467</v>
      </c>
      <c r="C134" s="451">
        <v>24685.42</v>
      </c>
      <c r="D134" s="261">
        <f t="shared" si="1"/>
        <v>8.7181016162578562E-3</v>
      </c>
    </row>
    <row r="135" spans="2:4" ht="14" thickBot="1" x14ac:dyDescent="0.2">
      <c r="B135" s="251">
        <v>42468</v>
      </c>
      <c r="C135" s="451">
        <v>24673.84</v>
      </c>
      <c r="D135" s="261">
        <f t="shared" si="1"/>
        <v>4.6932297526436351E-4</v>
      </c>
    </row>
    <row r="136" spans="2:4" ht="14" thickBot="1" x14ac:dyDescent="0.2">
      <c r="B136" s="251">
        <v>42471</v>
      </c>
      <c r="C136" s="451">
        <v>25022.16</v>
      </c>
      <c r="D136" s="261">
        <f t="shared" si="1"/>
        <v>-1.3920460903455112E-2</v>
      </c>
    </row>
    <row r="137" spans="2:4" ht="14" thickBot="1" x14ac:dyDescent="0.2">
      <c r="B137" s="251">
        <v>42472</v>
      </c>
      <c r="C137" s="451">
        <v>25145.59</v>
      </c>
      <c r="D137" s="261">
        <f t="shared" si="1"/>
        <v>-4.9086141943776029E-3</v>
      </c>
    </row>
    <row r="138" spans="2:4" ht="14" thickBot="1" x14ac:dyDescent="0.2">
      <c r="B138" s="251">
        <v>42473</v>
      </c>
      <c r="C138" s="451">
        <v>25626.75</v>
      </c>
      <c r="D138" s="261">
        <f t="shared" ref="D138:D201" si="2">C137/C138-1</f>
        <v>-1.8775693367282242E-2</v>
      </c>
    </row>
    <row r="139" spans="2:4" ht="14" thickBot="1" x14ac:dyDescent="0.2">
      <c r="B139" s="251">
        <v>42478</v>
      </c>
      <c r="C139" s="451">
        <v>25816.36</v>
      </c>
      <c r="D139" s="261">
        <f t="shared" si="2"/>
        <v>-7.3445675532879395E-3</v>
      </c>
    </row>
    <row r="140" spans="2:4" ht="14" thickBot="1" x14ac:dyDescent="0.2">
      <c r="B140" s="251">
        <v>42480</v>
      </c>
      <c r="C140" s="451">
        <v>25844.18</v>
      </c>
      <c r="D140" s="261">
        <f t="shared" si="2"/>
        <v>-1.0764512551761918E-3</v>
      </c>
    </row>
    <row r="141" spans="2:4" ht="14" thickBot="1" x14ac:dyDescent="0.2">
      <c r="B141" s="251">
        <v>42481</v>
      </c>
      <c r="C141" s="451">
        <v>25880.38</v>
      </c>
      <c r="D141" s="261">
        <f t="shared" si="2"/>
        <v>-1.3987429859995126E-3</v>
      </c>
    </row>
    <row r="142" spans="2:4" ht="14" thickBot="1" x14ac:dyDescent="0.2">
      <c r="B142" s="251">
        <v>42482</v>
      </c>
      <c r="C142" s="451">
        <v>25838.14</v>
      </c>
      <c r="D142" s="261">
        <f t="shared" si="2"/>
        <v>1.6347925972999278E-3</v>
      </c>
    </row>
    <row r="143" spans="2:4" ht="14" thickBot="1" x14ac:dyDescent="0.2">
      <c r="B143" s="251">
        <v>42485</v>
      </c>
      <c r="C143" s="451">
        <v>25678.93</v>
      </c>
      <c r="D143" s="261">
        <f t="shared" si="2"/>
        <v>6.2000246895022038E-3</v>
      </c>
    </row>
    <row r="144" spans="2:4" ht="14" thickBot="1" x14ac:dyDescent="0.2">
      <c r="B144" s="251">
        <v>42486</v>
      </c>
      <c r="C144" s="451">
        <v>26007.3</v>
      </c>
      <c r="D144" s="261">
        <f t="shared" si="2"/>
        <v>-1.2626070372549258E-2</v>
      </c>
    </row>
    <row r="145" spans="2:4" ht="14" thickBot="1" x14ac:dyDescent="0.2">
      <c r="B145" s="251">
        <v>42487</v>
      </c>
      <c r="C145" s="451">
        <v>26064.12</v>
      </c>
      <c r="D145" s="261">
        <f t="shared" si="2"/>
        <v>-2.1800083793352965E-3</v>
      </c>
    </row>
    <row r="146" spans="2:4" ht="14" thickBot="1" x14ac:dyDescent="0.2">
      <c r="B146" s="251">
        <v>42488</v>
      </c>
      <c r="C146" s="451">
        <v>25603.1</v>
      </c>
      <c r="D146" s="261">
        <f t="shared" si="2"/>
        <v>1.8006413285891254E-2</v>
      </c>
    </row>
    <row r="147" spans="2:4" ht="14" thickBot="1" x14ac:dyDescent="0.2">
      <c r="B147" s="251">
        <v>42489</v>
      </c>
      <c r="C147" s="451">
        <v>25606.62</v>
      </c>
      <c r="D147" s="261">
        <f t="shared" si="2"/>
        <v>-1.3746445255169437E-4</v>
      </c>
    </row>
    <row r="148" spans="2:4" ht="14" thickBot="1" x14ac:dyDescent="0.2">
      <c r="B148" s="252">
        <v>42492</v>
      </c>
      <c r="C148" s="451">
        <v>25436.97</v>
      </c>
      <c r="D148" s="261">
        <f t="shared" si="2"/>
        <v>6.6694264293269967E-3</v>
      </c>
    </row>
    <row r="149" spans="2:4" ht="14" thickBot="1" x14ac:dyDescent="0.2">
      <c r="B149" s="251">
        <v>42493</v>
      </c>
      <c r="C149" s="451">
        <v>25229.7</v>
      </c>
      <c r="D149" s="261">
        <f t="shared" si="2"/>
        <v>8.2153176613277701E-3</v>
      </c>
    </row>
    <row r="150" spans="2:4" ht="14" thickBot="1" x14ac:dyDescent="0.2">
      <c r="B150" s="251">
        <v>42494</v>
      </c>
      <c r="C150" s="451">
        <v>25101.73</v>
      </c>
      <c r="D150" s="261">
        <f t="shared" si="2"/>
        <v>5.0980549946160192E-3</v>
      </c>
    </row>
    <row r="151" spans="2:4" ht="14" thickBot="1" x14ac:dyDescent="0.2">
      <c r="B151" s="251">
        <v>42495</v>
      </c>
      <c r="C151" s="451">
        <v>25262.21</v>
      </c>
      <c r="D151" s="261">
        <f t="shared" si="2"/>
        <v>-6.3525716871167814E-3</v>
      </c>
    </row>
    <row r="152" spans="2:4" ht="14" thickBot="1" x14ac:dyDescent="0.2">
      <c r="B152" s="251">
        <v>42496</v>
      </c>
      <c r="C152" s="451">
        <v>25228.5</v>
      </c>
      <c r="D152" s="261">
        <f t="shared" si="2"/>
        <v>1.3361872485482262E-3</v>
      </c>
    </row>
    <row r="153" spans="2:4" ht="14" thickBot="1" x14ac:dyDescent="0.2">
      <c r="B153" s="251">
        <v>42499</v>
      </c>
      <c r="C153" s="451">
        <v>25688.86</v>
      </c>
      <c r="D153" s="261">
        <f t="shared" si="2"/>
        <v>-1.7920608388227399E-2</v>
      </c>
    </row>
    <row r="154" spans="2:4" ht="14" thickBot="1" x14ac:dyDescent="0.2">
      <c r="B154" s="251">
        <v>42500</v>
      </c>
      <c r="C154" s="451">
        <v>25772.53</v>
      </c>
      <c r="D154" s="261">
        <f t="shared" si="2"/>
        <v>-3.2464798760539759E-3</v>
      </c>
    </row>
    <row r="155" spans="2:4" ht="14" thickBot="1" x14ac:dyDescent="0.2">
      <c r="B155" s="251">
        <v>42501</v>
      </c>
      <c r="C155" s="451">
        <v>25597.02</v>
      </c>
      <c r="D155" s="261">
        <f t="shared" si="2"/>
        <v>6.8566575327908552E-3</v>
      </c>
    </row>
    <row r="156" spans="2:4" ht="14" thickBot="1" x14ac:dyDescent="0.2">
      <c r="B156" s="251">
        <v>42502</v>
      </c>
      <c r="C156" s="451">
        <v>25790.22</v>
      </c>
      <c r="D156" s="261">
        <f t="shared" si="2"/>
        <v>-7.4912117849325055E-3</v>
      </c>
    </row>
    <row r="157" spans="2:4" ht="14" thickBot="1" x14ac:dyDescent="0.2">
      <c r="B157" s="251">
        <v>42503</v>
      </c>
      <c r="C157" s="451">
        <v>25489.57</v>
      </c>
      <c r="D157" s="261">
        <f t="shared" si="2"/>
        <v>1.1795020473079898E-2</v>
      </c>
    </row>
    <row r="158" spans="2:4" ht="14" thickBot="1" x14ac:dyDescent="0.2">
      <c r="B158" s="251">
        <v>42506</v>
      </c>
      <c r="C158" s="451">
        <v>25653.23</v>
      </c>
      <c r="D158" s="261">
        <f t="shared" si="2"/>
        <v>-6.3797034525476803E-3</v>
      </c>
    </row>
    <row r="159" spans="2:4" ht="14" thickBot="1" x14ac:dyDescent="0.2">
      <c r="B159" s="251">
        <v>42507</v>
      </c>
      <c r="C159" s="451">
        <v>25773.61</v>
      </c>
      <c r="D159" s="261">
        <f t="shared" si="2"/>
        <v>-4.6706689516913258E-3</v>
      </c>
    </row>
    <row r="160" spans="2:4" ht="14" thickBot="1" x14ac:dyDescent="0.2">
      <c r="B160" s="251">
        <v>42508</v>
      </c>
      <c r="C160" s="451">
        <v>25704.61</v>
      </c>
      <c r="D160" s="261">
        <f t="shared" si="2"/>
        <v>2.684343392099775E-3</v>
      </c>
    </row>
    <row r="161" spans="2:4" ht="14" thickBot="1" x14ac:dyDescent="0.2">
      <c r="B161" s="251">
        <v>42509</v>
      </c>
      <c r="C161" s="451">
        <v>25399.72</v>
      </c>
      <c r="D161" s="261">
        <f t="shared" si="2"/>
        <v>1.2003675631069965E-2</v>
      </c>
    </row>
    <row r="162" spans="2:4" ht="14" thickBot="1" x14ac:dyDescent="0.2">
      <c r="B162" s="251">
        <v>42510</v>
      </c>
      <c r="C162" s="451">
        <v>25301.9</v>
      </c>
      <c r="D162" s="261">
        <f t="shared" si="2"/>
        <v>3.8661128215666807E-3</v>
      </c>
    </row>
    <row r="163" spans="2:4" ht="14" thickBot="1" x14ac:dyDescent="0.2">
      <c r="B163" s="251">
        <v>42513</v>
      </c>
      <c r="C163" s="451">
        <v>25230.36</v>
      </c>
      <c r="D163" s="261">
        <f t="shared" si="2"/>
        <v>2.8354728192543366E-3</v>
      </c>
    </row>
    <row r="164" spans="2:4" ht="14" thickBot="1" x14ac:dyDescent="0.2">
      <c r="B164" s="251">
        <v>42514</v>
      </c>
      <c r="C164" s="451">
        <v>25305.47</v>
      </c>
      <c r="D164" s="261">
        <f t="shared" si="2"/>
        <v>-2.9681329767833331E-3</v>
      </c>
    </row>
    <row r="165" spans="2:4" ht="14" thickBot="1" x14ac:dyDescent="0.2">
      <c r="B165" s="251">
        <v>42515</v>
      </c>
      <c r="C165" s="451">
        <v>25881.17</v>
      </c>
      <c r="D165" s="261">
        <f t="shared" si="2"/>
        <v>-2.2243971196047041E-2</v>
      </c>
    </row>
    <row r="166" spans="2:4" ht="14" thickBot="1" x14ac:dyDescent="0.2">
      <c r="B166" s="251">
        <v>42516</v>
      </c>
      <c r="C166" s="451">
        <v>26366.68</v>
      </c>
      <c r="D166" s="261">
        <f t="shared" si="2"/>
        <v>-1.8413770713643252E-2</v>
      </c>
    </row>
    <row r="167" spans="2:4" ht="14" thickBot="1" x14ac:dyDescent="0.2">
      <c r="B167" s="251">
        <v>42517</v>
      </c>
      <c r="C167" s="451">
        <v>26653.599999999999</v>
      </c>
      <c r="D167" s="261">
        <f t="shared" si="2"/>
        <v>-1.076477473962234E-2</v>
      </c>
    </row>
    <row r="168" spans="2:4" ht="14" thickBot="1" x14ac:dyDescent="0.2">
      <c r="B168" s="251">
        <v>42520</v>
      </c>
      <c r="C168" s="451">
        <v>26725.599999999999</v>
      </c>
      <c r="D168" s="261">
        <f t="shared" si="2"/>
        <v>-2.6940461579908481E-3</v>
      </c>
    </row>
    <row r="169" spans="2:4" ht="14" thickBot="1" x14ac:dyDescent="0.2">
      <c r="B169" s="251">
        <v>42521</v>
      </c>
      <c r="C169" s="451">
        <v>26667.96</v>
      </c>
      <c r="D169" s="261">
        <f t="shared" si="2"/>
        <v>2.1613951723340463E-3</v>
      </c>
    </row>
    <row r="170" spans="2:4" ht="14" thickBot="1" x14ac:dyDescent="0.2">
      <c r="B170" s="251">
        <v>42522</v>
      </c>
      <c r="C170" s="451">
        <v>26713.93</v>
      </c>
      <c r="D170" s="261">
        <f t="shared" si="2"/>
        <v>-1.7208250526972169E-3</v>
      </c>
    </row>
    <row r="171" spans="2:4" ht="14" thickBot="1" x14ac:dyDescent="0.2">
      <c r="B171" s="251">
        <v>42523</v>
      </c>
      <c r="C171" s="451">
        <v>26843.14</v>
      </c>
      <c r="D171" s="261">
        <f t="shared" si="2"/>
        <v>-4.8135203258634629E-3</v>
      </c>
    </row>
    <row r="172" spans="2:4" ht="14" thickBot="1" x14ac:dyDescent="0.2">
      <c r="B172" s="251">
        <v>42524</v>
      </c>
      <c r="C172" s="451">
        <v>26843.03</v>
      </c>
      <c r="D172" s="261">
        <f t="shared" si="2"/>
        <v>4.0978980391237485E-6</v>
      </c>
    </row>
    <row r="173" spans="2:4" ht="14" thickBot="1" x14ac:dyDescent="0.2">
      <c r="B173" s="251">
        <v>42527</v>
      </c>
      <c r="C173" s="451">
        <v>26777.45</v>
      </c>
      <c r="D173" s="261">
        <f t="shared" si="2"/>
        <v>2.4490756214650133E-3</v>
      </c>
    </row>
    <row r="174" spans="2:4" ht="14" thickBot="1" x14ac:dyDescent="0.2">
      <c r="B174" s="251">
        <v>42528</v>
      </c>
      <c r="C174" s="451">
        <v>27009.67</v>
      </c>
      <c r="D174" s="261">
        <f t="shared" si="2"/>
        <v>-8.5976615041944981E-3</v>
      </c>
    </row>
    <row r="175" spans="2:4" ht="14" thickBot="1" x14ac:dyDescent="0.2">
      <c r="B175" s="251">
        <v>42529</v>
      </c>
      <c r="C175" s="451">
        <v>27020.66</v>
      </c>
      <c r="D175" s="261">
        <f t="shared" si="2"/>
        <v>-4.0672581646794548E-4</v>
      </c>
    </row>
    <row r="176" spans="2:4" ht="14" thickBot="1" x14ac:dyDescent="0.2">
      <c r="B176" s="251">
        <v>42530</v>
      </c>
      <c r="C176" s="451">
        <v>26763.46</v>
      </c>
      <c r="D176" s="261">
        <f t="shared" si="2"/>
        <v>9.6101176753677908E-3</v>
      </c>
    </row>
    <row r="177" spans="2:4" ht="14" thickBot="1" x14ac:dyDescent="0.2">
      <c r="B177" s="251">
        <v>42531</v>
      </c>
      <c r="C177" s="451">
        <v>26635.75</v>
      </c>
      <c r="D177" s="261">
        <f t="shared" si="2"/>
        <v>4.7946838365728883E-3</v>
      </c>
    </row>
    <row r="178" spans="2:4" ht="14" thickBot="1" x14ac:dyDescent="0.2">
      <c r="B178" s="251">
        <v>42534</v>
      </c>
      <c r="C178" s="451">
        <v>26396.77</v>
      </c>
      <c r="D178" s="261">
        <f t="shared" si="2"/>
        <v>9.0533803946466485E-3</v>
      </c>
    </row>
    <row r="179" spans="2:4" ht="14" thickBot="1" x14ac:dyDescent="0.2">
      <c r="B179" s="251">
        <v>42535</v>
      </c>
      <c r="C179" s="451">
        <v>26395.71</v>
      </c>
      <c r="D179" s="261">
        <f t="shared" si="2"/>
        <v>4.0158040833127018E-5</v>
      </c>
    </row>
    <row r="180" spans="2:4" ht="14" thickBot="1" x14ac:dyDescent="0.2">
      <c r="B180" s="251">
        <v>42536</v>
      </c>
      <c r="C180" s="451">
        <v>26726.34</v>
      </c>
      <c r="D180" s="261">
        <f t="shared" si="2"/>
        <v>-1.2370941924708001E-2</v>
      </c>
    </row>
    <row r="181" spans="2:4" ht="14" thickBot="1" x14ac:dyDescent="0.2">
      <c r="B181" s="251">
        <v>42537</v>
      </c>
      <c r="C181" s="451">
        <v>26525.46</v>
      </c>
      <c r="D181" s="261">
        <f t="shared" si="2"/>
        <v>7.573101465535359E-3</v>
      </c>
    </row>
    <row r="182" spans="2:4" ht="14" thickBot="1" x14ac:dyDescent="0.2">
      <c r="B182" s="251">
        <v>42538</v>
      </c>
      <c r="C182" s="451">
        <v>26625.91</v>
      </c>
      <c r="D182" s="261">
        <f t="shared" si="2"/>
        <v>-3.7726410102040253E-3</v>
      </c>
    </row>
    <row r="183" spans="2:4" ht="14" thickBot="1" x14ac:dyDescent="0.2">
      <c r="B183" s="251">
        <v>42541</v>
      </c>
      <c r="C183" s="451">
        <v>26866.92</v>
      </c>
      <c r="D183" s="261">
        <f t="shared" si="2"/>
        <v>-8.9705109480356926E-3</v>
      </c>
    </row>
    <row r="184" spans="2:4" ht="14" thickBot="1" x14ac:dyDescent="0.2">
      <c r="B184" s="251">
        <v>42542</v>
      </c>
      <c r="C184" s="451">
        <v>26812.78</v>
      </c>
      <c r="D184" s="261">
        <f t="shared" si="2"/>
        <v>2.019186373065418E-3</v>
      </c>
    </row>
    <row r="185" spans="2:4" ht="14" thickBot="1" x14ac:dyDescent="0.2">
      <c r="B185" s="251">
        <v>42543</v>
      </c>
      <c r="C185" s="451">
        <v>26765.65</v>
      </c>
      <c r="D185" s="261">
        <f t="shared" si="2"/>
        <v>1.7608389857894924E-3</v>
      </c>
    </row>
    <row r="186" spans="2:4" ht="14" thickBot="1" x14ac:dyDescent="0.2">
      <c r="B186" s="251">
        <v>42544</v>
      </c>
      <c r="C186" s="451">
        <v>27002.22</v>
      </c>
      <c r="D186" s="261">
        <f t="shared" si="2"/>
        <v>-8.7611314921514083E-3</v>
      </c>
    </row>
    <row r="187" spans="2:4" ht="14" thickBot="1" x14ac:dyDescent="0.2">
      <c r="B187" s="251">
        <v>42545</v>
      </c>
      <c r="C187" s="451">
        <v>26397.71</v>
      </c>
      <c r="D187" s="261">
        <f t="shared" si="2"/>
        <v>2.2900092470142352E-2</v>
      </c>
    </row>
    <row r="188" spans="2:4" ht="14" thickBot="1" x14ac:dyDescent="0.2">
      <c r="B188" s="251">
        <v>42548</v>
      </c>
      <c r="C188" s="451">
        <v>26402.959999999999</v>
      </c>
      <c r="D188" s="261">
        <f t="shared" si="2"/>
        <v>-1.9884134203129733E-4</v>
      </c>
    </row>
    <row r="189" spans="2:4" ht="14" thickBot="1" x14ac:dyDescent="0.2">
      <c r="B189" s="251">
        <v>42549</v>
      </c>
      <c r="C189" s="451">
        <v>26524.55</v>
      </c>
      <c r="D189" s="261">
        <f t="shared" si="2"/>
        <v>-4.5840551489092496E-3</v>
      </c>
    </row>
    <row r="190" spans="2:4" ht="14" thickBot="1" x14ac:dyDescent="0.2">
      <c r="B190" s="251">
        <v>42550</v>
      </c>
      <c r="C190" s="451">
        <v>26740.39</v>
      </c>
      <c r="D190" s="261">
        <f t="shared" si="2"/>
        <v>-8.0716848183590706E-3</v>
      </c>
    </row>
    <row r="191" spans="2:4" ht="14" thickBot="1" x14ac:dyDescent="0.2">
      <c r="B191" s="251">
        <v>42551</v>
      </c>
      <c r="C191" s="451">
        <v>26999.72</v>
      </c>
      <c r="D191" s="261">
        <f t="shared" si="2"/>
        <v>-9.6049144213348203E-3</v>
      </c>
    </row>
    <row r="192" spans="2:4" ht="14" thickBot="1" x14ac:dyDescent="0.2">
      <c r="B192" s="251">
        <v>42552</v>
      </c>
      <c r="C192" s="451">
        <v>27144.91</v>
      </c>
      <c r="D192" s="261">
        <f t="shared" si="2"/>
        <v>-5.3487007324761748E-3</v>
      </c>
    </row>
    <row r="193" spans="2:4" ht="14" thickBot="1" x14ac:dyDescent="0.2">
      <c r="B193" s="251">
        <v>42555</v>
      </c>
      <c r="C193" s="451">
        <v>27278.76</v>
      </c>
      <c r="D193" s="261">
        <f t="shared" si="2"/>
        <v>-4.9067479606843545E-3</v>
      </c>
    </row>
    <row r="194" spans="2:4" ht="14" thickBot="1" x14ac:dyDescent="0.2">
      <c r="B194" s="251">
        <v>42556</v>
      </c>
      <c r="C194" s="451">
        <v>27166.87</v>
      </c>
      <c r="D194" s="261">
        <f t="shared" si="2"/>
        <v>4.1186194802713683E-3</v>
      </c>
    </row>
    <row r="195" spans="2:4" ht="14" thickBot="1" x14ac:dyDescent="0.2">
      <c r="B195" s="251">
        <v>42558</v>
      </c>
      <c r="C195" s="451">
        <v>27201.49</v>
      </c>
      <c r="D195" s="261">
        <f t="shared" si="2"/>
        <v>-1.2727243985533043E-3</v>
      </c>
    </row>
    <row r="196" spans="2:4" ht="14" thickBot="1" x14ac:dyDescent="0.2">
      <c r="B196" s="251">
        <v>42559</v>
      </c>
      <c r="C196" s="451">
        <v>27126.9</v>
      </c>
      <c r="D196" s="261">
        <f t="shared" si="2"/>
        <v>2.7496691475987767E-3</v>
      </c>
    </row>
    <row r="197" spans="2:4" ht="14" thickBot="1" x14ac:dyDescent="0.2">
      <c r="B197" s="251">
        <v>42562</v>
      </c>
      <c r="C197" s="451">
        <v>27626.69</v>
      </c>
      <c r="D197" s="261">
        <f t="shared" si="2"/>
        <v>-1.8090838967679379E-2</v>
      </c>
    </row>
    <row r="198" spans="2:4" ht="14" thickBot="1" x14ac:dyDescent="0.2">
      <c r="B198" s="251">
        <v>42563</v>
      </c>
      <c r="C198" s="451">
        <v>27808.14</v>
      </c>
      <c r="D198" s="261">
        <f t="shared" si="2"/>
        <v>-6.5250678398484085E-3</v>
      </c>
    </row>
    <row r="199" spans="2:4" ht="14" thickBot="1" x14ac:dyDescent="0.2">
      <c r="B199" s="251">
        <v>42564</v>
      </c>
      <c r="C199" s="451">
        <v>27815.18</v>
      </c>
      <c r="D199" s="261">
        <f t="shared" si="2"/>
        <v>-2.5309920697980104E-4</v>
      </c>
    </row>
    <row r="200" spans="2:4" ht="14" thickBot="1" x14ac:dyDescent="0.2">
      <c r="B200" s="251">
        <v>42565</v>
      </c>
      <c r="C200" s="451">
        <v>27942.11</v>
      </c>
      <c r="D200" s="261">
        <f t="shared" si="2"/>
        <v>-4.542606123875359E-3</v>
      </c>
    </row>
    <row r="201" spans="2:4" ht="14" thickBot="1" x14ac:dyDescent="0.2">
      <c r="B201" s="251">
        <v>42566</v>
      </c>
      <c r="C201" s="451">
        <v>27836.5</v>
      </c>
      <c r="D201" s="261">
        <f t="shared" si="2"/>
        <v>3.7939396116610791E-3</v>
      </c>
    </row>
    <row r="202" spans="2:4" ht="14" thickBot="1" x14ac:dyDescent="0.2">
      <c r="B202" s="251">
        <v>42569</v>
      </c>
      <c r="C202" s="451">
        <v>27746.66</v>
      </c>
      <c r="D202" s="261">
        <f t="shared" ref="D202:D265" si="3">C201/C202-1</f>
        <v>3.2378671883390719E-3</v>
      </c>
    </row>
    <row r="203" spans="2:4" ht="14" thickBot="1" x14ac:dyDescent="0.2">
      <c r="B203" s="251">
        <v>42570</v>
      </c>
      <c r="C203" s="451">
        <v>27787.62</v>
      </c>
      <c r="D203" s="261">
        <f t="shared" si="3"/>
        <v>-1.4740377189553788E-3</v>
      </c>
    </row>
    <row r="204" spans="2:4" ht="14" thickBot="1" x14ac:dyDescent="0.2">
      <c r="B204" s="251">
        <v>42571</v>
      </c>
      <c r="C204" s="451">
        <v>27915.89</v>
      </c>
      <c r="D204" s="261">
        <f t="shared" si="3"/>
        <v>-4.5948741021690775E-3</v>
      </c>
    </row>
    <row r="205" spans="2:4" ht="14" thickBot="1" x14ac:dyDescent="0.2">
      <c r="B205" s="251">
        <v>42572</v>
      </c>
      <c r="C205" s="451">
        <v>27710.52</v>
      </c>
      <c r="D205" s="261">
        <f t="shared" si="3"/>
        <v>7.4112647471067383E-3</v>
      </c>
    </row>
    <row r="206" spans="2:4" ht="14" thickBot="1" x14ac:dyDescent="0.2">
      <c r="B206" s="251">
        <v>42573</v>
      </c>
      <c r="C206" s="451">
        <v>27803.24</v>
      </c>
      <c r="D206" s="261">
        <f t="shared" si="3"/>
        <v>-3.3348631310595733E-3</v>
      </c>
    </row>
    <row r="207" spans="2:4" ht="14" thickBot="1" x14ac:dyDescent="0.2">
      <c r="B207" s="251">
        <v>42576</v>
      </c>
      <c r="C207" s="451">
        <v>28095.34</v>
      </c>
      <c r="D207" s="261">
        <f t="shared" si="3"/>
        <v>-1.0396741950800314E-2</v>
      </c>
    </row>
    <row r="208" spans="2:4" ht="14" thickBot="1" x14ac:dyDescent="0.2">
      <c r="B208" s="251">
        <v>42577</v>
      </c>
      <c r="C208" s="451">
        <v>27976.52</v>
      </c>
      <c r="D208" s="261">
        <f t="shared" si="3"/>
        <v>4.2471329529190083E-3</v>
      </c>
    </row>
    <row r="209" spans="2:4" ht="14" thickBot="1" x14ac:dyDescent="0.2">
      <c r="B209" s="251">
        <v>42578</v>
      </c>
      <c r="C209" s="451">
        <v>28024.33</v>
      </c>
      <c r="D209" s="261">
        <f t="shared" si="3"/>
        <v>-1.7060175925704968E-3</v>
      </c>
    </row>
    <row r="210" spans="2:4" ht="14" thickBot="1" x14ac:dyDescent="0.2">
      <c r="B210" s="251">
        <v>42579</v>
      </c>
      <c r="C210" s="451">
        <v>28208.62</v>
      </c>
      <c r="D210" s="261">
        <f t="shared" si="3"/>
        <v>-6.5331093828764342E-3</v>
      </c>
    </row>
    <row r="211" spans="2:4" ht="14" thickBot="1" x14ac:dyDescent="0.2">
      <c r="B211" s="251">
        <v>42580</v>
      </c>
      <c r="C211" s="451">
        <v>28051.86</v>
      </c>
      <c r="D211" s="261">
        <f t="shared" si="3"/>
        <v>5.588221244509306E-3</v>
      </c>
    </row>
    <row r="212" spans="2:4" ht="14" thickBot="1" x14ac:dyDescent="0.2">
      <c r="B212" s="251">
        <v>42583</v>
      </c>
      <c r="C212" s="451">
        <v>28003.119999999999</v>
      </c>
      <c r="D212" s="261">
        <f t="shared" si="3"/>
        <v>1.7405203420191029E-3</v>
      </c>
    </row>
    <row r="213" spans="2:4" ht="14" thickBot="1" x14ac:dyDescent="0.2">
      <c r="B213" s="251">
        <v>42584</v>
      </c>
      <c r="C213" s="451">
        <v>27981.71</v>
      </c>
      <c r="D213" s="261">
        <f t="shared" si="3"/>
        <v>7.6514265925853309E-4</v>
      </c>
    </row>
    <row r="214" spans="2:4" ht="14" thickBot="1" x14ac:dyDescent="0.2">
      <c r="B214" s="251">
        <v>42585</v>
      </c>
      <c r="C214" s="451">
        <v>27697.51</v>
      </c>
      <c r="D214" s="261">
        <f t="shared" si="3"/>
        <v>1.0260850163065216E-2</v>
      </c>
    </row>
    <row r="215" spans="2:4" ht="14" thickBot="1" x14ac:dyDescent="0.2">
      <c r="B215" s="251">
        <v>42586</v>
      </c>
      <c r="C215" s="451">
        <v>27714.37</v>
      </c>
      <c r="D215" s="261">
        <f t="shared" si="3"/>
        <v>-6.0834866533143739E-4</v>
      </c>
    </row>
    <row r="216" spans="2:4" ht="14" thickBot="1" x14ac:dyDescent="0.2">
      <c r="B216" s="251">
        <v>42587</v>
      </c>
      <c r="C216" s="451">
        <v>28078.35</v>
      </c>
      <c r="D216" s="261">
        <f t="shared" si="3"/>
        <v>-1.2963012427724574E-2</v>
      </c>
    </row>
    <row r="217" spans="2:4" ht="14" thickBot="1" x14ac:dyDescent="0.2">
      <c r="B217" s="251">
        <v>42590</v>
      </c>
      <c r="C217" s="451">
        <v>28182.57</v>
      </c>
      <c r="D217" s="261">
        <f t="shared" si="3"/>
        <v>-3.698030378350925E-3</v>
      </c>
    </row>
    <row r="218" spans="2:4" ht="14" thickBot="1" x14ac:dyDescent="0.2">
      <c r="B218" s="251">
        <v>42591</v>
      </c>
      <c r="C218" s="451">
        <v>28085.16</v>
      </c>
      <c r="D218" s="261">
        <f t="shared" si="3"/>
        <v>3.4683797421841689E-3</v>
      </c>
    </row>
    <row r="219" spans="2:4" ht="14" thickBot="1" x14ac:dyDescent="0.2">
      <c r="B219" s="251">
        <v>42592</v>
      </c>
      <c r="C219" s="451">
        <v>27774.880000000001</v>
      </c>
      <c r="D219" s="261">
        <f t="shared" si="3"/>
        <v>1.1171245384318462E-2</v>
      </c>
    </row>
    <row r="220" spans="2:4" ht="14" thickBot="1" x14ac:dyDescent="0.2">
      <c r="B220" s="251">
        <v>42593</v>
      </c>
      <c r="C220" s="451">
        <v>27859.599999999999</v>
      </c>
      <c r="D220" s="261">
        <f t="shared" si="3"/>
        <v>-3.0409625407399332E-3</v>
      </c>
    </row>
    <row r="221" spans="2:4" ht="14" thickBot="1" x14ac:dyDescent="0.2">
      <c r="B221" s="251">
        <v>42594</v>
      </c>
      <c r="C221" s="451">
        <v>28152.400000000001</v>
      </c>
      <c r="D221" s="261">
        <f t="shared" si="3"/>
        <v>-1.0400534235091907E-2</v>
      </c>
    </row>
    <row r="222" spans="2:4" ht="14" thickBot="1" x14ac:dyDescent="0.2">
      <c r="B222" s="251">
        <v>42598</v>
      </c>
      <c r="C222" s="451">
        <v>28064.61</v>
      </c>
      <c r="D222" s="261">
        <f t="shared" si="3"/>
        <v>3.1281389622019873E-3</v>
      </c>
    </row>
    <row r="223" spans="2:4" ht="14" thickBot="1" x14ac:dyDescent="0.2">
      <c r="B223" s="251">
        <v>42599</v>
      </c>
      <c r="C223" s="451">
        <v>28005.37</v>
      </c>
      <c r="D223" s="261">
        <f t="shared" si="3"/>
        <v>2.1153085997436261E-3</v>
      </c>
    </row>
    <row r="224" spans="2:4" ht="14" thickBot="1" x14ac:dyDescent="0.2">
      <c r="B224" s="251">
        <v>42600</v>
      </c>
      <c r="C224" s="451">
        <v>28123.439999999999</v>
      </c>
      <c r="D224" s="261">
        <f t="shared" si="3"/>
        <v>-4.1982773088925507E-3</v>
      </c>
    </row>
    <row r="225" spans="2:4" ht="14" thickBot="1" x14ac:dyDescent="0.2">
      <c r="B225" s="251">
        <v>42601</v>
      </c>
      <c r="C225" s="451">
        <v>28077</v>
      </c>
      <c r="D225" s="261">
        <f t="shared" si="3"/>
        <v>1.6540228656907185E-3</v>
      </c>
    </row>
    <row r="226" spans="2:4" ht="14" thickBot="1" x14ac:dyDescent="0.2">
      <c r="B226" s="251">
        <v>42604</v>
      </c>
      <c r="C226" s="451">
        <v>27985.54</v>
      </c>
      <c r="D226" s="261">
        <f t="shared" si="3"/>
        <v>3.2681163200709573E-3</v>
      </c>
    </row>
    <row r="227" spans="2:4" ht="14" thickBot="1" x14ac:dyDescent="0.2">
      <c r="B227" s="251">
        <v>42605</v>
      </c>
      <c r="C227" s="451">
        <v>27990.21</v>
      </c>
      <c r="D227" s="261">
        <f t="shared" si="3"/>
        <v>-1.6684405011602177E-4</v>
      </c>
    </row>
    <row r="228" spans="2:4" ht="14" thickBot="1" x14ac:dyDescent="0.2">
      <c r="B228" s="251">
        <v>42606</v>
      </c>
      <c r="C228" s="451">
        <v>28059.94</v>
      </c>
      <c r="D228" s="261">
        <f t="shared" si="3"/>
        <v>-2.4850373878204657E-3</v>
      </c>
    </row>
    <row r="229" spans="2:4" ht="14" thickBot="1" x14ac:dyDescent="0.2">
      <c r="B229" s="251">
        <v>42607</v>
      </c>
      <c r="C229" s="451">
        <v>27835.91</v>
      </c>
      <c r="D229" s="261">
        <f t="shared" si="3"/>
        <v>8.0482369715952906E-3</v>
      </c>
    </row>
    <row r="230" spans="2:4" ht="14" thickBot="1" x14ac:dyDescent="0.2">
      <c r="B230" s="251">
        <v>42608</v>
      </c>
      <c r="C230" s="451">
        <v>27782.25</v>
      </c>
      <c r="D230" s="261">
        <f t="shared" si="3"/>
        <v>1.9314490367050574E-3</v>
      </c>
    </row>
    <row r="231" spans="2:4" ht="14" thickBot="1" x14ac:dyDescent="0.2">
      <c r="B231" s="251">
        <v>42611</v>
      </c>
      <c r="C231" s="451">
        <v>27902.66</v>
      </c>
      <c r="D231" s="261">
        <f t="shared" si="3"/>
        <v>-4.3153591808092751E-3</v>
      </c>
    </row>
    <row r="232" spans="2:4" ht="14" thickBot="1" x14ac:dyDescent="0.2">
      <c r="B232" s="251">
        <v>42612</v>
      </c>
      <c r="C232" s="451">
        <v>28343.01</v>
      </c>
      <c r="D232" s="261">
        <f t="shared" si="3"/>
        <v>-1.5536458548333409E-2</v>
      </c>
    </row>
    <row r="233" spans="2:4" ht="14" thickBot="1" x14ac:dyDescent="0.2">
      <c r="B233" s="251">
        <v>42613</v>
      </c>
      <c r="C233" s="451">
        <v>28452.17</v>
      </c>
      <c r="D233" s="261">
        <f t="shared" si="3"/>
        <v>-3.8366142195832564E-3</v>
      </c>
    </row>
    <row r="234" spans="2:4" ht="14" thickBot="1" x14ac:dyDescent="0.2">
      <c r="B234" s="251">
        <v>42614</v>
      </c>
      <c r="C234" s="451">
        <v>28423.48</v>
      </c>
      <c r="D234" s="261">
        <f t="shared" si="3"/>
        <v>1.0093767547112442E-3</v>
      </c>
    </row>
    <row r="235" spans="2:4" ht="14" thickBot="1" x14ac:dyDescent="0.2">
      <c r="B235" s="251">
        <v>42615</v>
      </c>
      <c r="C235" s="451">
        <v>28532.11</v>
      </c>
      <c r="D235" s="261">
        <f t="shared" si="3"/>
        <v>-3.8072894013096992E-3</v>
      </c>
    </row>
    <row r="236" spans="2:4" ht="14" thickBot="1" x14ac:dyDescent="0.2">
      <c r="B236" s="251">
        <v>42619</v>
      </c>
      <c r="C236" s="451">
        <v>28978.02</v>
      </c>
      <c r="D236" s="261">
        <f t="shared" si="3"/>
        <v>-1.5387869840658541E-2</v>
      </c>
    </row>
    <row r="237" spans="2:4" ht="14" thickBot="1" x14ac:dyDescent="0.2">
      <c r="B237" s="251">
        <v>42620</v>
      </c>
      <c r="C237" s="451">
        <v>28926.36</v>
      </c>
      <c r="D237" s="261">
        <f t="shared" si="3"/>
        <v>1.7859143010043876E-3</v>
      </c>
    </row>
    <row r="238" spans="2:4" ht="14" thickBot="1" x14ac:dyDescent="0.2">
      <c r="B238" s="251">
        <v>42621</v>
      </c>
      <c r="C238" s="451">
        <v>29045.279999999999</v>
      </c>
      <c r="D238" s="261">
        <f t="shared" si="3"/>
        <v>-4.0942969046949829E-3</v>
      </c>
    </row>
    <row r="239" spans="2:4" ht="14" thickBot="1" x14ac:dyDescent="0.2">
      <c r="B239" s="251">
        <v>42622</v>
      </c>
      <c r="C239" s="451">
        <v>28797.25</v>
      </c>
      <c r="D239" s="261">
        <f t="shared" si="3"/>
        <v>8.6129751972843227E-3</v>
      </c>
    </row>
    <row r="240" spans="2:4" ht="14" thickBot="1" x14ac:dyDescent="0.2">
      <c r="B240" s="251">
        <v>42625</v>
      </c>
      <c r="C240" s="451">
        <v>28353.54</v>
      </c>
      <c r="D240" s="261">
        <f t="shared" si="3"/>
        <v>1.5649192305440485E-2</v>
      </c>
    </row>
    <row r="241" spans="2:4" ht="14" thickBot="1" x14ac:dyDescent="0.2">
      <c r="B241" s="251">
        <v>42627</v>
      </c>
      <c r="C241" s="451">
        <v>28372.23</v>
      </c>
      <c r="D241" s="261">
        <f t="shared" si="3"/>
        <v>-6.5874272131583034E-4</v>
      </c>
    </row>
    <row r="242" spans="2:4" ht="14" thickBot="1" x14ac:dyDescent="0.2">
      <c r="B242" s="251">
        <v>42628</v>
      </c>
      <c r="C242" s="451">
        <v>28412.89</v>
      </c>
      <c r="D242" s="261">
        <f t="shared" si="3"/>
        <v>-1.4310406297987077E-3</v>
      </c>
    </row>
    <row r="243" spans="2:4" ht="14" thickBot="1" x14ac:dyDescent="0.2">
      <c r="B243" s="251">
        <v>42629</v>
      </c>
      <c r="C243" s="451">
        <v>28599.03</v>
      </c>
      <c r="D243" s="261">
        <f t="shared" si="3"/>
        <v>-6.5086123550344155E-3</v>
      </c>
    </row>
    <row r="244" spans="2:4" ht="14" thickBot="1" x14ac:dyDescent="0.2">
      <c r="B244" s="251">
        <v>42632</v>
      </c>
      <c r="C244" s="451">
        <v>28634.5</v>
      </c>
      <c r="D244" s="261">
        <f t="shared" si="3"/>
        <v>-1.2387155354555146E-3</v>
      </c>
    </row>
    <row r="245" spans="2:4" ht="14" thickBot="1" x14ac:dyDescent="0.2">
      <c r="B245" s="251">
        <v>42633</v>
      </c>
      <c r="C245" s="451">
        <v>28523.200000000001</v>
      </c>
      <c r="D245" s="261">
        <f t="shared" si="3"/>
        <v>3.9020867223873434E-3</v>
      </c>
    </row>
    <row r="246" spans="2:4" ht="14" thickBot="1" x14ac:dyDescent="0.2">
      <c r="B246" s="251">
        <v>42634</v>
      </c>
      <c r="C246" s="451">
        <v>28507.42</v>
      </c>
      <c r="D246" s="261">
        <f t="shared" si="3"/>
        <v>5.5354009587693653E-4</v>
      </c>
    </row>
    <row r="247" spans="2:4" ht="14" thickBot="1" x14ac:dyDescent="0.2">
      <c r="B247" s="251">
        <v>42635</v>
      </c>
      <c r="C247" s="451">
        <v>28773.13</v>
      </c>
      <c r="D247" s="261">
        <f t="shared" si="3"/>
        <v>-9.2346574738306764E-3</v>
      </c>
    </row>
    <row r="248" spans="2:4" ht="14" thickBot="1" x14ac:dyDescent="0.2">
      <c r="B248" s="251">
        <v>42636</v>
      </c>
      <c r="C248" s="451">
        <v>28668.22</v>
      </c>
      <c r="D248" s="261">
        <f t="shared" si="3"/>
        <v>3.6594528715072627E-3</v>
      </c>
    </row>
    <row r="249" spans="2:4" ht="14" thickBot="1" x14ac:dyDescent="0.2">
      <c r="B249" s="251">
        <v>42639</v>
      </c>
      <c r="C249" s="451">
        <v>28294.28</v>
      </c>
      <c r="D249" s="261">
        <f t="shared" si="3"/>
        <v>1.3216098801595244E-2</v>
      </c>
    </row>
    <row r="250" spans="2:4" ht="14" thickBot="1" x14ac:dyDescent="0.2">
      <c r="B250" s="251">
        <v>42640</v>
      </c>
      <c r="C250" s="451">
        <v>28223.7</v>
      </c>
      <c r="D250" s="261">
        <f t="shared" si="3"/>
        <v>2.500735197723758E-3</v>
      </c>
    </row>
    <row r="251" spans="2:4" ht="14" thickBot="1" x14ac:dyDescent="0.2">
      <c r="B251" s="251">
        <v>42641</v>
      </c>
      <c r="C251" s="451">
        <v>28292.81</v>
      </c>
      <c r="D251" s="261">
        <f t="shared" si="3"/>
        <v>-2.4426700635249432E-3</v>
      </c>
    </row>
    <row r="252" spans="2:4" ht="14" thickBot="1" x14ac:dyDescent="0.2">
      <c r="B252" s="251">
        <v>42642</v>
      </c>
      <c r="C252" s="451">
        <v>27827.53</v>
      </c>
      <c r="D252" s="261">
        <f t="shared" si="3"/>
        <v>1.672013290435781E-2</v>
      </c>
    </row>
    <row r="253" spans="2:4" ht="14" thickBot="1" x14ac:dyDescent="0.2">
      <c r="B253" s="251">
        <v>42643</v>
      </c>
      <c r="C253" s="451">
        <v>27865.96</v>
      </c>
      <c r="D253" s="261">
        <f t="shared" si="3"/>
        <v>-1.3791019580879915E-3</v>
      </c>
    </row>
    <row r="254" spans="2:4" ht="14" thickBot="1" x14ac:dyDescent="0.2">
      <c r="B254" s="251">
        <v>42646</v>
      </c>
      <c r="C254" s="451">
        <v>28243.29</v>
      </c>
      <c r="D254" s="261">
        <f t="shared" si="3"/>
        <v>-1.3359987451886823E-2</v>
      </c>
    </row>
    <row r="255" spans="2:4" ht="14" thickBot="1" x14ac:dyDescent="0.2">
      <c r="B255" s="251">
        <v>42647</v>
      </c>
      <c r="C255" s="451">
        <v>28334.55</v>
      </c>
      <c r="D255" s="261">
        <f t="shared" si="3"/>
        <v>-3.2208028714060255E-3</v>
      </c>
    </row>
    <row r="256" spans="2:4" ht="14" thickBot="1" x14ac:dyDescent="0.2">
      <c r="B256" s="251">
        <v>42648</v>
      </c>
      <c r="C256" s="451">
        <v>28220.98</v>
      </c>
      <c r="D256" s="261">
        <f t="shared" si="3"/>
        <v>4.0243109913262742E-3</v>
      </c>
    </row>
    <row r="257" spans="2:4" ht="14" thickBot="1" x14ac:dyDescent="0.2">
      <c r="B257" s="251">
        <v>42649</v>
      </c>
      <c r="C257" s="451">
        <v>28106.21</v>
      </c>
      <c r="D257" s="261">
        <f t="shared" si="3"/>
        <v>4.0834392114768026E-3</v>
      </c>
    </row>
    <row r="258" spans="2:4" ht="14" thickBot="1" x14ac:dyDescent="0.2">
      <c r="B258" s="251">
        <v>42650</v>
      </c>
      <c r="C258" s="451">
        <v>28061.14</v>
      </c>
      <c r="D258" s="261">
        <f t="shared" si="3"/>
        <v>1.6061357450196656E-3</v>
      </c>
    </row>
    <row r="259" spans="2:4" ht="14" thickBot="1" x14ac:dyDescent="0.2">
      <c r="B259" s="251">
        <v>42653</v>
      </c>
      <c r="C259" s="451">
        <v>28082.34</v>
      </c>
      <c r="D259" s="261">
        <f t="shared" si="3"/>
        <v>-7.5492284474876215E-4</v>
      </c>
    </row>
    <row r="260" spans="2:4" ht="14" thickBot="1" x14ac:dyDescent="0.2">
      <c r="B260" s="251">
        <v>42656</v>
      </c>
      <c r="C260" s="451">
        <v>27643.11</v>
      </c>
      <c r="D260" s="261">
        <f t="shared" si="3"/>
        <v>1.5889312020246571E-2</v>
      </c>
    </row>
    <row r="261" spans="2:4" ht="14" thickBot="1" x14ac:dyDescent="0.2">
      <c r="B261" s="251">
        <v>42657</v>
      </c>
      <c r="C261" s="451">
        <v>27673.599999999999</v>
      </c>
      <c r="D261" s="261">
        <f t="shared" si="3"/>
        <v>-1.1017720860313496E-3</v>
      </c>
    </row>
    <row r="262" spans="2:4" ht="14" thickBot="1" x14ac:dyDescent="0.2">
      <c r="B262" s="251">
        <v>42660</v>
      </c>
      <c r="C262" s="451">
        <v>27529.97</v>
      </c>
      <c r="D262" s="261">
        <f t="shared" si="3"/>
        <v>5.2172232661349405E-3</v>
      </c>
    </row>
    <row r="263" spans="2:4" ht="14" thickBot="1" x14ac:dyDescent="0.2">
      <c r="B263" s="251">
        <v>42661</v>
      </c>
      <c r="C263" s="451">
        <v>28050.880000000001</v>
      </c>
      <c r="D263" s="261">
        <f t="shared" si="3"/>
        <v>-1.8570183894409009E-2</v>
      </c>
    </row>
    <row r="264" spans="2:4" ht="14" thickBot="1" x14ac:dyDescent="0.2">
      <c r="B264" s="251">
        <v>42662</v>
      </c>
      <c r="C264" s="451">
        <v>27984.37</v>
      </c>
      <c r="D264" s="261">
        <f t="shared" si="3"/>
        <v>2.3766838417302871E-3</v>
      </c>
    </row>
    <row r="265" spans="2:4" ht="14" thickBot="1" x14ac:dyDescent="0.2">
      <c r="B265" s="251">
        <v>42663</v>
      </c>
      <c r="C265" s="451">
        <v>28129.84</v>
      </c>
      <c r="D265" s="261">
        <f t="shared" si="3"/>
        <v>-5.1713767301911906E-3</v>
      </c>
    </row>
    <row r="266" spans="2:4" ht="14" thickBot="1" x14ac:dyDescent="0.2">
      <c r="B266" s="251">
        <v>42664</v>
      </c>
      <c r="C266" s="451">
        <v>28077.18</v>
      </c>
      <c r="D266" s="261">
        <f t="shared" ref="D266:D329" si="4">C265/C266-1</f>
        <v>1.8755444813189914E-3</v>
      </c>
    </row>
    <row r="267" spans="2:4" ht="14" thickBot="1" x14ac:dyDescent="0.2">
      <c r="B267" s="251">
        <v>42667</v>
      </c>
      <c r="C267" s="451">
        <v>28179.08</v>
      </c>
      <c r="D267" s="261">
        <f t="shared" si="4"/>
        <v>-3.6161578021710605E-3</v>
      </c>
    </row>
    <row r="268" spans="2:4" ht="14" thickBot="1" x14ac:dyDescent="0.2">
      <c r="B268" s="251">
        <v>42668</v>
      </c>
      <c r="C268" s="451">
        <v>28091.42</v>
      </c>
      <c r="D268" s="261">
        <f t="shared" si="4"/>
        <v>3.1205257690782862E-3</v>
      </c>
    </row>
    <row r="269" spans="2:4" ht="14" thickBot="1" x14ac:dyDescent="0.2">
      <c r="B269" s="251">
        <v>42669</v>
      </c>
      <c r="C269" s="451">
        <v>27836.51</v>
      </c>
      <c r="D269" s="261">
        <f t="shared" si="4"/>
        <v>9.1573979640406922E-3</v>
      </c>
    </row>
    <row r="270" spans="2:4" ht="14" thickBot="1" x14ac:dyDescent="0.2">
      <c r="B270" s="251">
        <v>42670</v>
      </c>
      <c r="C270" s="451">
        <v>27915.9</v>
      </c>
      <c r="D270" s="261">
        <f t="shared" si="4"/>
        <v>-2.8438989966292905E-3</v>
      </c>
    </row>
    <row r="271" spans="2:4" ht="14" thickBot="1" x14ac:dyDescent="0.2">
      <c r="B271" s="251">
        <v>42671</v>
      </c>
      <c r="C271" s="451">
        <v>27941.51</v>
      </c>
      <c r="D271" s="261">
        <f t="shared" si="4"/>
        <v>-9.1655748025054606E-4</v>
      </c>
    </row>
    <row r="272" spans="2:4" ht="14" thickBot="1" x14ac:dyDescent="0.2">
      <c r="B272" s="251">
        <v>42673</v>
      </c>
      <c r="C272" s="451">
        <v>27930.21</v>
      </c>
      <c r="D272" s="261">
        <f t="shared" si="4"/>
        <v>4.045798438321313E-4</v>
      </c>
    </row>
    <row r="273" spans="2:4" ht="14" thickBot="1" x14ac:dyDescent="0.2">
      <c r="B273" s="251">
        <v>42675</v>
      </c>
      <c r="C273" s="451">
        <v>27876.61</v>
      </c>
      <c r="D273" s="261">
        <f t="shared" si="4"/>
        <v>1.9227589007415613E-3</v>
      </c>
    </row>
    <row r="274" spans="2:4" ht="14" thickBot="1" x14ac:dyDescent="0.2">
      <c r="B274" s="251">
        <v>42676</v>
      </c>
      <c r="C274" s="451">
        <v>27527.22</v>
      </c>
      <c r="D274" s="261">
        <f t="shared" si="4"/>
        <v>1.2692527614484916E-2</v>
      </c>
    </row>
    <row r="275" spans="2:4" ht="14" thickBot="1" x14ac:dyDescent="0.2">
      <c r="B275" s="251">
        <v>42677</v>
      </c>
      <c r="C275" s="451">
        <v>27430.28</v>
      </c>
      <c r="D275" s="261">
        <f t="shared" si="4"/>
        <v>3.5340506914258718E-3</v>
      </c>
    </row>
    <row r="276" spans="2:4" ht="14" thickBot="1" x14ac:dyDescent="0.2">
      <c r="B276" s="251">
        <v>42678</v>
      </c>
      <c r="C276" s="451">
        <v>27274.15</v>
      </c>
      <c r="D276" s="261">
        <f t="shared" si="4"/>
        <v>5.7244680402503967E-3</v>
      </c>
    </row>
    <row r="277" spans="2:4" ht="14" thickBot="1" x14ac:dyDescent="0.2">
      <c r="B277" s="251">
        <v>42681</v>
      </c>
      <c r="C277" s="451">
        <v>27458.99</v>
      </c>
      <c r="D277" s="261">
        <f t="shared" si="4"/>
        <v>-6.7314930374351434E-3</v>
      </c>
    </row>
    <row r="278" spans="2:4" ht="14" thickBot="1" x14ac:dyDescent="0.2">
      <c r="B278" s="251">
        <v>42682</v>
      </c>
      <c r="C278" s="451">
        <v>27591.14</v>
      </c>
      <c r="D278" s="261">
        <f t="shared" si="4"/>
        <v>-4.7895810031770569E-3</v>
      </c>
    </row>
    <row r="279" spans="2:4" ht="14" thickBot="1" x14ac:dyDescent="0.2">
      <c r="B279" s="251">
        <v>42683</v>
      </c>
      <c r="C279" s="451">
        <v>27252.53</v>
      </c>
      <c r="D279" s="261">
        <f t="shared" si="4"/>
        <v>1.242490146786368E-2</v>
      </c>
    </row>
    <row r="280" spans="2:4" ht="14" thickBot="1" x14ac:dyDescent="0.2">
      <c r="B280" s="251">
        <v>42684</v>
      </c>
      <c r="C280" s="451">
        <v>27517.68</v>
      </c>
      <c r="D280" s="261">
        <f t="shared" si="4"/>
        <v>-9.6356233519686585E-3</v>
      </c>
    </row>
    <row r="281" spans="2:4" ht="14" thickBot="1" x14ac:dyDescent="0.2">
      <c r="B281" s="251">
        <v>42685</v>
      </c>
      <c r="C281" s="451">
        <v>26818.82</v>
      </c>
      <c r="D281" s="261">
        <f t="shared" si="4"/>
        <v>2.6058566335133371E-2</v>
      </c>
    </row>
    <row r="282" spans="2:4" ht="14" thickBot="1" x14ac:dyDescent="0.2">
      <c r="B282" s="251">
        <v>42689</v>
      </c>
      <c r="C282" s="451">
        <v>26304.63</v>
      </c>
      <c r="D282" s="261">
        <f t="shared" si="4"/>
        <v>1.9547509316800937E-2</v>
      </c>
    </row>
    <row r="283" spans="2:4" ht="14" thickBot="1" x14ac:dyDescent="0.2">
      <c r="B283" s="251">
        <v>42690</v>
      </c>
      <c r="C283" s="451">
        <v>26298.69</v>
      </c>
      <c r="D283" s="261">
        <f t="shared" si="4"/>
        <v>2.258667637058398E-4</v>
      </c>
    </row>
    <row r="284" spans="2:4" ht="14" thickBot="1" x14ac:dyDescent="0.2">
      <c r="B284" s="251">
        <v>42691</v>
      </c>
      <c r="C284" s="451">
        <v>26227.62</v>
      </c>
      <c r="D284" s="261">
        <f t="shared" si="4"/>
        <v>2.7097388173231707E-3</v>
      </c>
    </row>
    <row r="285" spans="2:4" ht="14" thickBot="1" x14ac:dyDescent="0.2">
      <c r="B285" s="251">
        <v>42692</v>
      </c>
      <c r="C285" s="451">
        <v>26150.240000000002</v>
      </c>
      <c r="D285" s="261">
        <f t="shared" si="4"/>
        <v>2.9590550602975885E-3</v>
      </c>
    </row>
    <row r="286" spans="2:4" ht="14" thickBot="1" x14ac:dyDescent="0.2">
      <c r="B286" s="251">
        <v>42695</v>
      </c>
      <c r="C286" s="451">
        <v>25765.14</v>
      </c>
      <c r="D286" s="261">
        <f t="shared" si="4"/>
        <v>1.494655181380744E-2</v>
      </c>
    </row>
    <row r="287" spans="2:4" ht="14" thickBot="1" x14ac:dyDescent="0.2">
      <c r="B287" s="251">
        <v>42696</v>
      </c>
      <c r="C287" s="451">
        <v>25960.78</v>
      </c>
      <c r="D287" s="261">
        <f t="shared" si="4"/>
        <v>-7.5359831253144494E-3</v>
      </c>
    </row>
    <row r="288" spans="2:4" ht="14" thickBot="1" x14ac:dyDescent="0.2">
      <c r="B288" s="251">
        <v>42697</v>
      </c>
      <c r="C288" s="451">
        <v>26051.81</v>
      </c>
      <c r="D288" s="261">
        <f t="shared" si="4"/>
        <v>-3.494190998629354E-3</v>
      </c>
    </row>
    <row r="289" spans="2:4" ht="14" thickBot="1" x14ac:dyDescent="0.2">
      <c r="B289" s="251">
        <v>42698</v>
      </c>
      <c r="C289" s="451">
        <v>25860.17</v>
      </c>
      <c r="D289" s="261">
        <f t="shared" si="4"/>
        <v>7.4106241374285453E-3</v>
      </c>
    </row>
    <row r="290" spans="2:4" ht="14" thickBot="1" x14ac:dyDescent="0.2">
      <c r="B290" s="251">
        <v>42699</v>
      </c>
      <c r="C290" s="451">
        <v>26316.34</v>
      </c>
      <c r="D290" s="261">
        <f t="shared" si="4"/>
        <v>-1.7334097370683033E-2</v>
      </c>
    </row>
    <row r="291" spans="2:4" ht="14" thickBot="1" x14ac:dyDescent="0.2">
      <c r="B291" s="251">
        <v>42702</v>
      </c>
      <c r="C291" s="451">
        <v>26350.17</v>
      </c>
      <c r="D291" s="261">
        <f t="shared" si="4"/>
        <v>-1.2838626847567758E-3</v>
      </c>
    </row>
    <row r="292" spans="2:4" ht="14" thickBot="1" x14ac:dyDescent="0.2">
      <c r="B292" s="251">
        <v>42703</v>
      </c>
      <c r="C292" s="451">
        <v>26394.01</v>
      </c>
      <c r="D292" s="261">
        <f t="shared" si="4"/>
        <v>-1.6609829275657795E-3</v>
      </c>
    </row>
    <row r="293" spans="2:4" ht="14" thickBot="1" x14ac:dyDescent="0.2">
      <c r="B293" s="251">
        <v>42704</v>
      </c>
      <c r="C293" s="451">
        <v>26652.81</v>
      </c>
      <c r="D293" s="261">
        <f t="shared" si="4"/>
        <v>-9.7100455824359333E-3</v>
      </c>
    </row>
    <row r="294" spans="2:4" ht="14" thickBot="1" x14ac:dyDescent="0.2">
      <c r="B294" s="251">
        <v>42705</v>
      </c>
      <c r="C294" s="451">
        <v>26559.919999999998</v>
      </c>
      <c r="D294" s="261">
        <f t="shared" si="4"/>
        <v>3.4973749920934605E-3</v>
      </c>
    </row>
    <row r="295" spans="2:4" ht="14" thickBot="1" x14ac:dyDescent="0.2">
      <c r="B295" s="251">
        <v>42706</v>
      </c>
      <c r="C295" s="451">
        <v>26230.66</v>
      </c>
      <c r="D295" s="261">
        <f t="shared" si="4"/>
        <v>1.2552486288945675E-2</v>
      </c>
    </row>
    <row r="296" spans="2:4" ht="14" thickBot="1" x14ac:dyDescent="0.2">
      <c r="B296" s="251">
        <v>42709</v>
      </c>
      <c r="C296" s="451">
        <v>26349.1</v>
      </c>
      <c r="D296" s="261">
        <f t="shared" si="4"/>
        <v>-4.4950301907844548E-3</v>
      </c>
    </row>
    <row r="297" spans="2:4" ht="14" thickBot="1" x14ac:dyDescent="0.2">
      <c r="B297" s="251">
        <v>42710</v>
      </c>
      <c r="C297" s="451">
        <v>26392.76</v>
      </c>
      <c r="D297" s="261">
        <f t="shared" si="4"/>
        <v>-1.6542415419986689E-3</v>
      </c>
    </row>
    <row r="298" spans="2:4" ht="14" thickBot="1" x14ac:dyDescent="0.2">
      <c r="B298" s="251">
        <v>42711</v>
      </c>
      <c r="C298" s="451">
        <v>26236.87</v>
      </c>
      <c r="D298" s="261">
        <f t="shared" si="4"/>
        <v>5.9416386177162384E-3</v>
      </c>
    </row>
    <row r="299" spans="2:4" ht="14" thickBot="1" x14ac:dyDescent="0.2">
      <c r="B299" s="251">
        <v>42712</v>
      </c>
      <c r="C299" s="451">
        <v>26694.28</v>
      </c>
      <c r="D299" s="261">
        <f t="shared" si="4"/>
        <v>-1.7135131571258011E-2</v>
      </c>
    </row>
    <row r="300" spans="2:4" ht="14" thickBot="1" x14ac:dyDescent="0.2">
      <c r="B300" s="251">
        <v>42713</v>
      </c>
      <c r="C300" s="451">
        <v>26747.18</v>
      </c>
      <c r="D300" s="261">
        <f t="shared" si="4"/>
        <v>-1.9777785919862234E-3</v>
      </c>
    </row>
    <row r="301" spans="2:4" ht="14" thickBot="1" x14ac:dyDescent="0.2">
      <c r="B301" s="251">
        <v>42716</v>
      </c>
      <c r="C301" s="451">
        <v>26515.24</v>
      </c>
      <c r="D301" s="261">
        <f t="shared" si="4"/>
        <v>8.7474222371737298E-3</v>
      </c>
    </row>
    <row r="302" spans="2:4" ht="14" thickBot="1" x14ac:dyDescent="0.2">
      <c r="B302" s="251">
        <v>42717</v>
      </c>
      <c r="C302" s="451">
        <v>26697.82</v>
      </c>
      <c r="D302" s="261">
        <f t="shared" si="4"/>
        <v>-6.8387606179081128E-3</v>
      </c>
    </row>
    <row r="303" spans="2:4" ht="14" thickBot="1" x14ac:dyDescent="0.2">
      <c r="B303" s="251">
        <v>42718</v>
      </c>
      <c r="C303" s="451">
        <v>26602.84</v>
      </c>
      <c r="D303" s="261">
        <f t="shared" si="4"/>
        <v>3.5702955022847149E-3</v>
      </c>
    </row>
    <row r="304" spans="2:4" ht="14" thickBot="1" x14ac:dyDescent="0.2">
      <c r="B304" s="251">
        <v>42719</v>
      </c>
      <c r="C304" s="451">
        <v>26519.07</v>
      </c>
      <c r="D304" s="261">
        <f t="shared" si="4"/>
        <v>3.1588588890938407E-3</v>
      </c>
    </row>
    <row r="305" spans="2:4" ht="14" thickBot="1" x14ac:dyDescent="0.2">
      <c r="B305" s="251">
        <v>42720</v>
      </c>
      <c r="C305" s="451">
        <v>26489.56</v>
      </c>
      <c r="D305" s="261">
        <f t="shared" si="4"/>
        <v>1.1140237889946114E-3</v>
      </c>
    </row>
    <row r="306" spans="2:4" ht="14" thickBot="1" x14ac:dyDescent="0.2">
      <c r="B306" s="251">
        <v>42723</v>
      </c>
      <c r="C306" s="451">
        <v>26374.7</v>
      </c>
      <c r="D306" s="261">
        <f t="shared" si="4"/>
        <v>4.3549310513484318E-3</v>
      </c>
    </row>
    <row r="307" spans="2:4" ht="14" thickBot="1" x14ac:dyDescent="0.2">
      <c r="B307" s="251">
        <v>42724</v>
      </c>
      <c r="C307" s="451">
        <v>26307.98</v>
      </c>
      <c r="D307" s="261">
        <f t="shared" si="4"/>
        <v>2.5361126167802173E-3</v>
      </c>
    </row>
    <row r="308" spans="2:4" ht="14" thickBot="1" x14ac:dyDescent="0.2">
      <c r="B308" s="251">
        <v>42725</v>
      </c>
      <c r="C308" s="451">
        <v>26242.38</v>
      </c>
      <c r="D308" s="261">
        <f t="shared" si="4"/>
        <v>2.4997732675160478E-3</v>
      </c>
    </row>
    <row r="309" spans="2:4" ht="14" thickBot="1" x14ac:dyDescent="0.2">
      <c r="B309" s="251">
        <v>42726</v>
      </c>
      <c r="C309" s="451">
        <v>25979.599999999999</v>
      </c>
      <c r="D309" s="261">
        <f t="shared" si="4"/>
        <v>1.0114859351183281E-2</v>
      </c>
    </row>
    <row r="310" spans="2:4" ht="14" thickBot="1" x14ac:dyDescent="0.2">
      <c r="B310" s="251">
        <v>42727</v>
      </c>
      <c r="C310" s="451">
        <v>26040.7</v>
      </c>
      <c r="D310" s="261">
        <f t="shared" si="4"/>
        <v>-2.3463270956618487E-3</v>
      </c>
    </row>
    <row r="311" spans="2:4" ht="14" thickBot="1" x14ac:dyDescent="0.2">
      <c r="B311" s="251">
        <v>42730</v>
      </c>
      <c r="C311" s="451">
        <v>25807.1</v>
      </c>
      <c r="D311" s="261">
        <f t="shared" si="4"/>
        <v>9.0517725742140787E-3</v>
      </c>
    </row>
    <row r="312" spans="2:4" ht="14" thickBot="1" x14ac:dyDescent="0.2">
      <c r="B312" s="251">
        <v>42731</v>
      </c>
      <c r="C312" s="451">
        <v>26213.439999999999</v>
      </c>
      <c r="D312" s="261">
        <f t="shared" si="4"/>
        <v>-1.5501208540351863E-2</v>
      </c>
    </row>
    <row r="313" spans="2:4" ht="14" thickBot="1" x14ac:dyDescent="0.2">
      <c r="B313" s="251">
        <v>42732</v>
      </c>
      <c r="C313" s="451">
        <v>26210.68</v>
      </c>
      <c r="D313" s="261">
        <f t="shared" si="4"/>
        <v>1.0530058739410819E-4</v>
      </c>
    </row>
    <row r="314" spans="2:4" ht="14" thickBot="1" x14ac:dyDescent="0.2">
      <c r="B314" s="251">
        <v>42733</v>
      </c>
      <c r="C314" s="451">
        <v>26366.15</v>
      </c>
      <c r="D314" s="261">
        <f t="shared" si="4"/>
        <v>-5.8965757230388105E-3</v>
      </c>
    </row>
    <row r="315" spans="2:4" ht="14" thickBot="1" x14ac:dyDescent="0.2">
      <c r="B315" s="251">
        <v>42734</v>
      </c>
      <c r="C315" s="451">
        <v>26626.46</v>
      </c>
      <c r="D315" s="261">
        <f t="shared" si="4"/>
        <v>-9.7763653148033036E-3</v>
      </c>
    </row>
    <row r="316" spans="2:4" ht="14" thickBot="1" x14ac:dyDescent="0.2">
      <c r="B316" s="251">
        <v>42737</v>
      </c>
      <c r="C316" s="451">
        <v>26595.45</v>
      </c>
      <c r="D316" s="261">
        <f t="shared" si="4"/>
        <v>1.1659889191570905E-3</v>
      </c>
    </row>
    <row r="317" spans="2:4" ht="14" thickBot="1" x14ac:dyDescent="0.2">
      <c r="B317" s="251">
        <v>42738</v>
      </c>
      <c r="C317" s="451">
        <v>26643.24</v>
      </c>
      <c r="D317" s="261">
        <f t="shared" si="4"/>
        <v>-1.7937007661230631E-3</v>
      </c>
    </row>
    <row r="318" spans="2:4" ht="14" thickBot="1" x14ac:dyDescent="0.2">
      <c r="B318" s="251">
        <v>42739</v>
      </c>
      <c r="C318" s="451">
        <v>26633.13</v>
      </c>
      <c r="D318" s="261">
        <f t="shared" si="4"/>
        <v>3.7960239746515079E-4</v>
      </c>
    </row>
    <row r="319" spans="2:4" ht="14" thickBot="1" x14ac:dyDescent="0.2">
      <c r="B319" s="251">
        <v>42740</v>
      </c>
      <c r="C319" s="451">
        <v>26878.240000000002</v>
      </c>
      <c r="D319" s="261">
        <f t="shared" si="4"/>
        <v>-9.1192726904738564E-3</v>
      </c>
    </row>
    <row r="320" spans="2:4" ht="14" thickBot="1" x14ac:dyDescent="0.2">
      <c r="B320" s="251">
        <v>42741</v>
      </c>
      <c r="C320" s="451">
        <v>26759.23</v>
      </c>
      <c r="D320" s="261">
        <f t="shared" si="4"/>
        <v>4.447437388893638E-3</v>
      </c>
    </row>
    <row r="321" spans="2:4" ht="14" thickBot="1" x14ac:dyDescent="0.2">
      <c r="B321" s="251">
        <v>42744</v>
      </c>
      <c r="C321" s="451">
        <v>26726.55</v>
      </c>
      <c r="D321" s="261">
        <f t="shared" si="4"/>
        <v>1.222754152705896E-3</v>
      </c>
    </row>
    <row r="322" spans="2:4" ht="14" thickBot="1" x14ac:dyDescent="0.2">
      <c r="B322" s="251">
        <v>42745</v>
      </c>
      <c r="C322" s="451">
        <v>26899.56</v>
      </c>
      <c r="D322" s="261">
        <f t="shared" si="4"/>
        <v>-6.431703715599868E-3</v>
      </c>
    </row>
    <row r="323" spans="2:4" ht="14" thickBot="1" x14ac:dyDescent="0.2">
      <c r="B323" s="251">
        <v>42746</v>
      </c>
      <c r="C323" s="451">
        <v>27140.41</v>
      </c>
      <c r="D323" s="261">
        <f t="shared" si="4"/>
        <v>-8.8742211337263788E-3</v>
      </c>
    </row>
    <row r="324" spans="2:4" ht="14" thickBot="1" x14ac:dyDescent="0.2">
      <c r="B324" s="251">
        <v>42747</v>
      </c>
      <c r="C324" s="451">
        <v>27247.16</v>
      </c>
      <c r="D324" s="261">
        <f t="shared" si="4"/>
        <v>-3.9178395106131969E-3</v>
      </c>
    </row>
    <row r="325" spans="2:4" ht="14" thickBot="1" x14ac:dyDescent="0.2">
      <c r="B325" s="251">
        <v>42748</v>
      </c>
      <c r="C325" s="451">
        <v>27238.06</v>
      </c>
      <c r="D325" s="261">
        <f t="shared" si="4"/>
        <v>3.3409134130701901E-4</v>
      </c>
    </row>
    <row r="326" spans="2:4" ht="14" thickBot="1" x14ac:dyDescent="0.2">
      <c r="B326" s="251">
        <v>42751</v>
      </c>
      <c r="C326" s="451">
        <v>27288.17</v>
      </c>
      <c r="D326" s="261">
        <f t="shared" si="4"/>
        <v>-1.8363268771778296E-3</v>
      </c>
    </row>
    <row r="327" spans="2:4" ht="14" thickBot="1" x14ac:dyDescent="0.2">
      <c r="B327" s="251">
        <v>42752</v>
      </c>
      <c r="C327" s="451">
        <v>27235.66</v>
      </c>
      <c r="D327" s="261">
        <f t="shared" si="4"/>
        <v>1.9279870581436764E-3</v>
      </c>
    </row>
    <row r="328" spans="2:4" ht="14" thickBot="1" x14ac:dyDescent="0.2">
      <c r="B328" s="251">
        <v>42753</v>
      </c>
      <c r="C328" s="451">
        <v>27257.64</v>
      </c>
      <c r="D328" s="261">
        <f t="shared" si="4"/>
        <v>-8.0637942242978156E-4</v>
      </c>
    </row>
    <row r="329" spans="2:4" ht="14" thickBot="1" x14ac:dyDescent="0.2">
      <c r="B329" s="251">
        <v>42754</v>
      </c>
      <c r="C329" s="451">
        <v>27308.6</v>
      </c>
      <c r="D329" s="261">
        <f t="shared" si="4"/>
        <v>-1.8660788176617649E-3</v>
      </c>
    </row>
    <row r="330" spans="2:4" ht="14" thickBot="1" x14ac:dyDescent="0.2">
      <c r="B330" s="251">
        <v>42755</v>
      </c>
      <c r="C330" s="451">
        <v>27034.5</v>
      </c>
      <c r="D330" s="261">
        <f t="shared" ref="D330:D393" si="5">C329/C330-1</f>
        <v>1.0138896595091484E-2</v>
      </c>
    </row>
    <row r="331" spans="2:4" ht="14" thickBot="1" x14ac:dyDescent="0.2">
      <c r="B331" s="251">
        <v>42758</v>
      </c>
      <c r="C331" s="451">
        <v>27117.34</v>
      </c>
      <c r="D331" s="261">
        <f t="shared" si="5"/>
        <v>-3.0548719011525005E-3</v>
      </c>
    </row>
    <row r="332" spans="2:4" ht="14" thickBot="1" x14ac:dyDescent="0.2">
      <c r="B332" s="251">
        <v>42759</v>
      </c>
      <c r="C332" s="451">
        <v>27375.58</v>
      </c>
      <c r="D332" s="261">
        <f t="shared" si="5"/>
        <v>-9.4332247937760627E-3</v>
      </c>
    </row>
    <row r="333" spans="2:4" ht="14" thickBot="1" x14ac:dyDescent="0.2">
      <c r="B333" s="251">
        <v>42760</v>
      </c>
      <c r="C333" s="451">
        <v>27708.14</v>
      </c>
      <c r="D333" s="261">
        <f t="shared" si="5"/>
        <v>-1.2002249158550415E-2</v>
      </c>
    </row>
    <row r="334" spans="2:4" ht="14" thickBot="1" x14ac:dyDescent="0.2">
      <c r="B334" s="251">
        <v>42762</v>
      </c>
      <c r="C334" s="451">
        <v>27882.46</v>
      </c>
      <c r="D334" s="261">
        <f t="shared" si="5"/>
        <v>-6.2519591169502009E-3</v>
      </c>
    </row>
    <row r="335" spans="2:4" ht="14" thickBot="1" x14ac:dyDescent="0.2">
      <c r="B335" s="251">
        <v>42765</v>
      </c>
      <c r="C335" s="451">
        <v>27849.56</v>
      </c>
      <c r="D335" s="261">
        <f t="shared" si="5"/>
        <v>1.1813472097943478E-3</v>
      </c>
    </row>
    <row r="336" spans="2:4" ht="14" thickBot="1" x14ac:dyDescent="0.2">
      <c r="B336" s="251">
        <v>42766</v>
      </c>
      <c r="C336" s="451">
        <v>27655.96</v>
      </c>
      <c r="D336" s="261">
        <f t="shared" si="5"/>
        <v>7.0002993929700885E-3</v>
      </c>
    </row>
    <row r="337" spans="2:4" ht="14" thickBot="1" x14ac:dyDescent="0.2">
      <c r="B337" s="251">
        <v>42767</v>
      </c>
      <c r="C337" s="451">
        <v>28141.64</v>
      </c>
      <c r="D337" s="261">
        <f t="shared" si="5"/>
        <v>-1.7258411379009853E-2</v>
      </c>
    </row>
    <row r="338" spans="2:4" ht="14" thickBot="1" x14ac:dyDescent="0.2">
      <c r="B338" s="251">
        <v>42768</v>
      </c>
      <c r="C338" s="451">
        <v>28226.61</v>
      </c>
      <c r="D338" s="261">
        <f t="shared" si="5"/>
        <v>-3.0102800159140797E-3</v>
      </c>
    </row>
    <row r="339" spans="2:4" ht="14" thickBot="1" x14ac:dyDescent="0.2">
      <c r="B339" s="251">
        <v>42769</v>
      </c>
      <c r="C339" s="451">
        <v>28240.52</v>
      </c>
      <c r="D339" s="261">
        <f t="shared" si="5"/>
        <v>-4.9255466967323969E-4</v>
      </c>
    </row>
    <row r="340" spans="2:4" ht="14" thickBot="1" x14ac:dyDescent="0.2">
      <c r="B340" s="251">
        <v>42772</v>
      </c>
      <c r="C340" s="451">
        <v>28439.279999999999</v>
      </c>
      <c r="D340" s="261">
        <f t="shared" si="5"/>
        <v>-6.9889251767273342E-3</v>
      </c>
    </row>
    <row r="341" spans="2:4" ht="14" thickBot="1" x14ac:dyDescent="0.2">
      <c r="B341" s="251">
        <v>42773</v>
      </c>
      <c r="C341" s="451">
        <v>28335.16</v>
      </c>
      <c r="D341" s="261">
        <f t="shared" si="5"/>
        <v>3.6745866266503224E-3</v>
      </c>
    </row>
    <row r="342" spans="2:4" ht="14" thickBot="1" x14ac:dyDescent="0.2">
      <c r="B342" s="251">
        <v>42774</v>
      </c>
      <c r="C342" s="451">
        <v>28289.919999999998</v>
      </c>
      <c r="D342" s="261">
        <f t="shared" si="5"/>
        <v>1.5991561658712516E-3</v>
      </c>
    </row>
    <row r="343" spans="2:4" ht="14" thickBot="1" x14ac:dyDescent="0.2">
      <c r="B343" s="251">
        <v>42775</v>
      </c>
      <c r="C343" s="451">
        <v>28329.7</v>
      </c>
      <c r="D343" s="261">
        <f t="shared" si="5"/>
        <v>-1.4041800654437386E-3</v>
      </c>
    </row>
    <row r="344" spans="2:4" ht="14" thickBot="1" x14ac:dyDescent="0.2">
      <c r="B344" s="251">
        <v>42776</v>
      </c>
      <c r="C344" s="451">
        <v>28334.25</v>
      </c>
      <c r="D344" s="261">
        <f t="shared" si="5"/>
        <v>-1.605830399604713E-4</v>
      </c>
    </row>
    <row r="345" spans="2:4" ht="14" thickBot="1" x14ac:dyDescent="0.2">
      <c r="B345" s="251">
        <v>42779</v>
      </c>
      <c r="C345" s="451">
        <v>28351.62</v>
      </c>
      <c r="D345" s="261">
        <f t="shared" si="5"/>
        <v>-6.1266340336108005E-4</v>
      </c>
    </row>
    <row r="346" spans="2:4" ht="14" thickBot="1" x14ac:dyDescent="0.2">
      <c r="B346" s="251">
        <v>42780</v>
      </c>
      <c r="C346" s="451">
        <v>28339.31</v>
      </c>
      <c r="D346" s="261">
        <f t="shared" si="5"/>
        <v>4.3437895982645358E-4</v>
      </c>
    </row>
    <row r="347" spans="2:4" ht="14" thickBot="1" x14ac:dyDescent="0.2">
      <c r="B347" s="251">
        <v>42781</v>
      </c>
      <c r="C347" s="451">
        <v>28155.56</v>
      </c>
      <c r="D347" s="261">
        <f t="shared" si="5"/>
        <v>6.5262420637344221E-3</v>
      </c>
    </row>
    <row r="348" spans="2:4" ht="14" thickBot="1" x14ac:dyDescent="0.2">
      <c r="B348" s="251">
        <v>42782</v>
      </c>
      <c r="C348" s="451">
        <v>28301.27</v>
      </c>
      <c r="D348" s="261">
        <f t="shared" si="5"/>
        <v>-5.148532203678502E-3</v>
      </c>
    </row>
    <row r="349" spans="2:4" ht="14" thickBot="1" x14ac:dyDescent="0.2">
      <c r="B349" s="251">
        <v>42783</v>
      </c>
      <c r="C349" s="451">
        <v>28468.75</v>
      </c>
      <c r="D349" s="261">
        <f t="shared" si="5"/>
        <v>-5.8829418221734153E-3</v>
      </c>
    </row>
    <row r="350" spans="2:4" ht="14" thickBot="1" x14ac:dyDescent="0.2">
      <c r="B350" s="251">
        <v>42786</v>
      </c>
      <c r="C350" s="451">
        <v>28661.58</v>
      </c>
      <c r="D350" s="261">
        <f t="shared" si="5"/>
        <v>-6.7278217041768507E-3</v>
      </c>
    </row>
    <row r="351" spans="2:4" ht="14" thickBot="1" x14ac:dyDescent="0.2">
      <c r="B351" s="251">
        <v>42787</v>
      </c>
      <c r="C351" s="451">
        <v>28761.59</v>
      </c>
      <c r="D351" s="261">
        <f t="shared" si="5"/>
        <v>-3.4772069277114737E-3</v>
      </c>
    </row>
    <row r="352" spans="2:4" ht="14" thickBot="1" x14ac:dyDescent="0.2">
      <c r="B352" s="251">
        <v>42788</v>
      </c>
      <c r="C352" s="451">
        <v>28864.71</v>
      </c>
      <c r="D352" s="261">
        <f t="shared" si="5"/>
        <v>-3.5725285305134857E-3</v>
      </c>
    </row>
    <row r="353" spans="2:4" ht="14" thickBot="1" x14ac:dyDescent="0.2">
      <c r="B353" s="251">
        <v>42789</v>
      </c>
      <c r="C353" s="451">
        <v>28892.97</v>
      </c>
      <c r="D353" s="261">
        <f t="shared" si="5"/>
        <v>-9.7809259484238353E-4</v>
      </c>
    </row>
    <row r="354" spans="2:4" ht="14" thickBot="1" x14ac:dyDescent="0.2">
      <c r="B354" s="251">
        <v>42793</v>
      </c>
      <c r="C354" s="451">
        <v>28812.880000000001</v>
      </c>
      <c r="D354" s="261">
        <f t="shared" si="5"/>
        <v>2.7796596522111638E-3</v>
      </c>
    </row>
    <row r="355" spans="2:4" ht="14" thickBot="1" x14ac:dyDescent="0.2">
      <c r="B355" s="251">
        <v>42794</v>
      </c>
      <c r="C355" s="451">
        <v>28743.32</v>
      </c>
      <c r="D355" s="261">
        <f t="shared" si="5"/>
        <v>2.4200405520309332E-3</v>
      </c>
    </row>
    <row r="356" spans="2:4" ht="14" thickBot="1" x14ac:dyDescent="0.2">
      <c r="B356" s="251">
        <v>42795</v>
      </c>
      <c r="C356" s="451">
        <v>28984.49</v>
      </c>
      <c r="D356" s="261">
        <f t="shared" si="5"/>
        <v>-8.320657013457966E-3</v>
      </c>
    </row>
    <row r="357" spans="2:4" ht="14" thickBot="1" x14ac:dyDescent="0.2">
      <c r="B357" s="251">
        <v>42796</v>
      </c>
      <c r="C357" s="451">
        <v>28839.79</v>
      </c>
      <c r="D357" s="261">
        <f t="shared" si="5"/>
        <v>5.0173735661735996E-3</v>
      </c>
    </row>
    <row r="358" spans="2:4" ht="14" thickBot="1" x14ac:dyDescent="0.2">
      <c r="B358" s="251">
        <v>42797</v>
      </c>
      <c r="C358" s="451">
        <v>28832.45</v>
      </c>
      <c r="D358" s="261">
        <f t="shared" si="5"/>
        <v>2.5457427308461789E-4</v>
      </c>
    </row>
    <row r="359" spans="2:4" ht="14" thickBot="1" x14ac:dyDescent="0.2">
      <c r="B359" s="251">
        <v>42800</v>
      </c>
      <c r="C359" s="451">
        <v>29048.19</v>
      </c>
      <c r="D359" s="261">
        <f t="shared" si="5"/>
        <v>-7.4269687715481369E-3</v>
      </c>
    </row>
    <row r="360" spans="2:4" ht="14" thickBot="1" x14ac:dyDescent="0.2">
      <c r="B360" s="251">
        <v>42801</v>
      </c>
      <c r="C360" s="451">
        <v>28999.56</v>
      </c>
      <c r="D360" s="261">
        <f t="shared" si="5"/>
        <v>1.6769219946783931E-3</v>
      </c>
    </row>
    <row r="361" spans="2:4" ht="14" thickBot="1" x14ac:dyDescent="0.2">
      <c r="B361" s="251">
        <v>42802</v>
      </c>
      <c r="C361" s="451">
        <v>28901.94</v>
      </c>
      <c r="D361" s="261">
        <f t="shared" si="5"/>
        <v>3.3776279377786267E-3</v>
      </c>
    </row>
    <row r="362" spans="2:4" ht="14" thickBot="1" x14ac:dyDescent="0.2">
      <c r="B362" s="251">
        <v>42803</v>
      </c>
      <c r="C362" s="451">
        <v>28929.13</v>
      </c>
      <c r="D362" s="261">
        <f t="shared" si="5"/>
        <v>-9.3988308670200915E-4</v>
      </c>
    </row>
    <row r="363" spans="2:4" ht="14" thickBot="1" x14ac:dyDescent="0.2">
      <c r="B363" s="251">
        <v>42804</v>
      </c>
      <c r="C363" s="451">
        <v>28946.23</v>
      </c>
      <c r="D363" s="261">
        <f t="shared" si="5"/>
        <v>-5.90750505333415E-4</v>
      </c>
    </row>
    <row r="364" spans="2:4" ht="14" thickBot="1" x14ac:dyDescent="0.2">
      <c r="B364" s="251">
        <v>42808</v>
      </c>
      <c r="C364" s="451">
        <v>29442.63</v>
      </c>
      <c r="D364" s="261">
        <f t="shared" si="5"/>
        <v>-1.6859906876525721E-2</v>
      </c>
    </row>
    <row r="365" spans="2:4" ht="14" thickBot="1" x14ac:dyDescent="0.2">
      <c r="B365" s="251">
        <v>42809</v>
      </c>
      <c r="C365" s="451">
        <v>29398.11</v>
      </c>
      <c r="D365" s="261">
        <f t="shared" si="5"/>
        <v>1.5143830674828607E-3</v>
      </c>
    </row>
    <row r="366" spans="2:4" ht="14" thickBot="1" x14ac:dyDescent="0.2">
      <c r="B366" s="251">
        <v>42810</v>
      </c>
      <c r="C366" s="451">
        <v>29585.85</v>
      </c>
      <c r="D366" s="261">
        <f t="shared" si="5"/>
        <v>-6.3456010221101256E-3</v>
      </c>
    </row>
    <row r="367" spans="2:4" ht="14" thickBot="1" x14ac:dyDescent="0.2">
      <c r="B367" s="251">
        <v>42811</v>
      </c>
      <c r="C367" s="451">
        <v>29648.99</v>
      </c>
      <c r="D367" s="261">
        <f t="shared" si="5"/>
        <v>-2.1295835035191057E-3</v>
      </c>
    </row>
    <row r="368" spans="2:4" ht="14" thickBot="1" x14ac:dyDescent="0.2">
      <c r="B368" s="251">
        <v>42814</v>
      </c>
      <c r="C368" s="451">
        <v>29518.74</v>
      </c>
      <c r="D368" s="261">
        <f t="shared" si="5"/>
        <v>4.4124512089607215E-3</v>
      </c>
    </row>
    <row r="369" spans="2:4" ht="14" thickBot="1" x14ac:dyDescent="0.2">
      <c r="B369" s="251">
        <v>42815</v>
      </c>
      <c r="C369" s="451">
        <v>29485.45</v>
      </c>
      <c r="D369" s="261">
        <f t="shared" si="5"/>
        <v>1.1290314375396182E-3</v>
      </c>
    </row>
    <row r="370" spans="2:4" ht="14" thickBot="1" x14ac:dyDescent="0.2">
      <c r="B370" s="251">
        <v>42816</v>
      </c>
      <c r="C370" s="451">
        <v>29167.68</v>
      </c>
      <c r="D370" s="261">
        <f t="shared" si="5"/>
        <v>1.0894592919286072E-2</v>
      </c>
    </row>
    <row r="371" spans="2:4" ht="14" thickBot="1" x14ac:dyDescent="0.2">
      <c r="B371" s="251">
        <v>42817</v>
      </c>
      <c r="C371" s="451">
        <v>29332.16</v>
      </c>
      <c r="D371" s="261">
        <f t="shared" si="5"/>
        <v>-5.6074970271537961E-3</v>
      </c>
    </row>
    <row r="372" spans="2:4" ht="14" thickBot="1" x14ac:dyDescent="0.2">
      <c r="B372" s="251">
        <v>42818</v>
      </c>
      <c r="C372" s="451">
        <v>29421.4</v>
      </c>
      <c r="D372" s="261">
        <f t="shared" si="5"/>
        <v>-3.0331663347088478E-3</v>
      </c>
    </row>
    <row r="373" spans="2:4" ht="14" thickBot="1" x14ac:dyDescent="0.2">
      <c r="B373" s="251">
        <v>42821</v>
      </c>
      <c r="C373" s="451">
        <v>29237.15</v>
      </c>
      <c r="D373" s="261">
        <f t="shared" si="5"/>
        <v>6.3019138322306656E-3</v>
      </c>
    </row>
    <row r="374" spans="2:4" ht="14" thickBot="1" x14ac:dyDescent="0.2">
      <c r="B374" s="251">
        <v>42822</v>
      </c>
      <c r="C374" s="451">
        <v>29409.52</v>
      </c>
      <c r="D374" s="261">
        <f t="shared" si="5"/>
        <v>-5.8610273136044944E-3</v>
      </c>
    </row>
    <row r="375" spans="2:4" ht="14" thickBot="1" x14ac:dyDescent="0.2">
      <c r="B375" s="251">
        <v>42823</v>
      </c>
      <c r="C375" s="451">
        <v>29531.43</v>
      </c>
      <c r="D375" s="261">
        <f t="shared" si="5"/>
        <v>-4.1281441501478389E-3</v>
      </c>
    </row>
    <row r="376" spans="2:4" ht="14" thickBot="1" x14ac:dyDescent="0.2">
      <c r="B376" s="251">
        <v>42824</v>
      </c>
      <c r="C376" s="451">
        <v>29647.42</v>
      </c>
      <c r="D376" s="261">
        <f t="shared" si="5"/>
        <v>-3.91231344919718E-3</v>
      </c>
    </row>
    <row r="377" spans="2:4" ht="14" thickBot="1" x14ac:dyDescent="0.2">
      <c r="B377" s="251">
        <v>42825</v>
      </c>
      <c r="C377" s="451">
        <v>29620.5</v>
      </c>
      <c r="D377" s="261">
        <f t="shared" si="5"/>
        <v>9.0883003325403777E-4</v>
      </c>
    </row>
    <row r="378" spans="2:4" ht="14" thickBot="1" x14ac:dyDescent="0.2">
      <c r="B378" s="251">
        <v>42828</v>
      </c>
      <c r="C378" s="451">
        <v>29910.22</v>
      </c>
      <c r="D378" s="261">
        <f t="shared" si="5"/>
        <v>-9.6863212641030705E-3</v>
      </c>
    </row>
    <row r="379" spans="2:4" ht="14" thickBot="1" x14ac:dyDescent="0.2">
      <c r="B379" s="251">
        <v>42830</v>
      </c>
      <c r="C379" s="451">
        <v>29974.240000000002</v>
      </c>
      <c r="D379" s="261">
        <f t="shared" si="5"/>
        <v>-2.1358339694350637E-3</v>
      </c>
    </row>
    <row r="380" spans="2:4" ht="14" thickBot="1" x14ac:dyDescent="0.2">
      <c r="B380" s="251">
        <v>42831</v>
      </c>
      <c r="C380" s="451">
        <v>29927.34</v>
      </c>
      <c r="D380" s="261">
        <f t="shared" si="5"/>
        <v>1.5671289195766658E-3</v>
      </c>
    </row>
    <row r="381" spans="2:4" ht="14" thickBot="1" x14ac:dyDescent="0.2">
      <c r="B381" s="251">
        <v>42832</v>
      </c>
      <c r="C381" s="451">
        <v>29706.61</v>
      </c>
      <c r="D381" s="261">
        <f t="shared" si="5"/>
        <v>7.4303328451141848E-3</v>
      </c>
    </row>
    <row r="382" spans="2:4" ht="14" thickBot="1" x14ac:dyDescent="0.2">
      <c r="B382" s="251">
        <v>42835</v>
      </c>
      <c r="C382" s="451">
        <v>29575.74</v>
      </c>
      <c r="D382" s="261">
        <f t="shared" si="5"/>
        <v>4.4249104164426623E-3</v>
      </c>
    </row>
    <row r="383" spans="2:4" ht="14" thickBot="1" x14ac:dyDescent="0.2">
      <c r="B383" s="251">
        <v>42836</v>
      </c>
      <c r="C383" s="451">
        <v>29788.35</v>
      </c>
      <c r="D383" s="261">
        <f t="shared" si="5"/>
        <v>-7.1373540327005491E-3</v>
      </c>
    </row>
    <row r="384" spans="2:4" ht="14" thickBot="1" x14ac:dyDescent="0.2">
      <c r="B384" s="251">
        <v>42837</v>
      </c>
      <c r="C384" s="451">
        <v>29643.48</v>
      </c>
      <c r="D384" s="261">
        <f t="shared" si="5"/>
        <v>4.8870780353722498E-3</v>
      </c>
    </row>
    <row r="385" spans="2:4" ht="14" thickBot="1" x14ac:dyDescent="0.2">
      <c r="B385" s="251">
        <v>42838</v>
      </c>
      <c r="C385" s="451">
        <v>29461.45</v>
      </c>
      <c r="D385" s="261">
        <f t="shared" si="5"/>
        <v>6.1785825205480371E-3</v>
      </c>
    </row>
    <row r="386" spans="2:4" ht="14" thickBot="1" x14ac:dyDescent="0.2">
      <c r="B386" s="251">
        <v>42842</v>
      </c>
      <c r="C386" s="451">
        <v>29413.66</v>
      </c>
      <c r="D386" s="261">
        <f t="shared" si="5"/>
        <v>1.6247553007684434E-3</v>
      </c>
    </row>
    <row r="387" spans="2:4" ht="14" thickBot="1" x14ac:dyDescent="0.2">
      <c r="B387" s="251">
        <v>42843</v>
      </c>
      <c r="C387" s="451">
        <v>29319.1</v>
      </c>
      <c r="D387" s="261">
        <f t="shared" si="5"/>
        <v>3.225201319276616E-3</v>
      </c>
    </row>
    <row r="388" spans="2:4" ht="14" thickBot="1" x14ac:dyDescent="0.2">
      <c r="B388" s="251">
        <v>42844</v>
      </c>
      <c r="C388" s="451">
        <v>29336.57</v>
      </c>
      <c r="D388" s="261">
        <f t="shared" si="5"/>
        <v>-5.9550247353390429E-4</v>
      </c>
    </row>
    <row r="389" spans="2:4" ht="14" thickBot="1" x14ac:dyDescent="0.2">
      <c r="B389" s="251">
        <v>42845</v>
      </c>
      <c r="C389" s="451">
        <v>29422.39</v>
      </c>
      <c r="D389" s="261">
        <f t="shared" si="5"/>
        <v>-2.916826267342687E-3</v>
      </c>
    </row>
    <row r="390" spans="2:4" ht="14" thickBot="1" x14ac:dyDescent="0.2">
      <c r="B390" s="251">
        <v>42846</v>
      </c>
      <c r="C390" s="451">
        <v>29365.3</v>
      </c>
      <c r="D390" s="261">
        <f t="shared" si="5"/>
        <v>1.9441313386887593E-3</v>
      </c>
    </row>
    <row r="391" spans="2:4" ht="14" thickBot="1" x14ac:dyDescent="0.2">
      <c r="B391" s="251">
        <v>42849</v>
      </c>
      <c r="C391" s="451">
        <v>29655.84</v>
      </c>
      <c r="D391" s="261">
        <f t="shared" si="5"/>
        <v>-9.7970585220313877E-3</v>
      </c>
    </row>
    <row r="392" spans="2:4" ht="14" thickBot="1" x14ac:dyDescent="0.2">
      <c r="B392" s="251">
        <v>42850</v>
      </c>
      <c r="C392" s="451">
        <v>29943.24</v>
      </c>
      <c r="D392" s="261">
        <f t="shared" si="5"/>
        <v>-9.5981597181868938E-3</v>
      </c>
    </row>
    <row r="393" spans="2:4" ht="14" thickBot="1" x14ac:dyDescent="0.2">
      <c r="B393" s="251">
        <v>42851</v>
      </c>
      <c r="C393" s="451">
        <v>30133.35</v>
      </c>
      <c r="D393" s="261">
        <f t="shared" si="5"/>
        <v>-6.3089566875238479E-3</v>
      </c>
    </row>
    <row r="394" spans="2:4" ht="14" thickBot="1" x14ac:dyDescent="0.2">
      <c r="B394" s="251">
        <v>42852</v>
      </c>
      <c r="C394" s="451">
        <v>30029.74</v>
      </c>
      <c r="D394" s="261">
        <f t="shared" ref="D394:D457" si="6">C393/C394-1</f>
        <v>3.4502463224788116E-3</v>
      </c>
    </row>
    <row r="395" spans="2:4" ht="14" thickBot="1" x14ac:dyDescent="0.2">
      <c r="B395" s="251">
        <v>42853</v>
      </c>
      <c r="C395" s="451">
        <v>29918.400000000001</v>
      </c>
      <c r="D395" s="261">
        <f t="shared" si="6"/>
        <v>3.7214556928177878E-3</v>
      </c>
    </row>
    <row r="396" spans="2:4" ht="14" thickBot="1" x14ac:dyDescent="0.2">
      <c r="B396" s="251">
        <v>42857</v>
      </c>
      <c r="C396" s="451">
        <v>29921.18</v>
      </c>
      <c r="D396" s="261">
        <f t="shared" si="6"/>
        <v>-9.29107742407842E-5</v>
      </c>
    </row>
    <row r="397" spans="2:4" ht="14" thickBot="1" x14ac:dyDescent="0.2">
      <c r="B397" s="251">
        <v>42858</v>
      </c>
      <c r="C397" s="451">
        <v>29894.799999999999</v>
      </c>
      <c r="D397" s="261">
        <f t="shared" si="6"/>
        <v>8.8242771318092217E-4</v>
      </c>
    </row>
    <row r="398" spans="2:4" ht="14" thickBot="1" x14ac:dyDescent="0.2">
      <c r="B398" s="251">
        <v>42859</v>
      </c>
      <c r="C398" s="451">
        <v>30126.21</v>
      </c>
      <c r="D398" s="261">
        <f t="shared" si="6"/>
        <v>-7.681351222075361E-3</v>
      </c>
    </row>
    <row r="399" spans="2:4" ht="14" thickBot="1" x14ac:dyDescent="0.2">
      <c r="B399" s="251">
        <v>42860</v>
      </c>
      <c r="C399" s="451">
        <v>29858.799999999999</v>
      </c>
      <c r="D399" s="261">
        <f t="shared" si="6"/>
        <v>8.9558187201093098E-3</v>
      </c>
    </row>
    <row r="400" spans="2:4" ht="14" thickBot="1" x14ac:dyDescent="0.2">
      <c r="B400" s="251">
        <v>42863</v>
      </c>
      <c r="C400" s="451">
        <v>29926.15</v>
      </c>
      <c r="D400" s="261">
        <f t="shared" si="6"/>
        <v>-2.2505400794957664E-3</v>
      </c>
    </row>
    <row r="401" spans="2:4" ht="14" thickBot="1" x14ac:dyDescent="0.2">
      <c r="B401" s="251">
        <v>42864</v>
      </c>
      <c r="C401" s="451">
        <v>29933.25</v>
      </c>
      <c r="D401" s="261">
        <f t="shared" si="6"/>
        <v>-2.3719442426062276E-4</v>
      </c>
    </row>
    <row r="402" spans="2:4" ht="14" thickBot="1" x14ac:dyDescent="0.2">
      <c r="B402" s="251">
        <v>42865</v>
      </c>
      <c r="C402" s="451">
        <v>30248.17</v>
      </c>
      <c r="D402" s="261">
        <f t="shared" si="6"/>
        <v>-1.0411208347480105E-2</v>
      </c>
    </row>
    <row r="403" spans="2:4" ht="14" thickBot="1" x14ac:dyDescent="0.2">
      <c r="B403" s="251">
        <v>42866</v>
      </c>
      <c r="C403" s="451">
        <v>30250.98</v>
      </c>
      <c r="D403" s="261">
        <f t="shared" si="6"/>
        <v>-9.288955266906207E-5</v>
      </c>
    </row>
    <row r="404" spans="2:4" ht="14" thickBot="1" x14ac:dyDescent="0.2">
      <c r="B404" s="251">
        <v>42867</v>
      </c>
      <c r="C404" s="451">
        <v>30188.15</v>
      </c>
      <c r="D404" s="261">
        <f t="shared" si="6"/>
        <v>2.0812802374441386E-3</v>
      </c>
    </row>
    <row r="405" spans="2:4" ht="14" thickBot="1" x14ac:dyDescent="0.2">
      <c r="B405" s="251">
        <v>42870</v>
      </c>
      <c r="C405" s="451">
        <v>30322.12</v>
      </c>
      <c r="D405" s="261">
        <f t="shared" si="6"/>
        <v>-4.4182266939117865E-3</v>
      </c>
    </row>
    <row r="406" spans="2:4" ht="14" thickBot="1" x14ac:dyDescent="0.2">
      <c r="B406" s="251">
        <v>42871</v>
      </c>
      <c r="C406" s="451">
        <v>30582.6</v>
      </c>
      <c r="D406" s="261">
        <f t="shared" si="6"/>
        <v>-8.5172614493208565E-3</v>
      </c>
    </row>
    <row r="407" spans="2:4" ht="14" thickBot="1" x14ac:dyDescent="0.2">
      <c r="B407" s="251">
        <v>42872</v>
      </c>
      <c r="C407" s="451">
        <v>30658.77</v>
      </c>
      <c r="D407" s="261">
        <f t="shared" si="6"/>
        <v>-2.4844440921798494E-3</v>
      </c>
    </row>
    <row r="408" spans="2:4" ht="14" thickBot="1" x14ac:dyDescent="0.2">
      <c r="B408" s="251">
        <v>42873</v>
      </c>
      <c r="C408" s="451">
        <v>30434.79</v>
      </c>
      <c r="D408" s="261">
        <f t="shared" si="6"/>
        <v>7.3593410698742368E-3</v>
      </c>
    </row>
    <row r="409" spans="2:4" ht="14" thickBot="1" x14ac:dyDescent="0.2">
      <c r="B409" s="251">
        <v>42874</v>
      </c>
      <c r="C409" s="451">
        <v>30464.92</v>
      </c>
      <c r="D409" s="261">
        <f t="shared" si="6"/>
        <v>-9.8900637191878804E-4</v>
      </c>
    </row>
    <row r="410" spans="2:4" ht="14" thickBot="1" x14ac:dyDescent="0.2">
      <c r="B410" s="251">
        <v>42877</v>
      </c>
      <c r="C410" s="451">
        <v>30570.97</v>
      </c>
      <c r="D410" s="261">
        <f t="shared" si="6"/>
        <v>-3.4689772683039743E-3</v>
      </c>
    </row>
    <row r="411" spans="2:4" ht="14" thickBot="1" x14ac:dyDescent="0.2">
      <c r="B411" s="251">
        <v>42878</v>
      </c>
      <c r="C411" s="451">
        <v>30365.25</v>
      </c>
      <c r="D411" s="261">
        <f t="shared" si="6"/>
        <v>6.7748495401815934E-3</v>
      </c>
    </row>
    <row r="412" spans="2:4" ht="14" thickBot="1" x14ac:dyDescent="0.2">
      <c r="B412" s="251">
        <v>42879</v>
      </c>
      <c r="C412" s="451">
        <v>30301.64</v>
      </c>
      <c r="D412" s="261">
        <f t="shared" si="6"/>
        <v>2.0992263125032551E-3</v>
      </c>
    </row>
    <row r="413" spans="2:4" ht="14" thickBot="1" x14ac:dyDescent="0.2">
      <c r="B413" s="251">
        <v>42880</v>
      </c>
      <c r="C413" s="451">
        <v>30750.03</v>
      </c>
      <c r="D413" s="261">
        <f t="shared" si="6"/>
        <v>-1.4581774391764779E-2</v>
      </c>
    </row>
    <row r="414" spans="2:4" ht="14" thickBot="1" x14ac:dyDescent="0.2">
      <c r="B414" s="251">
        <v>42881</v>
      </c>
      <c r="C414" s="451">
        <v>31028.21</v>
      </c>
      <c r="D414" s="261">
        <f t="shared" si="6"/>
        <v>-8.9653898823038869E-3</v>
      </c>
    </row>
    <row r="415" spans="2:4" ht="14" thickBot="1" x14ac:dyDescent="0.2">
      <c r="B415" s="251">
        <v>42884</v>
      </c>
      <c r="C415" s="451">
        <v>31109.279999999999</v>
      </c>
      <c r="D415" s="261">
        <f t="shared" si="6"/>
        <v>-2.6059748088029799E-3</v>
      </c>
    </row>
    <row r="416" spans="2:4" ht="14" thickBot="1" x14ac:dyDescent="0.2">
      <c r="B416" s="251">
        <v>42885</v>
      </c>
      <c r="C416" s="451">
        <v>31159.4</v>
      </c>
      <c r="D416" s="261">
        <f t="shared" si="6"/>
        <v>-1.6085033729790199E-3</v>
      </c>
    </row>
    <row r="417" spans="2:4" ht="14" thickBot="1" x14ac:dyDescent="0.2">
      <c r="B417" s="251">
        <v>42886</v>
      </c>
      <c r="C417" s="451">
        <v>31145.8</v>
      </c>
      <c r="D417" s="261">
        <f t="shared" si="6"/>
        <v>4.3665598571895892E-4</v>
      </c>
    </row>
    <row r="418" spans="2:4" ht="14" thickBot="1" x14ac:dyDescent="0.2">
      <c r="B418" s="251">
        <v>42887</v>
      </c>
      <c r="C418" s="451">
        <v>31137.59</v>
      </c>
      <c r="D418" s="261">
        <f t="shared" si="6"/>
        <v>2.6366844704428516E-4</v>
      </c>
    </row>
    <row r="419" spans="2:4" ht="14" thickBot="1" x14ac:dyDescent="0.2">
      <c r="B419" s="251">
        <v>42888</v>
      </c>
      <c r="C419" s="451">
        <v>31273.29</v>
      </c>
      <c r="D419" s="261">
        <f t="shared" si="6"/>
        <v>-4.3391661062843756E-3</v>
      </c>
    </row>
    <row r="420" spans="2:4" ht="14" thickBot="1" x14ac:dyDescent="0.2">
      <c r="B420" s="251">
        <v>42891</v>
      </c>
      <c r="C420" s="451">
        <v>31309.49</v>
      </c>
      <c r="D420" s="261">
        <f t="shared" si="6"/>
        <v>-1.1561989671502459E-3</v>
      </c>
    </row>
    <row r="421" spans="2:4" ht="14" thickBot="1" x14ac:dyDescent="0.2">
      <c r="B421" s="251">
        <v>42892</v>
      </c>
      <c r="C421" s="451">
        <v>31190.560000000001</v>
      </c>
      <c r="D421" s="261">
        <f t="shared" si="6"/>
        <v>3.8130126551110255E-3</v>
      </c>
    </row>
    <row r="422" spans="2:4" ht="14" thickBot="1" x14ac:dyDescent="0.2">
      <c r="B422" s="251">
        <v>42893</v>
      </c>
      <c r="C422" s="451">
        <v>31271.279999999999</v>
      </c>
      <c r="D422" s="261">
        <f t="shared" si="6"/>
        <v>-2.5812822500389521E-3</v>
      </c>
    </row>
    <row r="423" spans="2:4" ht="14" thickBot="1" x14ac:dyDescent="0.2">
      <c r="B423" s="251">
        <v>42894</v>
      </c>
      <c r="C423" s="451">
        <v>31213.360000000001</v>
      </c>
      <c r="D423" s="261">
        <f t="shared" si="6"/>
        <v>1.8556156722633332E-3</v>
      </c>
    </row>
    <row r="424" spans="2:4" ht="14" thickBot="1" x14ac:dyDescent="0.2">
      <c r="B424" s="251">
        <v>42895</v>
      </c>
      <c r="C424" s="451">
        <v>31262.06</v>
      </c>
      <c r="D424" s="261">
        <f t="shared" si="6"/>
        <v>-1.5577988142816412E-3</v>
      </c>
    </row>
    <row r="425" spans="2:4" ht="14" thickBot="1" x14ac:dyDescent="0.2">
      <c r="B425" s="251">
        <v>42898</v>
      </c>
      <c r="C425" s="451">
        <v>31095.7</v>
      </c>
      <c r="D425" s="261">
        <f t="shared" si="6"/>
        <v>5.3499358432194111E-3</v>
      </c>
    </row>
    <row r="426" spans="2:4" ht="14" thickBot="1" x14ac:dyDescent="0.2">
      <c r="B426" s="251">
        <v>42899</v>
      </c>
      <c r="C426" s="451">
        <v>31103.49</v>
      </c>
      <c r="D426" s="261">
        <f t="shared" si="6"/>
        <v>-2.5045420947944486E-4</v>
      </c>
    </row>
    <row r="427" spans="2:4" ht="14" thickBot="1" x14ac:dyDescent="0.2">
      <c r="B427" s="251">
        <v>42900</v>
      </c>
      <c r="C427" s="451">
        <v>31155.91</v>
      </c>
      <c r="D427" s="261">
        <f t="shared" si="6"/>
        <v>-1.6825058231326739E-3</v>
      </c>
    </row>
    <row r="428" spans="2:4" ht="14" thickBot="1" x14ac:dyDescent="0.2">
      <c r="B428" s="251">
        <v>42901</v>
      </c>
      <c r="C428" s="451">
        <v>31075.73</v>
      </c>
      <c r="D428" s="261">
        <f t="shared" si="6"/>
        <v>2.5801485596637086E-3</v>
      </c>
    </row>
    <row r="429" spans="2:4" ht="14" thickBot="1" x14ac:dyDescent="0.2">
      <c r="B429" s="251">
        <v>42902</v>
      </c>
      <c r="C429" s="451">
        <v>31056.400000000001</v>
      </c>
      <c r="D429" s="261">
        <f t="shared" si="6"/>
        <v>6.2241599155088423E-4</v>
      </c>
    </row>
    <row r="430" spans="2:4" ht="14" thickBot="1" x14ac:dyDescent="0.2">
      <c r="B430" s="251">
        <v>42905</v>
      </c>
      <c r="C430" s="451">
        <v>31311.57</v>
      </c>
      <c r="D430" s="261">
        <f t="shared" si="6"/>
        <v>-8.1493837581443351E-3</v>
      </c>
    </row>
    <row r="431" spans="2:4" ht="14" thickBot="1" x14ac:dyDescent="0.2">
      <c r="B431" s="251">
        <v>42906</v>
      </c>
      <c r="C431" s="451">
        <v>31297.53</v>
      </c>
      <c r="D431" s="261">
        <f t="shared" si="6"/>
        <v>4.4859770084104689E-4</v>
      </c>
    </row>
    <row r="432" spans="2:4" ht="14" thickBot="1" x14ac:dyDescent="0.2">
      <c r="B432" s="251">
        <v>42907</v>
      </c>
      <c r="C432" s="451">
        <v>31283.64</v>
      </c>
      <c r="D432" s="261">
        <f t="shared" si="6"/>
        <v>4.4400204068328897E-4</v>
      </c>
    </row>
    <row r="433" spans="2:4" ht="14" thickBot="1" x14ac:dyDescent="0.2">
      <c r="B433" s="251">
        <v>42908</v>
      </c>
      <c r="C433" s="451">
        <v>31290.74</v>
      </c>
      <c r="D433" s="261">
        <f t="shared" si="6"/>
        <v>-2.2690418954629532E-4</v>
      </c>
    </row>
    <row r="434" spans="2:4" ht="14" thickBot="1" x14ac:dyDescent="0.2">
      <c r="B434" s="251">
        <v>42909</v>
      </c>
      <c r="C434" s="451">
        <v>31138.21</v>
      </c>
      <c r="D434" s="261">
        <f t="shared" si="6"/>
        <v>4.8984832461469452E-3</v>
      </c>
    </row>
    <row r="435" spans="2:4" ht="14" thickBot="1" x14ac:dyDescent="0.2">
      <c r="B435" s="251">
        <v>42913</v>
      </c>
      <c r="C435" s="451">
        <v>30958.25</v>
      </c>
      <c r="D435" s="261">
        <f t="shared" si="6"/>
        <v>5.8129900753434161E-3</v>
      </c>
    </row>
    <row r="436" spans="2:4" ht="14" thickBot="1" x14ac:dyDescent="0.2">
      <c r="B436" s="251">
        <v>42914</v>
      </c>
      <c r="C436" s="451">
        <v>30834.32</v>
      </c>
      <c r="D436" s="261">
        <f t="shared" si="6"/>
        <v>4.0192227362239041E-3</v>
      </c>
    </row>
    <row r="437" spans="2:4" ht="14" thickBot="1" x14ac:dyDescent="0.2">
      <c r="B437" s="251">
        <v>42915</v>
      </c>
      <c r="C437" s="451">
        <v>30857.52</v>
      </c>
      <c r="D437" s="261">
        <f t="shared" si="6"/>
        <v>-7.5184266266381528E-4</v>
      </c>
    </row>
    <row r="438" spans="2:4" ht="14" thickBot="1" x14ac:dyDescent="0.2">
      <c r="B438" s="251">
        <v>42916</v>
      </c>
      <c r="C438" s="451">
        <v>30921.61</v>
      </c>
      <c r="D438" s="261">
        <f t="shared" si="6"/>
        <v>-2.0726605115322094E-3</v>
      </c>
    </row>
    <row r="439" spans="2:4" ht="14" thickBot="1" x14ac:dyDescent="0.2">
      <c r="B439" s="251">
        <v>42919</v>
      </c>
      <c r="C439" s="451">
        <v>31221.62</v>
      </c>
      <c r="D439" s="261">
        <f t="shared" si="6"/>
        <v>-9.6090465517163492E-3</v>
      </c>
    </row>
    <row r="440" spans="2:4" ht="14" thickBot="1" x14ac:dyDescent="0.2">
      <c r="B440" s="251">
        <v>42920</v>
      </c>
      <c r="C440" s="451">
        <v>31209.79</v>
      </c>
      <c r="D440" s="261">
        <f t="shared" si="6"/>
        <v>3.7904772829278066E-4</v>
      </c>
    </row>
    <row r="441" spans="2:4" ht="14" thickBot="1" x14ac:dyDescent="0.2">
      <c r="B441" s="251">
        <v>42921</v>
      </c>
      <c r="C441" s="451">
        <v>31245.56</v>
      </c>
      <c r="D441" s="261">
        <f t="shared" si="6"/>
        <v>-1.1448026535609834E-3</v>
      </c>
    </row>
    <row r="442" spans="2:4" ht="14" thickBot="1" x14ac:dyDescent="0.2">
      <c r="B442" s="251">
        <v>42922</v>
      </c>
      <c r="C442" s="451">
        <v>31369.34</v>
      </c>
      <c r="D442" s="261">
        <f t="shared" si="6"/>
        <v>-3.9458911153373855E-3</v>
      </c>
    </row>
    <row r="443" spans="2:4" ht="14" thickBot="1" x14ac:dyDescent="0.2">
      <c r="B443" s="251">
        <v>42923</v>
      </c>
      <c r="C443" s="451">
        <v>31360.63</v>
      </c>
      <c r="D443" s="261">
        <f t="shared" si="6"/>
        <v>2.7773676740538988E-4</v>
      </c>
    </row>
    <row r="444" spans="2:4" ht="14" thickBot="1" x14ac:dyDescent="0.2">
      <c r="B444" s="251">
        <v>42926</v>
      </c>
      <c r="C444" s="451">
        <v>31715.64</v>
      </c>
      <c r="D444" s="261">
        <f t="shared" si="6"/>
        <v>-1.1193531014981883E-2</v>
      </c>
    </row>
    <row r="445" spans="2:4" ht="14" thickBot="1" x14ac:dyDescent="0.2">
      <c r="B445" s="251">
        <v>42927</v>
      </c>
      <c r="C445" s="451">
        <v>31747.09</v>
      </c>
      <c r="D445" s="261">
        <f t="shared" si="6"/>
        <v>-9.9064197694975764E-4</v>
      </c>
    </row>
    <row r="446" spans="2:4" ht="14" thickBot="1" x14ac:dyDescent="0.2">
      <c r="B446" s="251">
        <v>42928</v>
      </c>
      <c r="C446" s="451">
        <v>31804.82</v>
      </c>
      <c r="D446" s="261">
        <f t="shared" si="6"/>
        <v>-1.8151336809955065E-3</v>
      </c>
    </row>
    <row r="447" spans="2:4" ht="14" thickBot="1" x14ac:dyDescent="0.2">
      <c r="B447" s="251">
        <v>42929</v>
      </c>
      <c r="C447" s="451">
        <v>32037.38</v>
      </c>
      <c r="D447" s="261">
        <f t="shared" si="6"/>
        <v>-7.2590205566123167E-3</v>
      </c>
    </row>
    <row r="448" spans="2:4" ht="14" thickBot="1" x14ac:dyDescent="0.2">
      <c r="B448" s="251">
        <v>42930</v>
      </c>
      <c r="C448" s="451">
        <v>32020.75</v>
      </c>
      <c r="D448" s="261">
        <f t="shared" si="6"/>
        <v>5.1935073350883876E-4</v>
      </c>
    </row>
    <row r="449" spans="2:4" ht="14" thickBot="1" x14ac:dyDescent="0.2">
      <c r="B449" s="251">
        <v>42933</v>
      </c>
      <c r="C449" s="451">
        <v>32074.78</v>
      </c>
      <c r="D449" s="261">
        <f t="shared" si="6"/>
        <v>-1.6845010316516307E-3</v>
      </c>
    </row>
    <row r="450" spans="2:4" ht="14" thickBot="1" x14ac:dyDescent="0.2">
      <c r="B450" s="251">
        <v>42934</v>
      </c>
      <c r="C450" s="451">
        <v>31710.99</v>
      </c>
      <c r="D450" s="261">
        <f t="shared" si="6"/>
        <v>1.1472048018683623E-2</v>
      </c>
    </row>
    <row r="451" spans="2:4" ht="14" thickBot="1" x14ac:dyDescent="0.2">
      <c r="B451" s="251">
        <v>42935</v>
      </c>
      <c r="C451" s="451">
        <v>31955.35</v>
      </c>
      <c r="D451" s="261">
        <f t="shared" si="6"/>
        <v>-7.6469198428431584E-3</v>
      </c>
    </row>
    <row r="452" spans="2:4" ht="14" thickBot="1" x14ac:dyDescent="0.2">
      <c r="B452" s="251">
        <v>42936</v>
      </c>
      <c r="C452" s="451">
        <v>31904.400000000001</v>
      </c>
      <c r="D452" s="261">
        <f t="shared" si="6"/>
        <v>1.5969584132595749E-3</v>
      </c>
    </row>
    <row r="453" spans="2:4" ht="14" thickBot="1" x14ac:dyDescent="0.2">
      <c r="B453" s="251">
        <v>42937</v>
      </c>
      <c r="C453" s="451">
        <v>32028.89</v>
      </c>
      <c r="D453" s="261">
        <f t="shared" si="6"/>
        <v>-3.8868034452644862E-3</v>
      </c>
    </row>
    <row r="454" spans="2:4" ht="14" thickBot="1" x14ac:dyDescent="0.2">
      <c r="B454" s="251">
        <v>42940</v>
      </c>
      <c r="C454" s="451">
        <v>32245.87</v>
      </c>
      <c r="D454" s="261">
        <f t="shared" si="6"/>
        <v>-6.728923735039527E-3</v>
      </c>
    </row>
    <row r="455" spans="2:4" ht="14" thickBot="1" x14ac:dyDescent="0.2">
      <c r="B455" s="251">
        <v>42941</v>
      </c>
      <c r="C455" s="451">
        <v>32228.27</v>
      </c>
      <c r="D455" s="261">
        <f t="shared" si="6"/>
        <v>5.4610439840541147E-4</v>
      </c>
    </row>
    <row r="456" spans="2:4" ht="14" thickBot="1" x14ac:dyDescent="0.2">
      <c r="B456" s="251">
        <v>42942</v>
      </c>
      <c r="C456" s="451">
        <v>32382.46</v>
      </c>
      <c r="D456" s="261">
        <f t="shared" si="6"/>
        <v>-4.7615283088436877E-3</v>
      </c>
    </row>
    <row r="457" spans="2:4" ht="14" thickBot="1" x14ac:dyDescent="0.2">
      <c r="B457" s="251">
        <v>42943</v>
      </c>
      <c r="C457" s="451">
        <v>32383.3</v>
      </c>
      <c r="D457" s="261">
        <f t="shared" si="6"/>
        <v>-2.5939295871690859E-5</v>
      </c>
    </row>
    <row r="458" spans="2:4" ht="14" thickBot="1" x14ac:dyDescent="0.2">
      <c r="B458" s="251">
        <v>42944</v>
      </c>
      <c r="C458" s="451">
        <v>32309.88</v>
      </c>
      <c r="D458" s="261">
        <f t="shared" ref="D458:D521" si="7">C457/C458-1</f>
        <v>2.2723699376165918E-3</v>
      </c>
    </row>
    <row r="459" spans="2:4" ht="14" thickBot="1" x14ac:dyDescent="0.2">
      <c r="B459" s="251">
        <v>42947</v>
      </c>
      <c r="C459" s="451">
        <v>32514.94</v>
      </c>
      <c r="D459" s="261">
        <f t="shared" si="7"/>
        <v>-6.306639347942733E-3</v>
      </c>
    </row>
    <row r="460" spans="2:4" ht="14" thickBot="1" x14ac:dyDescent="0.2">
      <c r="B460" s="251">
        <v>42948</v>
      </c>
      <c r="C460" s="451">
        <v>32575.17</v>
      </c>
      <c r="D460" s="261">
        <f t="shared" si="7"/>
        <v>-1.8489542802079262E-3</v>
      </c>
    </row>
    <row r="461" spans="2:4" ht="14" thickBot="1" x14ac:dyDescent="0.2">
      <c r="B461" s="251">
        <v>42949</v>
      </c>
      <c r="C461" s="451">
        <v>32476.74</v>
      </c>
      <c r="D461" s="261">
        <f t="shared" si="7"/>
        <v>3.0307844937638162E-3</v>
      </c>
    </row>
    <row r="462" spans="2:4" ht="14" thickBot="1" x14ac:dyDescent="0.2">
      <c r="B462" s="251">
        <v>42950</v>
      </c>
      <c r="C462" s="451">
        <v>32237.88</v>
      </c>
      <c r="D462" s="261">
        <f t="shared" si="7"/>
        <v>7.4092961447838057E-3</v>
      </c>
    </row>
    <row r="463" spans="2:4" ht="14" thickBot="1" x14ac:dyDescent="0.2">
      <c r="B463" s="251">
        <v>42951</v>
      </c>
      <c r="C463" s="451">
        <v>32325.41</v>
      </c>
      <c r="D463" s="261">
        <f t="shared" si="7"/>
        <v>-2.7077769469899815E-3</v>
      </c>
    </row>
    <row r="464" spans="2:4" ht="14" thickBot="1" x14ac:dyDescent="0.2">
      <c r="B464" s="251">
        <v>42954</v>
      </c>
      <c r="C464" s="451">
        <v>32273.67</v>
      </c>
      <c r="D464" s="261">
        <f t="shared" si="7"/>
        <v>1.6031644371403697E-3</v>
      </c>
    </row>
    <row r="465" spans="2:4" ht="14" thickBot="1" x14ac:dyDescent="0.2">
      <c r="B465" s="251">
        <v>42955</v>
      </c>
      <c r="C465" s="451">
        <v>32014.19</v>
      </c>
      <c r="D465" s="261">
        <f t="shared" si="7"/>
        <v>8.1051558699438697E-3</v>
      </c>
    </row>
    <row r="466" spans="2:4" ht="14" thickBot="1" x14ac:dyDescent="0.2">
      <c r="B466" s="251">
        <v>42956</v>
      </c>
      <c r="C466" s="451">
        <v>31797.84</v>
      </c>
      <c r="D466" s="261">
        <f t="shared" si="7"/>
        <v>6.8039212726398457E-3</v>
      </c>
    </row>
    <row r="467" spans="2:4" ht="14" thickBot="1" x14ac:dyDescent="0.2">
      <c r="B467" s="251">
        <v>42957</v>
      </c>
      <c r="C467" s="451">
        <v>31531.33</v>
      </c>
      <c r="D467" s="261">
        <f t="shared" si="7"/>
        <v>8.4522283075276761E-3</v>
      </c>
    </row>
    <row r="468" spans="2:4" ht="14" thickBot="1" x14ac:dyDescent="0.2">
      <c r="B468" s="251">
        <v>42958</v>
      </c>
      <c r="C468" s="451">
        <v>31213.59</v>
      </c>
      <c r="D468" s="261">
        <f t="shared" si="7"/>
        <v>1.0179540386094699E-2</v>
      </c>
    </row>
    <row r="469" spans="2:4" ht="14" thickBot="1" x14ac:dyDescent="0.2">
      <c r="B469" s="251">
        <v>42961</v>
      </c>
      <c r="C469" s="451">
        <v>31449.03</v>
      </c>
      <c r="D469" s="261">
        <f t="shared" si="7"/>
        <v>-7.4863994215401686E-3</v>
      </c>
    </row>
    <row r="470" spans="2:4" ht="14" thickBot="1" x14ac:dyDescent="0.2">
      <c r="B470" s="251">
        <v>42963</v>
      </c>
      <c r="C470" s="451">
        <v>31770.89</v>
      </c>
      <c r="D470" s="261">
        <f t="shared" si="7"/>
        <v>-1.0130657340729265E-2</v>
      </c>
    </row>
    <row r="471" spans="2:4" ht="14" thickBot="1" x14ac:dyDescent="0.2">
      <c r="B471" s="251">
        <v>42964</v>
      </c>
      <c r="C471" s="451">
        <v>31795.46</v>
      </c>
      <c r="D471" s="261">
        <f t="shared" si="7"/>
        <v>-7.7275183312330853E-4</v>
      </c>
    </row>
    <row r="472" spans="2:4" ht="14" thickBot="1" x14ac:dyDescent="0.2">
      <c r="B472" s="251">
        <v>42965</v>
      </c>
      <c r="C472" s="451">
        <v>31524.68</v>
      </c>
      <c r="D472" s="261">
        <f t="shared" si="7"/>
        <v>8.5894607019008085E-3</v>
      </c>
    </row>
    <row r="473" spans="2:4" ht="14" thickBot="1" x14ac:dyDescent="0.2">
      <c r="B473" s="251">
        <v>42968</v>
      </c>
      <c r="C473" s="451">
        <v>31258.85</v>
      </c>
      <c r="D473" s="261">
        <f t="shared" si="7"/>
        <v>8.5041516242601034E-3</v>
      </c>
    </row>
    <row r="474" spans="2:4" ht="14" thickBot="1" x14ac:dyDescent="0.2">
      <c r="B474" s="251">
        <v>42969</v>
      </c>
      <c r="C474" s="451">
        <v>31291.85</v>
      </c>
      <c r="D474" s="261">
        <f t="shared" si="7"/>
        <v>-1.0545876961572942E-3</v>
      </c>
    </row>
    <row r="475" spans="2:4" ht="14" thickBot="1" x14ac:dyDescent="0.2">
      <c r="B475" s="251">
        <v>42970</v>
      </c>
      <c r="C475" s="451">
        <v>31568.01</v>
      </c>
      <c r="D475" s="261">
        <f t="shared" si="7"/>
        <v>-8.7480965699135993E-3</v>
      </c>
    </row>
    <row r="476" spans="2:4" ht="14" thickBot="1" x14ac:dyDescent="0.2">
      <c r="B476" s="251">
        <v>42971</v>
      </c>
      <c r="C476" s="451">
        <v>31596.06</v>
      </c>
      <c r="D476" s="261">
        <f t="shared" si="7"/>
        <v>-8.8776891802344604E-4</v>
      </c>
    </row>
    <row r="477" spans="2:4" ht="14" thickBot="1" x14ac:dyDescent="0.2">
      <c r="B477" s="251">
        <v>42975</v>
      </c>
      <c r="C477" s="451">
        <v>31750.82</v>
      </c>
      <c r="D477" s="261">
        <f t="shared" si="7"/>
        <v>-4.87420482368639E-3</v>
      </c>
    </row>
    <row r="478" spans="2:4" ht="14" thickBot="1" x14ac:dyDescent="0.2">
      <c r="B478" s="251">
        <v>42976</v>
      </c>
      <c r="C478" s="451">
        <v>31388.39</v>
      </c>
      <c r="D478" s="261">
        <f t="shared" si="7"/>
        <v>1.1546625997701732E-2</v>
      </c>
    </row>
    <row r="479" spans="2:4" ht="14" thickBot="1" x14ac:dyDescent="0.2">
      <c r="B479" s="251">
        <v>42977</v>
      </c>
      <c r="C479" s="451">
        <v>31646.46</v>
      </c>
      <c r="D479" s="261">
        <f t="shared" si="7"/>
        <v>-8.1547825570379429E-3</v>
      </c>
    </row>
    <row r="480" spans="2:4" ht="14" thickBot="1" x14ac:dyDescent="0.2">
      <c r="B480" s="251">
        <v>42978</v>
      </c>
      <c r="C480" s="451">
        <v>31730.49</v>
      </c>
      <c r="D480" s="261">
        <f t="shared" si="7"/>
        <v>-2.6482414863433501E-3</v>
      </c>
    </row>
    <row r="481" spans="2:4" ht="14" thickBot="1" x14ac:dyDescent="0.2">
      <c r="B481" s="251">
        <v>42979</v>
      </c>
      <c r="C481" s="451">
        <v>31892.23</v>
      </c>
      <c r="D481" s="261">
        <f t="shared" si="7"/>
        <v>-5.0714547085606299E-3</v>
      </c>
    </row>
    <row r="482" spans="2:4" ht="14" thickBot="1" x14ac:dyDescent="0.2">
      <c r="B482" s="251">
        <v>42982</v>
      </c>
      <c r="C482" s="451">
        <v>31702.25</v>
      </c>
      <c r="D482" s="261">
        <f t="shared" si="7"/>
        <v>5.9926345921819113E-3</v>
      </c>
    </row>
    <row r="483" spans="2:4" ht="14" thickBot="1" x14ac:dyDescent="0.2">
      <c r="B483" s="251">
        <v>42983</v>
      </c>
      <c r="C483" s="451">
        <v>31809.55</v>
      </c>
      <c r="D483" s="261">
        <f t="shared" si="7"/>
        <v>-3.3732008154783166E-3</v>
      </c>
    </row>
    <row r="484" spans="2:4" ht="14" thickBot="1" x14ac:dyDescent="0.2">
      <c r="B484" s="251">
        <v>42984</v>
      </c>
      <c r="C484" s="451">
        <v>31661.97</v>
      </c>
      <c r="D484" s="261">
        <f t="shared" si="7"/>
        <v>4.6611123691924217E-3</v>
      </c>
    </row>
    <row r="485" spans="2:4" ht="14" thickBot="1" x14ac:dyDescent="0.2">
      <c r="B485" s="251">
        <v>42985</v>
      </c>
      <c r="C485" s="451">
        <v>31662.74</v>
      </c>
      <c r="D485" s="261">
        <f t="shared" si="7"/>
        <v>-2.4318805005529853E-5</v>
      </c>
    </row>
    <row r="486" spans="2:4" ht="14" thickBot="1" x14ac:dyDescent="0.2">
      <c r="B486" s="251">
        <v>42986</v>
      </c>
      <c r="C486" s="451">
        <v>31687.52</v>
      </c>
      <c r="D486" s="261">
        <f t="shared" si="7"/>
        <v>-7.8201134074229461E-4</v>
      </c>
    </row>
    <row r="487" spans="2:4" ht="14" thickBot="1" x14ac:dyDescent="0.2">
      <c r="B487" s="251">
        <v>42989</v>
      </c>
      <c r="C487" s="451">
        <v>31882.16</v>
      </c>
      <c r="D487" s="261">
        <f t="shared" si="7"/>
        <v>-6.1049815947225028E-3</v>
      </c>
    </row>
    <row r="488" spans="2:4" ht="14" thickBot="1" x14ac:dyDescent="0.2">
      <c r="B488" s="251">
        <v>42990</v>
      </c>
      <c r="C488" s="451">
        <v>32158.66</v>
      </c>
      <c r="D488" s="261">
        <f t="shared" si="7"/>
        <v>-8.5979950657147919E-3</v>
      </c>
    </row>
    <row r="489" spans="2:4" ht="14" thickBot="1" x14ac:dyDescent="0.2">
      <c r="B489" s="251">
        <v>42991</v>
      </c>
      <c r="C489" s="451">
        <v>32186.41</v>
      </c>
      <c r="D489" s="261">
        <f t="shared" si="7"/>
        <v>-8.6216511875669699E-4</v>
      </c>
    </row>
    <row r="490" spans="2:4" ht="14" thickBot="1" x14ac:dyDescent="0.2">
      <c r="B490" s="251">
        <v>42992</v>
      </c>
      <c r="C490" s="451">
        <v>32241.93</v>
      </c>
      <c r="D490" s="261">
        <f t="shared" si="7"/>
        <v>-1.7219812833785264E-3</v>
      </c>
    </row>
    <row r="491" spans="2:4" ht="14" thickBot="1" x14ac:dyDescent="0.2">
      <c r="B491" s="251">
        <v>42993</v>
      </c>
      <c r="C491" s="451">
        <v>32272.61</v>
      </c>
      <c r="D491" s="261">
        <f t="shared" si="7"/>
        <v>-9.5065134180349897E-4</v>
      </c>
    </row>
    <row r="492" spans="2:4" ht="14" thickBot="1" x14ac:dyDescent="0.2">
      <c r="B492" s="251">
        <v>42996</v>
      </c>
      <c r="C492" s="451">
        <v>32423.759999999998</v>
      </c>
      <c r="D492" s="261">
        <f t="shared" si="7"/>
        <v>-4.6617048732163768E-3</v>
      </c>
    </row>
    <row r="493" spans="2:4" ht="14" thickBot="1" x14ac:dyDescent="0.2">
      <c r="B493" s="251">
        <v>42997</v>
      </c>
      <c r="C493" s="451">
        <v>32402.37</v>
      </c>
      <c r="D493" s="261">
        <f t="shared" si="7"/>
        <v>6.6013689739352621E-4</v>
      </c>
    </row>
    <row r="494" spans="2:4" ht="14" thickBot="1" x14ac:dyDescent="0.2">
      <c r="B494" s="251">
        <v>42998</v>
      </c>
      <c r="C494" s="451">
        <v>32400.51</v>
      </c>
      <c r="D494" s="261">
        <f t="shared" si="7"/>
        <v>5.7406503786605612E-5</v>
      </c>
    </row>
    <row r="495" spans="2:4" ht="14" thickBot="1" x14ac:dyDescent="0.2">
      <c r="B495" s="251">
        <v>42999</v>
      </c>
      <c r="C495" s="451">
        <v>32370.04</v>
      </c>
      <c r="D495" s="261">
        <f t="shared" si="7"/>
        <v>9.41302513064457E-4</v>
      </c>
    </row>
    <row r="496" spans="2:4" ht="14" thickBot="1" x14ac:dyDescent="0.2">
      <c r="B496" s="251">
        <v>43000</v>
      </c>
      <c r="C496" s="451">
        <v>31922.44</v>
      </c>
      <c r="D496" s="261">
        <f t="shared" si="7"/>
        <v>1.4021484573234488E-2</v>
      </c>
    </row>
    <row r="497" spans="2:4" ht="14" thickBot="1" x14ac:dyDescent="0.2">
      <c r="B497" s="251">
        <v>43003</v>
      </c>
      <c r="C497" s="451">
        <v>31626.63</v>
      </c>
      <c r="D497" s="261">
        <f t="shared" si="7"/>
        <v>9.353193811670657E-3</v>
      </c>
    </row>
    <row r="498" spans="2:4" ht="14" thickBot="1" x14ac:dyDescent="0.2">
      <c r="B498" s="251">
        <v>43004</v>
      </c>
      <c r="C498" s="451">
        <v>31599.759999999998</v>
      </c>
      <c r="D498" s="261">
        <f t="shared" si="7"/>
        <v>8.5032291384501413E-4</v>
      </c>
    </row>
    <row r="499" spans="2:4" ht="14" thickBot="1" x14ac:dyDescent="0.2">
      <c r="B499" s="251">
        <v>43005</v>
      </c>
      <c r="C499" s="451">
        <v>31159.81</v>
      </c>
      <c r="D499" s="261">
        <f t="shared" si="7"/>
        <v>1.4119148993527064E-2</v>
      </c>
    </row>
    <row r="500" spans="2:4" ht="14" thickBot="1" x14ac:dyDescent="0.2">
      <c r="B500" s="251">
        <v>43006</v>
      </c>
      <c r="C500" s="451">
        <v>31282.48</v>
      </c>
      <c r="D500" s="261">
        <f t="shared" si="7"/>
        <v>-3.9213642908106916E-3</v>
      </c>
    </row>
    <row r="501" spans="2:4" ht="14" thickBot="1" x14ac:dyDescent="0.2">
      <c r="B501" s="251">
        <v>43007</v>
      </c>
      <c r="C501" s="451">
        <v>31283.72</v>
      </c>
      <c r="D501" s="261">
        <f t="shared" si="7"/>
        <v>-3.9637229843569877E-5</v>
      </c>
    </row>
    <row r="502" spans="2:4" ht="14" thickBot="1" x14ac:dyDescent="0.2">
      <c r="B502" s="251">
        <v>43011</v>
      </c>
      <c r="C502" s="451">
        <v>31497.38</v>
      </c>
      <c r="D502" s="261">
        <f t="shared" si="7"/>
        <v>-6.7834213512362185E-3</v>
      </c>
    </row>
    <row r="503" spans="2:4" ht="14" thickBot="1" x14ac:dyDescent="0.2">
      <c r="B503" s="251">
        <v>43012</v>
      </c>
      <c r="C503" s="451">
        <v>31671.71</v>
      </c>
      <c r="D503" s="261">
        <f t="shared" si="7"/>
        <v>-5.5042812655204942E-3</v>
      </c>
    </row>
    <row r="504" spans="2:4" ht="14" thickBot="1" x14ac:dyDescent="0.2">
      <c r="B504" s="251">
        <v>43013</v>
      </c>
      <c r="C504" s="451">
        <v>31592.03</v>
      </c>
      <c r="D504" s="261">
        <f t="shared" si="7"/>
        <v>2.5221551131724418E-3</v>
      </c>
    </row>
    <row r="505" spans="2:4" ht="14" thickBot="1" x14ac:dyDescent="0.2">
      <c r="B505" s="251">
        <v>43014</v>
      </c>
      <c r="C505" s="451">
        <v>31814.22</v>
      </c>
      <c r="D505" s="261">
        <f t="shared" si="7"/>
        <v>-6.9839838914800279E-3</v>
      </c>
    </row>
    <row r="506" spans="2:4" ht="14" thickBot="1" x14ac:dyDescent="0.2">
      <c r="B506" s="251">
        <v>43017</v>
      </c>
      <c r="C506" s="451">
        <v>31846.89</v>
      </c>
      <c r="D506" s="261">
        <f t="shared" si="7"/>
        <v>-1.0258458518240809E-3</v>
      </c>
    </row>
    <row r="507" spans="2:4" ht="14" thickBot="1" x14ac:dyDescent="0.2">
      <c r="B507" s="251">
        <v>43018</v>
      </c>
      <c r="C507" s="451">
        <v>31924.41</v>
      </c>
      <c r="D507" s="261">
        <f t="shared" si="7"/>
        <v>-2.4282359486048621E-3</v>
      </c>
    </row>
    <row r="508" spans="2:4" ht="14" thickBot="1" x14ac:dyDescent="0.2">
      <c r="B508" s="251">
        <v>43019</v>
      </c>
      <c r="C508" s="451">
        <v>31833.99</v>
      </c>
      <c r="D508" s="261">
        <f t="shared" si="7"/>
        <v>2.8403602564428532E-3</v>
      </c>
    </row>
    <row r="509" spans="2:4" ht="14" thickBot="1" x14ac:dyDescent="0.2">
      <c r="B509" s="251">
        <v>43020</v>
      </c>
      <c r="C509" s="451">
        <v>32182.22</v>
      </c>
      <c r="D509" s="261">
        <f t="shared" si="7"/>
        <v>-1.0820571110383259E-2</v>
      </c>
    </row>
    <row r="510" spans="2:4" ht="14" thickBot="1" x14ac:dyDescent="0.2">
      <c r="B510" s="251">
        <v>43021</v>
      </c>
      <c r="C510" s="451">
        <v>32432.69</v>
      </c>
      <c r="D510" s="261">
        <f t="shared" si="7"/>
        <v>-7.7227636683850909E-3</v>
      </c>
    </row>
    <row r="511" spans="2:4" ht="14" thickBot="1" x14ac:dyDescent="0.2">
      <c r="B511" s="251">
        <v>43024</v>
      </c>
      <c r="C511" s="451">
        <v>32633.64</v>
      </c>
      <c r="D511" s="261">
        <f t="shared" si="7"/>
        <v>-6.157756229461353E-3</v>
      </c>
    </row>
    <row r="512" spans="2:4" ht="14" thickBot="1" x14ac:dyDescent="0.2">
      <c r="B512" s="251">
        <v>43025</v>
      </c>
      <c r="C512" s="451">
        <v>32609.16</v>
      </c>
      <c r="D512" s="261">
        <f t="shared" si="7"/>
        <v>7.5070930989951101E-4</v>
      </c>
    </row>
    <row r="513" spans="2:4" ht="14" thickBot="1" x14ac:dyDescent="0.2">
      <c r="B513" s="251">
        <v>43026</v>
      </c>
      <c r="C513" s="451">
        <v>32584.35</v>
      </c>
      <c r="D513" s="261">
        <f t="shared" si="7"/>
        <v>7.6140846756200808E-4</v>
      </c>
    </row>
    <row r="514" spans="2:4" ht="14" thickBot="1" x14ac:dyDescent="0.2">
      <c r="B514" s="251">
        <v>43027</v>
      </c>
      <c r="C514" s="451">
        <v>32389.96</v>
      </c>
      <c r="D514" s="261">
        <f t="shared" si="7"/>
        <v>6.0015510979327669E-3</v>
      </c>
    </row>
    <row r="515" spans="2:4" ht="14" thickBot="1" x14ac:dyDescent="0.2">
      <c r="B515" s="251">
        <v>43031</v>
      </c>
      <c r="C515" s="451">
        <v>32506.720000000001</v>
      </c>
      <c r="D515" s="261">
        <f t="shared" si="7"/>
        <v>-3.5918726958611424E-3</v>
      </c>
    </row>
    <row r="516" spans="2:4" ht="14" thickBot="1" x14ac:dyDescent="0.2">
      <c r="B516" s="251">
        <v>43032</v>
      </c>
      <c r="C516" s="451">
        <v>32607.34</v>
      </c>
      <c r="D516" s="261">
        <f t="shared" si="7"/>
        <v>-3.0858082873365111E-3</v>
      </c>
    </row>
    <row r="517" spans="2:4" ht="14" thickBot="1" x14ac:dyDescent="0.2">
      <c r="B517" s="251">
        <v>43033</v>
      </c>
      <c r="C517" s="451">
        <v>33042.5</v>
      </c>
      <c r="D517" s="261">
        <f t="shared" si="7"/>
        <v>-1.3169705682076094E-2</v>
      </c>
    </row>
    <row r="518" spans="2:4" ht="14" thickBot="1" x14ac:dyDescent="0.2">
      <c r="B518" s="251">
        <v>43034</v>
      </c>
      <c r="C518" s="451">
        <v>33147.129999999997</v>
      </c>
      <c r="D518" s="261">
        <f t="shared" si="7"/>
        <v>-3.1565327073564964E-3</v>
      </c>
    </row>
    <row r="519" spans="2:4" ht="14" thickBot="1" x14ac:dyDescent="0.2">
      <c r="B519" s="251">
        <v>43035</v>
      </c>
      <c r="C519" s="451">
        <v>33157.22</v>
      </c>
      <c r="D519" s="261">
        <f t="shared" si="7"/>
        <v>-3.0430777972345613E-4</v>
      </c>
    </row>
    <row r="520" spans="2:4" ht="14" thickBot="1" x14ac:dyDescent="0.2">
      <c r="B520" s="251">
        <v>43038</v>
      </c>
      <c r="C520" s="451">
        <v>33266.160000000003</v>
      </c>
      <c r="D520" s="261">
        <f t="shared" si="7"/>
        <v>-3.2747993757019644E-3</v>
      </c>
    </row>
    <row r="521" spans="2:4" ht="14" thickBot="1" x14ac:dyDescent="0.2">
      <c r="B521" s="251">
        <v>43039</v>
      </c>
      <c r="C521" s="451">
        <v>33213.129999999997</v>
      </c>
      <c r="D521" s="261">
        <f t="shared" si="7"/>
        <v>1.5966577073587285E-3</v>
      </c>
    </row>
    <row r="522" spans="2:4" ht="14" thickBot="1" x14ac:dyDescent="0.2">
      <c r="B522" s="251">
        <v>43040</v>
      </c>
      <c r="C522" s="451">
        <v>33600.269999999997</v>
      </c>
      <c r="D522" s="261">
        <f t="shared" ref="D522:D585" si="8">C521/C522-1</f>
        <v>-1.1521931222576498E-2</v>
      </c>
    </row>
    <row r="523" spans="2:4" ht="14" thickBot="1" x14ac:dyDescent="0.2">
      <c r="B523" s="251">
        <v>43041</v>
      </c>
      <c r="C523" s="451">
        <v>33573.22</v>
      </c>
      <c r="D523" s="261">
        <f t="shared" si="8"/>
        <v>8.0570168723759217E-4</v>
      </c>
    </row>
    <row r="524" spans="2:4" ht="14" thickBot="1" x14ac:dyDescent="0.2">
      <c r="B524" s="251">
        <v>43042</v>
      </c>
      <c r="C524" s="451">
        <v>33685.56</v>
      </c>
      <c r="D524" s="261">
        <f t="shared" si="8"/>
        <v>-3.3349601431591491E-3</v>
      </c>
    </row>
    <row r="525" spans="2:4" ht="14" thickBot="1" x14ac:dyDescent="0.2">
      <c r="B525" s="251">
        <v>43045</v>
      </c>
      <c r="C525" s="451">
        <v>33731.19</v>
      </c>
      <c r="D525" s="261">
        <f t="shared" si="8"/>
        <v>-1.352753934859785E-3</v>
      </c>
    </row>
    <row r="526" spans="2:4" ht="14" thickBot="1" x14ac:dyDescent="0.2">
      <c r="B526" s="251">
        <v>43046</v>
      </c>
      <c r="C526" s="451">
        <v>33370.76</v>
      </c>
      <c r="D526" s="261">
        <f t="shared" si="8"/>
        <v>1.0800772892196608E-2</v>
      </c>
    </row>
    <row r="527" spans="2:4" ht="14" thickBot="1" x14ac:dyDescent="0.2">
      <c r="B527" s="251">
        <v>43047</v>
      </c>
      <c r="C527" s="451">
        <v>33218.81</v>
      </c>
      <c r="D527" s="261">
        <f t="shared" si="8"/>
        <v>4.5742156326491479E-3</v>
      </c>
    </row>
    <row r="528" spans="2:4" ht="14" thickBot="1" x14ac:dyDescent="0.2">
      <c r="B528" s="251">
        <v>43048</v>
      </c>
      <c r="C528" s="451">
        <v>33250.93</v>
      </c>
      <c r="D528" s="261">
        <f t="shared" si="8"/>
        <v>-9.6598801898184483E-4</v>
      </c>
    </row>
    <row r="529" spans="2:4" ht="14" thickBot="1" x14ac:dyDescent="0.2">
      <c r="B529" s="251">
        <v>43049</v>
      </c>
      <c r="C529" s="451">
        <v>33314.559999999998</v>
      </c>
      <c r="D529" s="261">
        <f t="shared" si="8"/>
        <v>-1.9099756983131932E-3</v>
      </c>
    </row>
    <row r="530" spans="2:4" ht="14" thickBot="1" x14ac:dyDescent="0.2">
      <c r="B530" s="251">
        <v>43052</v>
      </c>
      <c r="C530" s="451">
        <v>33033.56</v>
      </c>
      <c r="D530" s="261">
        <f t="shared" si="8"/>
        <v>8.5065006617512928E-3</v>
      </c>
    </row>
    <row r="531" spans="2:4" ht="14" thickBot="1" x14ac:dyDescent="0.2">
      <c r="B531" s="251">
        <v>43053</v>
      </c>
      <c r="C531" s="451">
        <v>32941.870000000003</v>
      </c>
      <c r="D531" s="261">
        <f t="shared" si="8"/>
        <v>2.7833878283167746E-3</v>
      </c>
    </row>
    <row r="532" spans="2:4" ht="14" thickBot="1" x14ac:dyDescent="0.2">
      <c r="B532" s="251">
        <v>43054</v>
      </c>
      <c r="C532" s="451">
        <v>32760.44</v>
      </c>
      <c r="D532" s="261">
        <f t="shared" si="8"/>
        <v>5.5380819061039421E-3</v>
      </c>
    </row>
    <row r="533" spans="2:4" ht="14" thickBot="1" x14ac:dyDescent="0.2">
      <c r="B533" s="251">
        <v>43055</v>
      </c>
      <c r="C533" s="451">
        <v>33106.82</v>
      </c>
      <c r="D533" s="261">
        <f t="shared" si="8"/>
        <v>-1.046249685110201E-2</v>
      </c>
    </row>
    <row r="534" spans="2:4" ht="14" thickBot="1" x14ac:dyDescent="0.2">
      <c r="B534" s="251">
        <v>43056</v>
      </c>
      <c r="C534" s="451">
        <v>33342.800000000003</v>
      </c>
      <c r="D534" s="261">
        <f t="shared" si="8"/>
        <v>-7.0773900212340868E-3</v>
      </c>
    </row>
    <row r="535" spans="2:4" ht="14" thickBot="1" x14ac:dyDescent="0.2">
      <c r="B535" s="251">
        <v>43059</v>
      </c>
      <c r="C535" s="451">
        <v>33359.9</v>
      </c>
      <c r="D535" s="261">
        <f t="shared" si="8"/>
        <v>-5.1259146460269633E-4</v>
      </c>
    </row>
    <row r="536" spans="2:4" ht="14" thickBot="1" x14ac:dyDescent="0.2">
      <c r="B536" s="251">
        <v>43060</v>
      </c>
      <c r="C536" s="451">
        <v>33478.35</v>
      </c>
      <c r="D536" s="261">
        <f t="shared" si="8"/>
        <v>-3.5381074634800447E-3</v>
      </c>
    </row>
    <row r="537" spans="2:4" ht="14" thickBot="1" x14ac:dyDescent="0.2">
      <c r="B537" s="251">
        <v>43061</v>
      </c>
      <c r="C537" s="451">
        <v>33561.550000000003</v>
      </c>
      <c r="D537" s="261">
        <f t="shared" si="8"/>
        <v>-2.4790273393214823E-3</v>
      </c>
    </row>
    <row r="538" spans="2:4" ht="14" thickBot="1" x14ac:dyDescent="0.2">
      <c r="B538" s="251">
        <v>43062</v>
      </c>
      <c r="C538" s="451">
        <v>33588.080000000002</v>
      </c>
      <c r="D538" s="261">
        <f t="shared" si="8"/>
        <v>-7.8986354682963889E-4</v>
      </c>
    </row>
    <row r="539" spans="2:4" ht="14" thickBot="1" x14ac:dyDescent="0.2">
      <c r="B539" s="251">
        <v>43063</v>
      </c>
      <c r="C539" s="451">
        <v>33679.24</v>
      </c>
      <c r="D539" s="261">
        <f t="shared" si="8"/>
        <v>-2.7067119091760405E-3</v>
      </c>
    </row>
    <row r="540" spans="2:4" ht="14" thickBot="1" x14ac:dyDescent="0.2">
      <c r="B540" s="251">
        <v>43066</v>
      </c>
      <c r="C540" s="451">
        <v>33724.44</v>
      </c>
      <c r="D540" s="261">
        <f t="shared" si="8"/>
        <v>-1.3402742936577949E-3</v>
      </c>
    </row>
    <row r="541" spans="2:4" ht="14" thickBot="1" x14ac:dyDescent="0.2">
      <c r="B541" s="251">
        <v>43067</v>
      </c>
      <c r="C541" s="451">
        <v>33618.589999999997</v>
      </c>
      <c r="D541" s="261">
        <f t="shared" si="8"/>
        <v>3.1485556056933817E-3</v>
      </c>
    </row>
    <row r="542" spans="2:4" ht="14" thickBot="1" x14ac:dyDescent="0.2">
      <c r="B542" s="251">
        <v>43068</v>
      </c>
      <c r="C542" s="451">
        <v>33602.76</v>
      </c>
      <c r="D542" s="261">
        <f t="shared" si="8"/>
        <v>4.7109225551689171E-4</v>
      </c>
    </row>
    <row r="543" spans="2:4" ht="14" thickBot="1" x14ac:dyDescent="0.2">
      <c r="B543" s="251">
        <v>43069</v>
      </c>
      <c r="C543" s="451">
        <v>33149.35</v>
      </c>
      <c r="D543" s="261">
        <f t="shared" si="8"/>
        <v>1.3677794587224179E-2</v>
      </c>
    </row>
    <row r="544" spans="2:4" ht="14" thickBot="1" x14ac:dyDescent="0.2">
      <c r="B544" s="251">
        <v>43070</v>
      </c>
      <c r="C544" s="451">
        <v>32832.94</v>
      </c>
      <c r="D544" s="261">
        <f t="shared" si="8"/>
        <v>9.6369682398225187E-3</v>
      </c>
    </row>
    <row r="545" spans="2:4" ht="14" thickBot="1" x14ac:dyDescent="0.2">
      <c r="B545" s="251">
        <v>43073</v>
      </c>
      <c r="C545" s="451">
        <v>32869.72</v>
      </c>
      <c r="D545" s="261">
        <f t="shared" si="8"/>
        <v>-1.1189629847774274E-3</v>
      </c>
    </row>
    <row r="546" spans="2:4" ht="14" thickBot="1" x14ac:dyDescent="0.2">
      <c r="B546" s="251">
        <v>43074</v>
      </c>
      <c r="C546" s="451">
        <v>32802.44</v>
      </c>
      <c r="D546" s="261">
        <f t="shared" si="8"/>
        <v>2.0510669328257514E-3</v>
      </c>
    </row>
    <row r="547" spans="2:4" ht="14" thickBot="1" x14ac:dyDescent="0.2">
      <c r="B547" s="251">
        <v>43075</v>
      </c>
      <c r="C547" s="451">
        <v>32597.18</v>
      </c>
      <c r="D547" s="261">
        <f t="shared" si="8"/>
        <v>6.2968637164320107E-3</v>
      </c>
    </row>
    <row r="548" spans="2:4" ht="14" thickBot="1" x14ac:dyDescent="0.2">
      <c r="B548" s="251">
        <v>43076</v>
      </c>
      <c r="C548" s="451">
        <v>32949.21</v>
      </c>
      <c r="D548" s="261">
        <f t="shared" si="8"/>
        <v>-1.0684019434760272E-2</v>
      </c>
    </row>
    <row r="549" spans="2:4" ht="14" thickBot="1" x14ac:dyDescent="0.2">
      <c r="B549" s="251">
        <v>43077</v>
      </c>
      <c r="C549" s="451">
        <v>33250.300000000003</v>
      </c>
      <c r="D549" s="261">
        <f t="shared" si="8"/>
        <v>-9.0552566443010685E-3</v>
      </c>
    </row>
    <row r="550" spans="2:4" ht="14" thickBot="1" x14ac:dyDescent="0.2">
      <c r="B550" s="251">
        <v>43080</v>
      </c>
      <c r="C550" s="451">
        <v>33455.79</v>
      </c>
      <c r="D550" s="261">
        <f t="shared" si="8"/>
        <v>-6.1421356363128288E-3</v>
      </c>
    </row>
    <row r="551" spans="2:4" ht="14" thickBot="1" x14ac:dyDescent="0.2">
      <c r="B551" s="251">
        <v>43081</v>
      </c>
      <c r="C551" s="451">
        <v>33227.99</v>
      </c>
      <c r="D551" s="261">
        <f t="shared" si="8"/>
        <v>6.8556659611369586E-3</v>
      </c>
    </row>
    <row r="552" spans="2:4" ht="14" thickBot="1" x14ac:dyDescent="0.2">
      <c r="B552" s="251">
        <v>43082</v>
      </c>
      <c r="C552" s="451">
        <v>33053.040000000001</v>
      </c>
      <c r="D552" s="261">
        <f t="shared" si="8"/>
        <v>5.2930078443615969E-3</v>
      </c>
    </row>
    <row r="553" spans="2:4" ht="14" thickBot="1" x14ac:dyDescent="0.2">
      <c r="B553" s="251">
        <v>43083</v>
      </c>
      <c r="C553" s="451">
        <v>33246.699999999997</v>
      </c>
      <c r="D553" s="261">
        <f t="shared" si="8"/>
        <v>-5.8249390165038273E-3</v>
      </c>
    </row>
    <row r="554" spans="2:4" ht="14" thickBot="1" x14ac:dyDescent="0.2">
      <c r="B554" s="251">
        <v>43084</v>
      </c>
      <c r="C554" s="451">
        <v>33462.97</v>
      </c>
      <c r="D554" s="261">
        <f t="shared" si="8"/>
        <v>-6.4629648832725817E-3</v>
      </c>
    </row>
    <row r="555" spans="2:4" ht="14" thickBot="1" x14ac:dyDescent="0.2">
      <c r="B555" s="251">
        <v>43087</v>
      </c>
      <c r="C555" s="451">
        <v>33601.68</v>
      </c>
      <c r="D555" s="261">
        <f t="shared" si="8"/>
        <v>-4.1280674061534572E-3</v>
      </c>
    </row>
    <row r="556" spans="2:4" ht="14" thickBot="1" x14ac:dyDescent="0.2">
      <c r="B556" s="251">
        <v>43088</v>
      </c>
      <c r="C556" s="451">
        <v>33836.74</v>
      </c>
      <c r="D556" s="261">
        <f t="shared" si="8"/>
        <v>-6.9468867272673984E-3</v>
      </c>
    </row>
    <row r="557" spans="2:4" ht="14" thickBot="1" x14ac:dyDescent="0.2">
      <c r="B557" s="251">
        <v>43089</v>
      </c>
      <c r="C557" s="451">
        <v>33777.379999999997</v>
      </c>
      <c r="D557" s="261">
        <f t="shared" si="8"/>
        <v>1.7573891166218214E-3</v>
      </c>
    </row>
    <row r="558" spans="2:4" ht="14" thickBot="1" x14ac:dyDescent="0.2">
      <c r="B558" s="251">
        <v>43090</v>
      </c>
      <c r="C558" s="451">
        <v>33756.28</v>
      </c>
      <c r="D558" s="261">
        <f t="shared" si="8"/>
        <v>6.2506887607272077E-4</v>
      </c>
    </row>
    <row r="559" spans="2:4" ht="14" thickBot="1" x14ac:dyDescent="0.2">
      <c r="B559" s="251">
        <v>43091</v>
      </c>
      <c r="C559" s="451">
        <v>33940.300000000003</v>
      </c>
      <c r="D559" s="261">
        <f t="shared" si="8"/>
        <v>-5.4218731124947572E-3</v>
      </c>
    </row>
    <row r="560" spans="2:4" ht="14" thickBot="1" x14ac:dyDescent="0.2">
      <c r="B560" s="251">
        <v>43095</v>
      </c>
      <c r="C560" s="451">
        <v>34010.61</v>
      </c>
      <c r="D560" s="261">
        <f t="shared" si="8"/>
        <v>-2.0672960584946498E-3</v>
      </c>
    </row>
    <row r="561" spans="2:4" ht="14" thickBot="1" x14ac:dyDescent="0.2">
      <c r="B561" s="251">
        <v>43096</v>
      </c>
      <c r="C561" s="451">
        <v>33911.81</v>
      </c>
      <c r="D561" s="261">
        <f t="shared" si="8"/>
        <v>2.9134393003500403E-3</v>
      </c>
    </row>
    <row r="562" spans="2:4" ht="14" thickBot="1" x14ac:dyDescent="0.2">
      <c r="B562" s="251">
        <v>43097</v>
      </c>
      <c r="C562" s="451">
        <v>33848.03</v>
      </c>
      <c r="D562" s="261">
        <f t="shared" si="8"/>
        <v>1.8843046404768415E-3</v>
      </c>
    </row>
    <row r="563" spans="2:4" ht="14" thickBot="1" x14ac:dyDescent="0.2">
      <c r="B563" s="251">
        <v>43098</v>
      </c>
      <c r="C563" s="451">
        <v>34056.83</v>
      </c>
      <c r="D563" s="261">
        <f t="shared" si="8"/>
        <v>-6.1309288034148146E-3</v>
      </c>
    </row>
    <row r="564" spans="2:4" ht="14" thickBot="1" x14ac:dyDescent="0.2">
      <c r="B564" s="251">
        <v>43101</v>
      </c>
      <c r="C564" s="451">
        <v>33812.75</v>
      </c>
      <c r="D564" s="261">
        <f t="shared" si="8"/>
        <v>7.2185787905449939E-3</v>
      </c>
    </row>
    <row r="565" spans="2:4" ht="14" thickBot="1" x14ac:dyDescent="0.2">
      <c r="B565" s="251">
        <v>43102</v>
      </c>
      <c r="C565" s="451">
        <v>33812.26</v>
      </c>
      <c r="D565" s="261">
        <f t="shared" si="8"/>
        <v>1.4491784932291196E-5</v>
      </c>
    </row>
    <row r="566" spans="2:4" ht="14" thickBot="1" x14ac:dyDescent="0.2">
      <c r="B566" s="251">
        <v>43103</v>
      </c>
      <c r="C566" s="451">
        <v>33793.379999999997</v>
      </c>
      <c r="D566" s="261">
        <f t="shared" si="8"/>
        <v>5.5868930542035677E-4</v>
      </c>
    </row>
    <row r="567" spans="2:4" ht="14" thickBot="1" x14ac:dyDescent="0.2">
      <c r="B567" s="251">
        <v>43104</v>
      </c>
      <c r="C567" s="451">
        <v>33969.64</v>
      </c>
      <c r="D567" s="261">
        <f t="shared" si="8"/>
        <v>-5.1887508963887052E-3</v>
      </c>
    </row>
    <row r="568" spans="2:4" ht="14" thickBot="1" x14ac:dyDescent="0.2">
      <c r="B568" s="251">
        <v>43105</v>
      </c>
      <c r="C568" s="451">
        <v>34153.85</v>
      </c>
      <c r="D568" s="261">
        <f t="shared" si="8"/>
        <v>-5.3935354286559489E-3</v>
      </c>
    </row>
    <row r="569" spans="2:4" ht="14" thickBot="1" x14ac:dyDescent="0.2">
      <c r="B569" s="251">
        <v>43108</v>
      </c>
      <c r="C569" s="451">
        <v>34352.79</v>
      </c>
      <c r="D569" s="261">
        <f t="shared" si="8"/>
        <v>-5.7910871285855592E-3</v>
      </c>
    </row>
    <row r="570" spans="2:4" ht="14" thickBot="1" x14ac:dyDescent="0.2">
      <c r="B570" s="251">
        <v>43109</v>
      </c>
      <c r="C570" s="451">
        <v>34443.19</v>
      </c>
      <c r="D570" s="261">
        <f t="shared" si="8"/>
        <v>-2.6246117156977222E-3</v>
      </c>
    </row>
    <row r="571" spans="2:4" ht="14" thickBot="1" x14ac:dyDescent="0.2">
      <c r="B571" s="251">
        <v>43110</v>
      </c>
      <c r="C571" s="451">
        <v>34433.07</v>
      </c>
      <c r="D571" s="261">
        <f t="shared" si="8"/>
        <v>2.9390350613534011E-4</v>
      </c>
    </row>
    <row r="572" spans="2:4" ht="14" thickBot="1" x14ac:dyDescent="0.2">
      <c r="B572" s="251">
        <v>43111</v>
      </c>
      <c r="C572" s="451">
        <v>34503.49</v>
      </c>
      <c r="D572" s="261">
        <f t="shared" si="8"/>
        <v>-2.0409529586716824E-3</v>
      </c>
    </row>
    <row r="573" spans="2:4" ht="14" thickBot="1" x14ac:dyDescent="0.2">
      <c r="B573" s="251">
        <v>43112</v>
      </c>
      <c r="C573" s="451">
        <v>34592.39</v>
      </c>
      <c r="D573" s="261">
        <f t="shared" si="8"/>
        <v>-2.5699293977664572E-3</v>
      </c>
    </row>
    <row r="574" spans="2:4" ht="14" thickBot="1" x14ac:dyDescent="0.2">
      <c r="B574" s="251">
        <v>43115</v>
      </c>
      <c r="C574" s="451">
        <v>34843.51</v>
      </c>
      <c r="D574" s="261">
        <f t="shared" si="8"/>
        <v>-7.2070810317330647E-3</v>
      </c>
    </row>
    <row r="575" spans="2:4" ht="14" thickBot="1" x14ac:dyDescent="0.2">
      <c r="B575" s="251">
        <v>43116</v>
      </c>
      <c r="C575" s="451">
        <v>34771.050000000003</v>
      </c>
      <c r="D575" s="261">
        <f t="shared" si="8"/>
        <v>2.0839175118381181E-3</v>
      </c>
    </row>
    <row r="576" spans="2:4" ht="14" thickBot="1" x14ac:dyDescent="0.2">
      <c r="B576" s="251">
        <v>43117</v>
      </c>
      <c r="C576" s="451">
        <v>35081.82</v>
      </c>
      <c r="D576" s="261">
        <f t="shared" si="8"/>
        <v>-8.858434368570256E-3</v>
      </c>
    </row>
    <row r="577" spans="2:4" ht="14" thickBot="1" x14ac:dyDescent="0.2">
      <c r="B577" s="251">
        <v>43118</v>
      </c>
      <c r="C577" s="451">
        <v>35260.29</v>
      </c>
      <c r="D577" s="261">
        <f t="shared" si="8"/>
        <v>-5.0615011958211609E-3</v>
      </c>
    </row>
    <row r="578" spans="2:4" ht="14" thickBot="1" x14ac:dyDescent="0.2">
      <c r="B578" s="251">
        <v>43119</v>
      </c>
      <c r="C578" s="451">
        <v>35511.58</v>
      </c>
      <c r="D578" s="261">
        <f t="shared" si="8"/>
        <v>-7.0762832856212654E-3</v>
      </c>
    </row>
    <row r="579" spans="2:4" ht="14" thickBot="1" x14ac:dyDescent="0.2">
      <c r="B579" s="251">
        <v>43122</v>
      </c>
      <c r="C579" s="451">
        <v>35798.01</v>
      </c>
      <c r="D579" s="261">
        <f t="shared" si="8"/>
        <v>-8.0012827528681552E-3</v>
      </c>
    </row>
    <row r="580" spans="2:4" ht="14" thickBot="1" x14ac:dyDescent="0.2">
      <c r="B580" s="251">
        <v>43123</v>
      </c>
      <c r="C580" s="451">
        <v>36139.980000000003</v>
      </c>
      <c r="D580" s="261">
        <f t="shared" si="8"/>
        <v>-9.4623738031952564E-3</v>
      </c>
    </row>
    <row r="581" spans="2:4" ht="14" thickBot="1" x14ac:dyDescent="0.2">
      <c r="B581" s="251">
        <v>43124</v>
      </c>
      <c r="C581" s="451">
        <v>36161.64</v>
      </c>
      <c r="D581" s="261">
        <f t="shared" si="8"/>
        <v>-5.989772587746689E-4</v>
      </c>
    </row>
    <row r="582" spans="2:4" ht="14" thickBot="1" x14ac:dyDescent="0.2">
      <c r="B582" s="251">
        <v>43125</v>
      </c>
      <c r="C582" s="451">
        <v>36050.44</v>
      </c>
      <c r="D582" s="261">
        <f t="shared" si="8"/>
        <v>3.0845670676973302E-3</v>
      </c>
    </row>
    <row r="583" spans="2:4" ht="14" thickBot="1" x14ac:dyDescent="0.2">
      <c r="B583" s="251">
        <v>43129</v>
      </c>
      <c r="C583" s="451">
        <v>36283.25</v>
      </c>
      <c r="D583" s="261">
        <f t="shared" si="8"/>
        <v>-6.4164593855290386E-3</v>
      </c>
    </row>
    <row r="584" spans="2:4" ht="14" thickBot="1" x14ac:dyDescent="0.2">
      <c r="B584" s="251">
        <v>43130</v>
      </c>
      <c r="C584" s="451">
        <v>36033.730000000003</v>
      </c>
      <c r="D584" s="261">
        <f t="shared" si="8"/>
        <v>6.9246231239452616E-3</v>
      </c>
    </row>
    <row r="585" spans="2:4" ht="14" thickBot="1" x14ac:dyDescent="0.2">
      <c r="B585" s="251">
        <v>43131</v>
      </c>
      <c r="C585" s="451">
        <v>35965.019999999997</v>
      </c>
      <c r="D585" s="261">
        <f t="shared" si="8"/>
        <v>1.9104674486489781E-3</v>
      </c>
    </row>
    <row r="586" spans="2:4" ht="14" thickBot="1" x14ac:dyDescent="0.2">
      <c r="B586" s="251">
        <v>43132</v>
      </c>
      <c r="C586" s="451">
        <v>35906.660000000003</v>
      </c>
      <c r="D586" s="261">
        <f t="shared" ref="D586:D649" si="9">C585/C586-1</f>
        <v>1.6253252182183431E-3</v>
      </c>
    </row>
    <row r="587" spans="2:4" ht="14" thickBot="1" x14ac:dyDescent="0.2">
      <c r="B587" s="251">
        <v>43133</v>
      </c>
      <c r="C587" s="451">
        <v>35066.75</v>
      </c>
      <c r="D587" s="261">
        <f t="shared" si="9"/>
        <v>2.3951749164094371E-2</v>
      </c>
    </row>
    <row r="588" spans="2:4" ht="14" thickBot="1" x14ac:dyDescent="0.2">
      <c r="B588" s="251">
        <v>43136</v>
      </c>
      <c r="C588" s="451">
        <v>34757.160000000003</v>
      </c>
      <c r="D588" s="261">
        <f t="shared" si="9"/>
        <v>8.9072294744447778E-3</v>
      </c>
    </row>
    <row r="589" spans="2:4" ht="14" thickBot="1" x14ac:dyDescent="0.2">
      <c r="B589" s="251">
        <v>43137</v>
      </c>
      <c r="C589" s="451">
        <v>34195.94</v>
      </c>
      <c r="D589" s="261">
        <f t="shared" si="9"/>
        <v>1.6411889832535609E-2</v>
      </c>
    </row>
    <row r="590" spans="2:4" ht="14" thickBot="1" x14ac:dyDescent="0.2">
      <c r="B590" s="251">
        <v>43138</v>
      </c>
      <c r="C590" s="451">
        <v>34082.71</v>
      </c>
      <c r="D590" s="261">
        <f t="shared" si="9"/>
        <v>3.3222123475511456E-3</v>
      </c>
    </row>
    <row r="591" spans="2:4" ht="14" thickBot="1" x14ac:dyDescent="0.2">
      <c r="B591" s="251">
        <v>43139</v>
      </c>
      <c r="C591" s="451">
        <v>34413.160000000003</v>
      </c>
      <c r="D591" s="261">
        <f t="shared" si="9"/>
        <v>-9.6024311629622217E-3</v>
      </c>
    </row>
    <row r="592" spans="2:4" ht="14" thickBot="1" x14ac:dyDescent="0.2">
      <c r="B592" s="251">
        <v>43140</v>
      </c>
      <c r="C592" s="451">
        <v>34005.760000000002</v>
      </c>
      <c r="D592" s="261">
        <f t="shared" si="9"/>
        <v>1.1980323333458776E-2</v>
      </c>
    </row>
    <row r="593" spans="2:4" ht="14" thickBot="1" x14ac:dyDescent="0.2">
      <c r="B593" s="251">
        <v>43143</v>
      </c>
      <c r="C593" s="451">
        <v>34300.47</v>
      </c>
      <c r="D593" s="261">
        <f t="shared" si="9"/>
        <v>-8.5920105467942598E-3</v>
      </c>
    </row>
    <row r="594" spans="2:4" ht="14" thickBot="1" x14ac:dyDescent="0.2">
      <c r="B594" s="251">
        <v>43145</v>
      </c>
      <c r="C594" s="451">
        <v>34155.949999999997</v>
      </c>
      <c r="D594" s="261">
        <f t="shared" si="9"/>
        <v>4.2311808045158994E-3</v>
      </c>
    </row>
    <row r="595" spans="2:4" ht="14" thickBot="1" x14ac:dyDescent="0.2">
      <c r="B595" s="251">
        <v>43146</v>
      </c>
      <c r="C595" s="451">
        <v>34297.47</v>
      </c>
      <c r="D595" s="261">
        <f t="shared" si="9"/>
        <v>-4.1262518780540436E-3</v>
      </c>
    </row>
    <row r="596" spans="2:4" ht="14" thickBot="1" x14ac:dyDescent="0.2">
      <c r="B596" s="251">
        <v>43147</v>
      </c>
      <c r="C596" s="451">
        <v>34010.76</v>
      </c>
      <c r="D596" s="261">
        <f t="shared" si="9"/>
        <v>8.4299792183415434E-3</v>
      </c>
    </row>
    <row r="597" spans="2:4" ht="14" thickBot="1" x14ac:dyDescent="0.2">
      <c r="B597" s="251">
        <v>43150</v>
      </c>
      <c r="C597" s="451">
        <v>33774.660000000003</v>
      </c>
      <c r="D597" s="261">
        <f t="shared" si="9"/>
        <v>6.9904478683131543E-3</v>
      </c>
    </row>
    <row r="598" spans="2:4" ht="14" thickBot="1" x14ac:dyDescent="0.2">
      <c r="B598" s="251">
        <v>43151</v>
      </c>
      <c r="C598" s="451">
        <v>33703.589999999997</v>
      </c>
      <c r="D598" s="261">
        <f t="shared" si="9"/>
        <v>2.1086774435603584E-3</v>
      </c>
    </row>
    <row r="599" spans="2:4" ht="14" thickBot="1" x14ac:dyDescent="0.2">
      <c r="B599" s="251">
        <v>43152</v>
      </c>
      <c r="C599" s="451">
        <v>33844.86</v>
      </c>
      <c r="D599" s="261">
        <f t="shared" si="9"/>
        <v>-4.1740459260284357E-3</v>
      </c>
    </row>
    <row r="600" spans="2:4" ht="14" thickBot="1" x14ac:dyDescent="0.2">
      <c r="B600" s="251">
        <v>43153</v>
      </c>
      <c r="C600" s="451">
        <v>33819.5</v>
      </c>
      <c r="D600" s="261">
        <f t="shared" si="9"/>
        <v>7.4986324457793074E-4</v>
      </c>
    </row>
    <row r="601" spans="2:4" ht="14" thickBot="1" x14ac:dyDescent="0.2">
      <c r="B601" s="251">
        <v>43154</v>
      </c>
      <c r="C601" s="451">
        <v>34142.15</v>
      </c>
      <c r="D601" s="261">
        <f t="shared" si="9"/>
        <v>-9.4501957258110725E-3</v>
      </c>
    </row>
    <row r="602" spans="2:4" ht="14" thickBot="1" x14ac:dyDescent="0.2">
      <c r="B602" s="251">
        <v>43157</v>
      </c>
      <c r="C602" s="451">
        <v>34445.75</v>
      </c>
      <c r="D602" s="261">
        <f t="shared" si="9"/>
        <v>-8.8138594746811627E-3</v>
      </c>
    </row>
    <row r="603" spans="2:4" ht="14" thickBot="1" x14ac:dyDescent="0.2">
      <c r="B603" s="251">
        <v>43158</v>
      </c>
      <c r="C603" s="451">
        <v>34346.39</v>
      </c>
      <c r="D603" s="261">
        <f t="shared" si="9"/>
        <v>2.8928804453685064E-3</v>
      </c>
    </row>
    <row r="604" spans="2:4" ht="14" thickBot="1" x14ac:dyDescent="0.2">
      <c r="B604" s="251">
        <v>43159</v>
      </c>
      <c r="C604" s="451">
        <v>34184.04</v>
      </c>
      <c r="D604" s="261">
        <f t="shared" si="9"/>
        <v>4.7492923598264625E-3</v>
      </c>
    </row>
    <row r="605" spans="2:4" ht="14" thickBot="1" x14ac:dyDescent="0.2">
      <c r="B605" s="251">
        <v>43160</v>
      </c>
      <c r="C605" s="451">
        <v>34046.94</v>
      </c>
      <c r="D605" s="261">
        <f t="shared" si="9"/>
        <v>4.0267935973099522E-3</v>
      </c>
    </row>
    <row r="606" spans="2:4" ht="14" thickBot="1" x14ac:dyDescent="0.2">
      <c r="B606" s="251">
        <v>43164</v>
      </c>
      <c r="C606" s="451">
        <v>33746.78</v>
      </c>
      <c r="D606" s="261">
        <f t="shared" si="9"/>
        <v>8.8944782287376789E-3</v>
      </c>
    </row>
    <row r="607" spans="2:4" ht="14" thickBot="1" x14ac:dyDescent="0.2">
      <c r="B607" s="251">
        <v>43165</v>
      </c>
      <c r="C607" s="451">
        <v>33317.199999999997</v>
      </c>
      <c r="D607" s="261">
        <f t="shared" si="9"/>
        <v>1.2893640522012806E-2</v>
      </c>
    </row>
    <row r="608" spans="2:4" ht="14" thickBot="1" x14ac:dyDescent="0.2">
      <c r="B608" s="251">
        <v>43166</v>
      </c>
      <c r="C608" s="451">
        <v>33033.089999999997</v>
      </c>
      <c r="D608" s="261">
        <f t="shared" si="9"/>
        <v>8.6007697130363603E-3</v>
      </c>
    </row>
    <row r="609" spans="2:4" ht="14" thickBot="1" x14ac:dyDescent="0.2">
      <c r="B609" s="251">
        <v>43167</v>
      </c>
      <c r="C609" s="451">
        <v>33351.57</v>
      </c>
      <c r="D609" s="261">
        <f t="shared" si="9"/>
        <v>-9.5491756460042154E-3</v>
      </c>
    </row>
    <row r="610" spans="2:4" ht="14" thickBot="1" x14ac:dyDescent="0.2">
      <c r="B610" s="251">
        <v>43168</v>
      </c>
      <c r="C610" s="451">
        <v>33307.14</v>
      </c>
      <c r="D610" s="261">
        <f t="shared" si="9"/>
        <v>1.3339482165084515E-3</v>
      </c>
    </row>
    <row r="611" spans="2:4" ht="14" thickBot="1" x14ac:dyDescent="0.2">
      <c r="B611" s="251">
        <v>43171</v>
      </c>
      <c r="C611" s="451">
        <v>33917.94</v>
      </c>
      <c r="D611" s="261">
        <f t="shared" si="9"/>
        <v>-1.8008169128195917E-2</v>
      </c>
    </row>
    <row r="612" spans="2:4" ht="14" thickBot="1" x14ac:dyDescent="0.2">
      <c r="B612" s="251">
        <v>43172</v>
      </c>
      <c r="C612" s="451">
        <v>33856.78</v>
      </c>
      <c r="D612" s="261">
        <f t="shared" si="9"/>
        <v>1.8064328621920644E-3</v>
      </c>
    </row>
    <row r="613" spans="2:4" ht="14" thickBot="1" x14ac:dyDescent="0.2">
      <c r="B613" s="251">
        <v>43173</v>
      </c>
      <c r="C613" s="451">
        <v>33835.74</v>
      </c>
      <c r="D613" s="261">
        <f t="shared" si="9"/>
        <v>6.2182768871021921E-4</v>
      </c>
    </row>
    <row r="614" spans="2:4" ht="14" thickBot="1" x14ac:dyDescent="0.2">
      <c r="B614" s="251">
        <v>43174</v>
      </c>
      <c r="C614" s="451">
        <v>33685.54</v>
      </c>
      <c r="D614" s="261">
        <f t="shared" si="9"/>
        <v>4.4588865133228239E-3</v>
      </c>
    </row>
    <row r="615" spans="2:4" ht="14" thickBot="1" x14ac:dyDescent="0.2">
      <c r="B615" s="251">
        <v>43175</v>
      </c>
      <c r="C615" s="451">
        <v>33176</v>
      </c>
      <c r="D615" s="261">
        <f t="shared" si="9"/>
        <v>1.5358693031106929E-2</v>
      </c>
    </row>
    <row r="616" spans="2:4" ht="14" thickBot="1" x14ac:dyDescent="0.2">
      <c r="B616" s="251">
        <v>43178</v>
      </c>
      <c r="C616" s="451">
        <v>32923.120000000003</v>
      </c>
      <c r="D616" s="261">
        <f t="shared" si="9"/>
        <v>7.6809245296314277E-3</v>
      </c>
    </row>
    <row r="617" spans="2:4" ht="14" thickBot="1" x14ac:dyDescent="0.2">
      <c r="B617" s="251">
        <v>43179</v>
      </c>
      <c r="C617" s="451">
        <v>32996.76</v>
      </c>
      <c r="D617" s="261">
        <f t="shared" si="9"/>
        <v>-2.2317342672432128E-3</v>
      </c>
    </row>
    <row r="618" spans="2:4" ht="14" thickBot="1" x14ac:dyDescent="0.2">
      <c r="B618" s="251">
        <v>43180</v>
      </c>
      <c r="C618" s="451">
        <v>33136.18</v>
      </c>
      <c r="D618" s="261">
        <f t="shared" si="9"/>
        <v>-4.2074855942959566E-3</v>
      </c>
    </row>
    <row r="619" spans="2:4" ht="14" thickBot="1" x14ac:dyDescent="0.2">
      <c r="B619" s="251">
        <v>43181</v>
      </c>
      <c r="C619" s="451">
        <v>33006.269999999997</v>
      </c>
      <c r="D619" s="261">
        <f t="shared" si="9"/>
        <v>3.9359188420868829E-3</v>
      </c>
    </row>
    <row r="620" spans="2:4" ht="14" thickBot="1" x14ac:dyDescent="0.2">
      <c r="B620" s="251">
        <v>43182</v>
      </c>
      <c r="C620" s="451">
        <v>32596.54</v>
      </c>
      <c r="D620" s="261">
        <f t="shared" si="9"/>
        <v>1.256973899683822E-2</v>
      </c>
    </row>
    <row r="621" spans="2:4" ht="14" thickBot="1" x14ac:dyDescent="0.2">
      <c r="B621" s="251">
        <v>43185</v>
      </c>
      <c r="C621" s="451">
        <v>33066.410000000003</v>
      </c>
      <c r="D621" s="261">
        <f t="shared" si="9"/>
        <v>-1.4209888524336356E-2</v>
      </c>
    </row>
    <row r="622" spans="2:4" ht="14" thickBot="1" x14ac:dyDescent="0.2">
      <c r="B622" s="251">
        <v>43186</v>
      </c>
      <c r="C622" s="451">
        <v>33174.39</v>
      </c>
      <c r="D622" s="261">
        <f t="shared" si="9"/>
        <v>-3.2549204371201679E-3</v>
      </c>
    </row>
    <row r="623" spans="2:4" ht="14" thickBot="1" x14ac:dyDescent="0.2">
      <c r="B623" s="251">
        <v>43187</v>
      </c>
      <c r="C623" s="451">
        <v>32968.68</v>
      </c>
      <c r="D623" s="261">
        <f t="shared" si="9"/>
        <v>6.239558271668777E-3</v>
      </c>
    </row>
    <row r="624" spans="2:4" ht="14" thickBot="1" x14ac:dyDescent="0.2">
      <c r="B624" s="251">
        <v>43192</v>
      </c>
      <c r="C624" s="451">
        <v>33255.360000000001</v>
      </c>
      <c r="D624" s="261">
        <f t="shared" si="9"/>
        <v>-8.620565226177046E-3</v>
      </c>
    </row>
    <row r="625" spans="2:4" ht="14" thickBot="1" x14ac:dyDescent="0.2">
      <c r="B625" s="251">
        <v>43193</v>
      </c>
      <c r="C625" s="451">
        <v>33370.629999999997</v>
      </c>
      <c r="D625" s="261">
        <f t="shared" si="9"/>
        <v>-3.454235056395305E-3</v>
      </c>
    </row>
    <row r="626" spans="2:4" ht="14" thickBot="1" x14ac:dyDescent="0.2">
      <c r="B626" s="251">
        <v>43194</v>
      </c>
      <c r="C626" s="451">
        <v>33019.07</v>
      </c>
      <c r="D626" s="261">
        <f t="shared" si="9"/>
        <v>1.0647180553540636E-2</v>
      </c>
    </row>
    <row r="627" spans="2:4" ht="14" thickBot="1" x14ac:dyDescent="0.2">
      <c r="B627" s="251">
        <v>43195</v>
      </c>
      <c r="C627" s="451">
        <v>33596.800000000003</v>
      </c>
      <c r="D627" s="261">
        <f t="shared" si="9"/>
        <v>-1.7195982950757305E-2</v>
      </c>
    </row>
    <row r="628" spans="2:4" ht="14" thickBot="1" x14ac:dyDescent="0.2">
      <c r="B628" s="251">
        <v>43196</v>
      </c>
      <c r="C628" s="451">
        <v>33626.97</v>
      </c>
      <c r="D628" s="261">
        <f t="shared" si="9"/>
        <v>-8.9719650625663672E-4</v>
      </c>
    </row>
    <row r="629" spans="2:4" ht="14" thickBot="1" x14ac:dyDescent="0.2">
      <c r="B629" s="251">
        <v>43199</v>
      </c>
      <c r="C629" s="451">
        <v>33788.54</v>
      </c>
      <c r="D629" s="261">
        <f t="shared" si="9"/>
        <v>-4.7817987992377908E-3</v>
      </c>
    </row>
    <row r="630" spans="2:4" ht="14" thickBot="1" x14ac:dyDescent="0.2">
      <c r="B630" s="251">
        <v>43200</v>
      </c>
      <c r="C630" s="451">
        <v>33880.25</v>
      </c>
      <c r="D630" s="261">
        <f t="shared" si="9"/>
        <v>-2.706886755558191E-3</v>
      </c>
    </row>
    <row r="631" spans="2:4" ht="14" thickBot="1" x14ac:dyDescent="0.2">
      <c r="B631" s="251">
        <v>43201</v>
      </c>
      <c r="C631" s="451">
        <v>33940.44</v>
      </c>
      <c r="D631" s="261">
        <f t="shared" si="9"/>
        <v>-1.7734006983999295E-3</v>
      </c>
    </row>
    <row r="632" spans="2:4" ht="14" thickBot="1" x14ac:dyDescent="0.2">
      <c r="B632" s="251">
        <v>43202</v>
      </c>
      <c r="C632" s="451">
        <v>34101.129999999997</v>
      </c>
      <c r="D632" s="261">
        <f t="shared" si="9"/>
        <v>-4.7121605647670872E-3</v>
      </c>
    </row>
    <row r="633" spans="2:4" ht="14" thickBot="1" x14ac:dyDescent="0.2">
      <c r="B633" s="251">
        <v>43203</v>
      </c>
      <c r="C633" s="451">
        <v>34192.65</v>
      </c>
      <c r="D633" s="261">
        <f t="shared" si="9"/>
        <v>-2.6765986257281105E-3</v>
      </c>
    </row>
    <row r="634" spans="2:4" ht="14" thickBot="1" x14ac:dyDescent="0.2">
      <c r="B634" s="251">
        <v>43206</v>
      </c>
      <c r="C634" s="451">
        <v>34305.43</v>
      </c>
      <c r="D634" s="261">
        <f t="shared" si="9"/>
        <v>-3.287526202120139E-3</v>
      </c>
    </row>
    <row r="635" spans="2:4" ht="14" thickBot="1" x14ac:dyDescent="0.2">
      <c r="B635" s="251">
        <v>43207</v>
      </c>
      <c r="C635" s="451">
        <v>34395.06</v>
      </c>
      <c r="D635" s="261">
        <f t="shared" si="9"/>
        <v>-2.6058974748117691E-3</v>
      </c>
    </row>
    <row r="636" spans="2:4" ht="14" thickBot="1" x14ac:dyDescent="0.2">
      <c r="B636" s="251">
        <v>43208</v>
      </c>
      <c r="C636" s="451">
        <v>34331.68</v>
      </c>
      <c r="D636" s="261">
        <f t="shared" si="9"/>
        <v>1.8461083174490245E-3</v>
      </c>
    </row>
    <row r="637" spans="2:4" ht="14" thickBot="1" x14ac:dyDescent="0.2">
      <c r="B637" s="251">
        <v>43209</v>
      </c>
      <c r="C637" s="451">
        <v>34427.29</v>
      </c>
      <c r="D637" s="261">
        <f t="shared" si="9"/>
        <v>-2.7771573074732991E-3</v>
      </c>
    </row>
    <row r="638" spans="2:4" ht="14" thickBot="1" x14ac:dyDescent="0.2">
      <c r="B638" s="251">
        <v>43210</v>
      </c>
      <c r="C638" s="451">
        <v>34415.58</v>
      </c>
      <c r="D638" s="261">
        <f t="shared" si="9"/>
        <v>3.4025287384364944E-4</v>
      </c>
    </row>
    <row r="639" spans="2:4" ht="14" thickBot="1" x14ac:dyDescent="0.2">
      <c r="B639" s="251">
        <v>43213</v>
      </c>
      <c r="C639" s="451">
        <v>34450.769999999997</v>
      </c>
      <c r="D639" s="261">
        <f t="shared" si="9"/>
        <v>-1.0214575755489452E-3</v>
      </c>
    </row>
    <row r="640" spans="2:4" ht="14" thickBot="1" x14ac:dyDescent="0.2">
      <c r="B640" s="251">
        <v>43214</v>
      </c>
      <c r="C640" s="451">
        <v>34616.639999999999</v>
      </c>
      <c r="D640" s="261">
        <f t="shared" si="9"/>
        <v>-4.791626223689005E-3</v>
      </c>
    </row>
    <row r="641" spans="2:4" ht="14" thickBot="1" x14ac:dyDescent="0.2">
      <c r="B641" s="251">
        <v>43215</v>
      </c>
      <c r="C641" s="451">
        <v>34501.269999999997</v>
      </c>
      <c r="D641" s="261">
        <f t="shared" si="9"/>
        <v>3.3439348754409348E-3</v>
      </c>
    </row>
    <row r="642" spans="2:4" ht="14" thickBot="1" x14ac:dyDescent="0.2">
      <c r="B642" s="251">
        <v>43216</v>
      </c>
      <c r="C642" s="451">
        <v>34713.599999999999</v>
      </c>
      <c r="D642" s="261">
        <f t="shared" si="9"/>
        <v>-6.1166228797935318E-3</v>
      </c>
    </row>
    <row r="643" spans="2:4" ht="14" thickBot="1" x14ac:dyDescent="0.2">
      <c r="B643" s="251">
        <v>43217</v>
      </c>
      <c r="C643" s="451">
        <v>34969.699999999997</v>
      </c>
      <c r="D643" s="261">
        <f t="shared" si="9"/>
        <v>-7.3234829009113378E-3</v>
      </c>
    </row>
    <row r="644" spans="2:4" ht="14" thickBot="1" x14ac:dyDescent="0.2">
      <c r="B644" s="251">
        <v>43220</v>
      </c>
      <c r="C644" s="451">
        <v>35160.36</v>
      </c>
      <c r="D644" s="261">
        <f t="shared" si="9"/>
        <v>-5.422583841576234E-3</v>
      </c>
    </row>
    <row r="645" spans="2:4" ht="14" thickBot="1" x14ac:dyDescent="0.2">
      <c r="B645" s="251">
        <v>43222</v>
      </c>
      <c r="C645" s="451">
        <v>35176.42</v>
      </c>
      <c r="D645" s="261">
        <f t="shared" si="9"/>
        <v>-4.5655584053172493E-4</v>
      </c>
    </row>
    <row r="646" spans="2:4" ht="14" thickBot="1" x14ac:dyDescent="0.2">
      <c r="B646" s="251">
        <v>43223</v>
      </c>
      <c r="C646" s="451">
        <v>35103.14</v>
      </c>
      <c r="D646" s="261">
        <f t="shared" si="9"/>
        <v>2.087562537140597E-3</v>
      </c>
    </row>
    <row r="647" spans="2:4" ht="14" thickBot="1" x14ac:dyDescent="0.2">
      <c r="B647" s="251">
        <v>43224</v>
      </c>
      <c r="C647" s="451">
        <v>34915.379999999997</v>
      </c>
      <c r="D647" s="261">
        <f t="shared" si="9"/>
        <v>5.3775728633056463E-3</v>
      </c>
    </row>
    <row r="648" spans="2:4" ht="14" thickBot="1" x14ac:dyDescent="0.2">
      <c r="B648" s="251">
        <v>43227</v>
      </c>
      <c r="C648" s="451">
        <v>35208.14</v>
      </c>
      <c r="D648" s="261">
        <f t="shared" si="9"/>
        <v>-8.3151225824483754E-3</v>
      </c>
    </row>
    <row r="649" spans="2:4" ht="14" thickBot="1" x14ac:dyDescent="0.2">
      <c r="B649" s="251">
        <v>43228</v>
      </c>
      <c r="C649" s="451">
        <v>35216.32</v>
      </c>
      <c r="D649" s="261">
        <f t="shared" si="9"/>
        <v>-2.3227867079811393E-4</v>
      </c>
    </row>
    <row r="650" spans="2:4" ht="14" thickBot="1" x14ac:dyDescent="0.2">
      <c r="B650" s="251">
        <v>43229</v>
      </c>
      <c r="C650" s="451">
        <v>35319.35</v>
      </c>
      <c r="D650" s="261">
        <f t="shared" ref="D650:D713" si="10">C649/C650-1</f>
        <v>-2.9170978514609924E-3</v>
      </c>
    </row>
    <row r="651" spans="2:4" ht="14" thickBot="1" x14ac:dyDescent="0.2">
      <c r="B651" s="251">
        <v>43230</v>
      </c>
      <c r="C651" s="451">
        <v>35246.269999999997</v>
      </c>
      <c r="D651" s="261">
        <f t="shared" si="10"/>
        <v>2.0734108885849256E-3</v>
      </c>
    </row>
    <row r="652" spans="2:4" ht="14" thickBot="1" x14ac:dyDescent="0.2">
      <c r="B652" s="251">
        <v>43231</v>
      </c>
      <c r="C652" s="451">
        <v>35535.79</v>
      </c>
      <c r="D652" s="261">
        <f t="shared" si="10"/>
        <v>-8.1472791233853092E-3</v>
      </c>
    </row>
    <row r="653" spans="2:4" ht="14" thickBot="1" x14ac:dyDescent="0.2">
      <c r="B653" s="251">
        <v>43234</v>
      </c>
      <c r="C653" s="451">
        <v>35556.71</v>
      </c>
      <c r="D653" s="261">
        <f t="shared" si="10"/>
        <v>-5.8835589681938139E-4</v>
      </c>
    </row>
    <row r="654" spans="2:4" ht="14" thickBot="1" x14ac:dyDescent="0.2">
      <c r="B654" s="251">
        <v>43235</v>
      </c>
      <c r="C654" s="451">
        <v>35543.94</v>
      </c>
      <c r="D654" s="261">
        <f t="shared" si="10"/>
        <v>3.592736202007174E-4</v>
      </c>
    </row>
    <row r="655" spans="2:4" ht="14" thickBot="1" x14ac:dyDescent="0.2">
      <c r="B655" s="251">
        <v>43236</v>
      </c>
      <c r="C655" s="451">
        <v>35387.879999999997</v>
      </c>
      <c r="D655" s="261">
        <f t="shared" si="10"/>
        <v>4.4099844353491235E-3</v>
      </c>
    </row>
    <row r="656" spans="2:4" ht="14" thickBot="1" x14ac:dyDescent="0.2">
      <c r="B656" s="251">
        <v>43237</v>
      </c>
      <c r="C656" s="451">
        <v>35149.120000000003</v>
      </c>
      <c r="D656" s="261">
        <f t="shared" si="10"/>
        <v>6.7927731903385524E-3</v>
      </c>
    </row>
    <row r="657" spans="2:4" ht="14" thickBot="1" x14ac:dyDescent="0.2">
      <c r="B657" s="251">
        <v>43238</v>
      </c>
      <c r="C657" s="451">
        <v>34848.300000000003</v>
      </c>
      <c r="D657" s="261">
        <f t="shared" si="10"/>
        <v>8.6322718755291739E-3</v>
      </c>
    </row>
    <row r="658" spans="2:4" ht="14" thickBot="1" x14ac:dyDescent="0.2">
      <c r="B658" s="251">
        <v>43241</v>
      </c>
      <c r="C658" s="451">
        <v>34616.129999999997</v>
      </c>
      <c r="D658" s="261">
        <f t="shared" si="10"/>
        <v>6.7069889095057178E-3</v>
      </c>
    </row>
    <row r="659" spans="2:4" ht="14" thickBot="1" x14ac:dyDescent="0.2">
      <c r="B659" s="251">
        <v>43242</v>
      </c>
      <c r="C659" s="451">
        <v>34651.24</v>
      </c>
      <c r="D659" s="261">
        <f t="shared" si="10"/>
        <v>-1.0132393530505324E-3</v>
      </c>
    </row>
    <row r="660" spans="2:4" ht="14" thickBot="1" x14ac:dyDescent="0.2">
      <c r="B660" s="251">
        <v>43243</v>
      </c>
      <c r="C660" s="451">
        <v>34344.910000000003</v>
      </c>
      <c r="D660" s="261">
        <f t="shared" si="10"/>
        <v>8.9192255853922653E-3</v>
      </c>
    </row>
    <row r="661" spans="2:4" ht="14" thickBot="1" x14ac:dyDescent="0.2">
      <c r="B661" s="251">
        <v>43244</v>
      </c>
      <c r="C661" s="451">
        <v>34663.11</v>
      </c>
      <c r="D661" s="261">
        <f t="shared" si="10"/>
        <v>-9.1797879647843583E-3</v>
      </c>
    </row>
    <row r="662" spans="2:4" ht="14" thickBot="1" x14ac:dyDescent="0.2">
      <c r="B662" s="251">
        <v>43245</v>
      </c>
      <c r="C662" s="451">
        <v>34924.870000000003</v>
      </c>
      <c r="D662" s="261">
        <f t="shared" si="10"/>
        <v>-7.4949455788955177E-3</v>
      </c>
    </row>
    <row r="663" spans="2:4" ht="14" thickBot="1" x14ac:dyDescent="0.2">
      <c r="B663" s="251">
        <v>43248</v>
      </c>
      <c r="C663" s="451">
        <v>35165.480000000003</v>
      </c>
      <c r="D663" s="261">
        <f t="shared" si="10"/>
        <v>-6.8422214057649589E-3</v>
      </c>
    </row>
    <row r="664" spans="2:4" ht="14" thickBot="1" x14ac:dyDescent="0.2">
      <c r="B664" s="251">
        <v>43249</v>
      </c>
      <c r="C664" s="451">
        <v>34949.24</v>
      </c>
      <c r="D664" s="261">
        <f t="shared" si="10"/>
        <v>6.1872590076352818E-3</v>
      </c>
    </row>
    <row r="665" spans="2:4" ht="14" thickBot="1" x14ac:dyDescent="0.2">
      <c r="B665" s="251">
        <v>43250</v>
      </c>
      <c r="C665" s="451">
        <v>34906.11</v>
      </c>
      <c r="D665" s="261">
        <f t="shared" si="10"/>
        <v>1.2356003003484162E-3</v>
      </c>
    </row>
    <row r="666" spans="2:4" ht="14" thickBot="1" x14ac:dyDescent="0.2">
      <c r="B666" s="251">
        <v>43251</v>
      </c>
      <c r="C666" s="451">
        <v>35322.379999999997</v>
      </c>
      <c r="D666" s="261">
        <f t="shared" si="10"/>
        <v>-1.1784879727809838E-2</v>
      </c>
    </row>
    <row r="667" spans="2:4" ht="14" thickBot="1" x14ac:dyDescent="0.2">
      <c r="B667" s="251">
        <v>43252</v>
      </c>
      <c r="C667" s="451">
        <v>35227.26</v>
      </c>
      <c r="D667" s="261">
        <f t="shared" si="10"/>
        <v>2.7001816207106177E-3</v>
      </c>
    </row>
    <row r="668" spans="2:4" ht="14" thickBot="1" x14ac:dyDescent="0.2">
      <c r="B668" s="251">
        <v>43255</v>
      </c>
      <c r="C668" s="451">
        <v>35011.89</v>
      </c>
      <c r="D668" s="261">
        <f t="shared" si="10"/>
        <v>6.1513388737368668E-3</v>
      </c>
    </row>
    <row r="669" spans="2:4" ht="14" thickBot="1" x14ac:dyDescent="0.2">
      <c r="B669" s="251">
        <v>43256</v>
      </c>
      <c r="C669" s="451">
        <v>34903.21</v>
      </c>
      <c r="D669" s="261">
        <f t="shared" si="10"/>
        <v>3.1137537206462618E-3</v>
      </c>
    </row>
    <row r="670" spans="2:4" ht="14" thickBot="1" x14ac:dyDescent="0.2">
      <c r="B670" s="251">
        <v>43257</v>
      </c>
      <c r="C670" s="451">
        <v>35178.879999999997</v>
      </c>
      <c r="D670" s="261">
        <f t="shared" si="10"/>
        <v>-7.8362358324084447E-3</v>
      </c>
    </row>
    <row r="671" spans="2:4" ht="14" thickBot="1" x14ac:dyDescent="0.2">
      <c r="B671" s="251">
        <v>43258</v>
      </c>
      <c r="C671" s="451">
        <v>35463.08</v>
      </c>
      <c r="D671" s="261">
        <f t="shared" si="10"/>
        <v>-8.0139683298801057E-3</v>
      </c>
    </row>
    <row r="672" spans="2:4" ht="14" thickBot="1" x14ac:dyDescent="0.2">
      <c r="B672" s="251">
        <v>43259</v>
      </c>
      <c r="C672" s="451">
        <v>35443.67</v>
      </c>
      <c r="D672" s="261">
        <f t="shared" si="10"/>
        <v>5.4762952030662504E-4</v>
      </c>
    </row>
    <row r="673" spans="2:4" ht="14" thickBot="1" x14ac:dyDescent="0.2">
      <c r="B673" s="251">
        <v>43262</v>
      </c>
      <c r="C673" s="451">
        <v>35483.47</v>
      </c>
      <c r="D673" s="261">
        <f t="shared" si="10"/>
        <v>-1.1216490382706112E-3</v>
      </c>
    </row>
    <row r="674" spans="2:4" ht="14" thickBot="1" x14ac:dyDescent="0.2">
      <c r="B674" s="251">
        <v>43263</v>
      </c>
      <c r="C674" s="451">
        <v>35692.519999999997</v>
      </c>
      <c r="D674" s="261">
        <f t="shared" si="10"/>
        <v>-5.8569694714746268E-3</v>
      </c>
    </row>
    <row r="675" spans="2:4" ht="14" thickBot="1" x14ac:dyDescent="0.2">
      <c r="B675" s="251">
        <v>43264</v>
      </c>
      <c r="C675" s="451">
        <v>35739.160000000003</v>
      </c>
      <c r="D675" s="261">
        <f t="shared" si="10"/>
        <v>-1.3050110858791042E-3</v>
      </c>
    </row>
    <row r="676" spans="2:4" ht="14" thickBot="1" x14ac:dyDescent="0.2">
      <c r="B676" s="251">
        <v>43265</v>
      </c>
      <c r="C676" s="451">
        <v>35599.82</v>
      </c>
      <c r="D676" s="261">
        <f t="shared" si="10"/>
        <v>3.9140647340352164E-3</v>
      </c>
    </row>
    <row r="677" spans="2:4" ht="14" thickBot="1" x14ac:dyDescent="0.2">
      <c r="B677" s="251">
        <v>43266</v>
      </c>
      <c r="C677" s="451">
        <v>35622.14</v>
      </c>
      <c r="D677" s="261">
        <f t="shared" si="10"/>
        <v>-6.2657661780007867E-4</v>
      </c>
    </row>
    <row r="678" spans="2:4" ht="14" thickBot="1" x14ac:dyDescent="0.2">
      <c r="B678" s="251">
        <v>43269</v>
      </c>
      <c r="C678" s="451">
        <v>35548.26</v>
      </c>
      <c r="D678" s="261">
        <f t="shared" si="10"/>
        <v>2.0783014414769152E-3</v>
      </c>
    </row>
    <row r="679" spans="2:4" ht="14" thickBot="1" x14ac:dyDescent="0.2">
      <c r="B679" s="251">
        <v>43270</v>
      </c>
      <c r="C679" s="451">
        <v>35286.74</v>
      </c>
      <c r="D679" s="261">
        <f t="shared" si="10"/>
        <v>7.4112825384267111E-3</v>
      </c>
    </row>
    <row r="680" spans="2:4" ht="14" thickBot="1" x14ac:dyDescent="0.2">
      <c r="B680" s="251">
        <v>43271</v>
      </c>
      <c r="C680" s="451">
        <v>35547.33</v>
      </c>
      <c r="D680" s="261">
        <f t="shared" si="10"/>
        <v>-7.3307896823756602E-3</v>
      </c>
    </row>
    <row r="681" spans="2:4" ht="14" thickBot="1" x14ac:dyDescent="0.2">
      <c r="B681" s="251">
        <v>43272</v>
      </c>
      <c r="C681" s="451">
        <v>35432.39</v>
      </c>
      <c r="D681" s="261">
        <f t="shared" si="10"/>
        <v>3.2439245560347274E-3</v>
      </c>
    </row>
    <row r="682" spans="2:4" ht="14" thickBot="1" x14ac:dyDescent="0.2">
      <c r="B682" s="251">
        <v>43273</v>
      </c>
      <c r="C682" s="451">
        <v>35689.599999999999</v>
      </c>
      <c r="D682" s="261">
        <f t="shared" si="10"/>
        <v>-7.2068613825876371E-3</v>
      </c>
    </row>
    <row r="683" spans="2:4" ht="14" thickBot="1" x14ac:dyDescent="0.2">
      <c r="B683" s="251">
        <v>43276</v>
      </c>
      <c r="C683" s="451">
        <v>35470.35</v>
      </c>
      <c r="D683" s="261">
        <f t="shared" si="10"/>
        <v>6.1812189617524993E-3</v>
      </c>
    </row>
    <row r="684" spans="2:4" ht="14" thickBot="1" x14ac:dyDescent="0.2">
      <c r="B684" s="251">
        <v>43277</v>
      </c>
      <c r="C684" s="451">
        <v>35490.04</v>
      </c>
      <c r="D684" s="261">
        <f t="shared" si="10"/>
        <v>-5.5480354488190997E-4</v>
      </c>
    </row>
    <row r="685" spans="2:4" ht="14" thickBot="1" x14ac:dyDescent="0.2">
      <c r="B685" s="251">
        <v>43278</v>
      </c>
      <c r="C685" s="451">
        <v>35217.11</v>
      </c>
      <c r="D685" s="261">
        <f t="shared" si="10"/>
        <v>7.7499261012616838E-3</v>
      </c>
    </row>
    <row r="686" spans="2:4" ht="14" thickBot="1" x14ac:dyDescent="0.2">
      <c r="B686" s="251">
        <v>43279</v>
      </c>
      <c r="C686" s="451">
        <v>35037.64</v>
      </c>
      <c r="D686" s="261">
        <f t="shared" si="10"/>
        <v>5.1222057193349713E-3</v>
      </c>
    </row>
    <row r="687" spans="2:4" ht="14" thickBot="1" x14ac:dyDescent="0.2">
      <c r="B687" s="251">
        <v>43280</v>
      </c>
      <c r="C687" s="451">
        <v>35423.480000000003</v>
      </c>
      <c r="D687" s="261">
        <f t="shared" si="10"/>
        <v>-1.0892210477344566E-2</v>
      </c>
    </row>
    <row r="688" spans="2:4" ht="14" thickBot="1" x14ac:dyDescent="0.2">
      <c r="B688" s="251">
        <v>43283</v>
      </c>
      <c r="C688" s="451">
        <v>35264.410000000003</v>
      </c>
      <c r="D688" s="261">
        <f t="shared" si="10"/>
        <v>4.5107801321502272E-3</v>
      </c>
    </row>
    <row r="689" spans="2:4" ht="14" thickBot="1" x14ac:dyDescent="0.2">
      <c r="B689" s="251">
        <v>43284</v>
      </c>
      <c r="C689" s="451">
        <v>35378.6</v>
      </c>
      <c r="D689" s="261">
        <f t="shared" si="10"/>
        <v>-3.2276573974096001E-3</v>
      </c>
    </row>
    <row r="690" spans="2:4" ht="14" thickBot="1" x14ac:dyDescent="0.2">
      <c r="B690" s="251">
        <v>43285</v>
      </c>
      <c r="C690" s="451">
        <v>35645.4</v>
      </c>
      <c r="D690" s="261">
        <f t="shared" si="10"/>
        <v>-7.4848367531294979E-3</v>
      </c>
    </row>
    <row r="691" spans="2:4" ht="14" thickBot="1" x14ac:dyDescent="0.2">
      <c r="B691" s="251">
        <v>43286</v>
      </c>
      <c r="C691" s="451">
        <v>35574.550000000003</v>
      </c>
      <c r="D691" s="261">
        <f t="shared" si="10"/>
        <v>1.9915923040487726E-3</v>
      </c>
    </row>
    <row r="692" spans="2:4" ht="14" thickBot="1" x14ac:dyDescent="0.2">
      <c r="B692" s="251">
        <v>43287</v>
      </c>
      <c r="C692" s="451">
        <v>35657.86</v>
      </c>
      <c r="D692" s="261">
        <f t="shared" si="10"/>
        <v>-2.3363712797122016E-3</v>
      </c>
    </row>
    <row r="693" spans="2:4" ht="14" thickBot="1" x14ac:dyDescent="0.2">
      <c r="B693" s="251">
        <v>43290</v>
      </c>
      <c r="C693" s="451">
        <v>35934.720000000001</v>
      </c>
      <c r="D693" s="261">
        <f t="shared" si="10"/>
        <v>-7.7045264301489613E-3</v>
      </c>
    </row>
    <row r="694" spans="2:4" ht="14" thickBot="1" x14ac:dyDescent="0.2">
      <c r="B694" s="251">
        <v>43291</v>
      </c>
      <c r="C694" s="451">
        <v>36239.620000000003</v>
      </c>
      <c r="D694" s="261">
        <f t="shared" si="10"/>
        <v>-8.4134436288240133E-3</v>
      </c>
    </row>
    <row r="695" spans="2:4" ht="14" thickBot="1" x14ac:dyDescent="0.2">
      <c r="B695" s="251">
        <v>43292</v>
      </c>
      <c r="C695" s="451">
        <v>36265.93</v>
      </c>
      <c r="D695" s="261">
        <f t="shared" si="10"/>
        <v>-7.2547429502012317E-4</v>
      </c>
    </row>
    <row r="696" spans="2:4" ht="14" thickBot="1" x14ac:dyDescent="0.2">
      <c r="B696" s="251">
        <v>43293</v>
      </c>
      <c r="C696" s="451">
        <v>36548.410000000003</v>
      </c>
      <c r="D696" s="261">
        <f t="shared" si="10"/>
        <v>-7.7289271954649186E-3</v>
      </c>
    </row>
    <row r="697" spans="2:4" ht="14" thickBot="1" x14ac:dyDescent="0.2">
      <c r="B697" s="251">
        <v>43294</v>
      </c>
      <c r="C697" s="451">
        <v>36541.629999999997</v>
      </c>
      <c r="D697" s="261">
        <f t="shared" si="10"/>
        <v>1.8554180533292275E-4</v>
      </c>
    </row>
    <row r="698" spans="2:4" ht="14" thickBot="1" x14ac:dyDescent="0.2">
      <c r="B698" s="251">
        <v>43297</v>
      </c>
      <c r="C698" s="451">
        <v>36323.769999999997</v>
      </c>
      <c r="D698" s="261">
        <f t="shared" si="10"/>
        <v>5.9977254563610138E-3</v>
      </c>
    </row>
    <row r="699" spans="2:4" ht="14" thickBot="1" x14ac:dyDescent="0.2">
      <c r="B699" s="251">
        <v>43298</v>
      </c>
      <c r="C699" s="451">
        <v>36519.96</v>
      </c>
      <c r="D699" s="261">
        <f t="shared" si="10"/>
        <v>-5.3721307471312763E-3</v>
      </c>
    </row>
    <row r="700" spans="2:4" ht="14" thickBot="1" x14ac:dyDescent="0.2">
      <c r="B700" s="251">
        <v>43299</v>
      </c>
      <c r="C700" s="451">
        <v>36373.440000000002</v>
      </c>
      <c r="D700" s="261">
        <f t="shared" si="10"/>
        <v>4.0282139935072792E-3</v>
      </c>
    </row>
    <row r="701" spans="2:4" ht="14" thickBot="1" x14ac:dyDescent="0.2">
      <c r="B701" s="251">
        <v>43300</v>
      </c>
      <c r="C701" s="451">
        <v>36351.230000000003</v>
      </c>
      <c r="D701" s="261">
        <f t="shared" si="10"/>
        <v>6.1098345227938999E-4</v>
      </c>
    </row>
    <row r="702" spans="2:4" ht="14" thickBot="1" x14ac:dyDescent="0.2">
      <c r="B702" s="251">
        <v>43301</v>
      </c>
      <c r="C702" s="451">
        <v>36496.370000000003</v>
      </c>
      <c r="D702" s="261">
        <f t="shared" si="10"/>
        <v>-3.9768338604633247E-3</v>
      </c>
    </row>
    <row r="703" spans="2:4" ht="14" thickBot="1" x14ac:dyDescent="0.2">
      <c r="B703" s="251">
        <v>43304</v>
      </c>
      <c r="C703" s="451">
        <v>36718.6</v>
      </c>
      <c r="D703" s="261">
        <f t="shared" si="10"/>
        <v>-6.0522460006644518E-3</v>
      </c>
    </row>
    <row r="704" spans="2:4" ht="14" thickBot="1" x14ac:dyDescent="0.2">
      <c r="B704" s="251">
        <v>43305</v>
      </c>
      <c r="C704" s="451">
        <v>36825.1</v>
      </c>
      <c r="D704" s="261">
        <f t="shared" si="10"/>
        <v>-2.8920491729825804E-3</v>
      </c>
    </row>
    <row r="705" spans="2:4" ht="14" thickBot="1" x14ac:dyDescent="0.2">
      <c r="B705" s="251">
        <v>43306</v>
      </c>
      <c r="C705" s="451">
        <v>36858.230000000003</v>
      </c>
      <c r="D705" s="261">
        <f t="shared" si="10"/>
        <v>-8.9884945641727221E-4</v>
      </c>
    </row>
    <row r="706" spans="2:4" ht="14" thickBot="1" x14ac:dyDescent="0.2">
      <c r="B706" s="251">
        <v>43307</v>
      </c>
      <c r="C706" s="451">
        <v>36984.639999999999</v>
      </c>
      <c r="D706" s="261">
        <f t="shared" si="10"/>
        <v>-3.4179053790978076E-3</v>
      </c>
    </row>
    <row r="707" spans="2:4" ht="14" thickBot="1" x14ac:dyDescent="0.2">
      <c r="B707" s="251">
        <v>43308</v>
      </c>
      <c r="C707" s="451">
        <v>37336.85</v>
      </c>
      <c r="D707" s="261">
        <f t="shared" si="10"/>
        <v>-9.433307844662786E-3</v>
      </c>
    </row>
    <row r="708" spans="2:4" ht="14" thickBot="1" x14ac:dyDescent="0.2">
      <c r="B708" s="251">
        <v>43311</v>
      </c>
      <c r="C708" s="451">
        <v>37494.400000000001</v>
      </c>
      <c r="D708" s="261">
        <f t="shared" si="10"/>
        <v>-4.2019608261500974E-3</v>
      </c>
    </row>
    <row r="709" spans="2:4" ht="14" thickBot="1" x14ac:dyDescent="0.2">
      <c r="B709" s="251">
        <v>43312</v>
      </c>
      <c r="C709" s="451">
        <v>37606.58</v>
      </c>
      <c r="D709" s="261">
        <f t="shared" si="10"/>
        <v>-2.9829886152902274E-3</v>
      </c>
    </row>
    <row r="710" spans="2:4" ht="14" thickBot="1" x14ac:dyDescent="0.2">
      <c r="B710" s="251">
        <v>43313</v>
      </c>
      <c r="C710" s="451">
        <v>37521.620000000003</v>
      </c>
      <c r="D710" s="261">
        <f t="shared" si="10"/>
        <v>2.2642945587103558E-3</v>
      </c>
    </row>
    <row r="711" spans="2:4" ht="14" thickBot="1" x14ac:dyDescent="0.2">
      <c r="B711" s="251">
        <v>43314</v>
      </c>
      <c r="C711" s="451">
        <v>37165.160000000003</v>
      </c>
      <c r="D711" s="261">
        <f t="shared" si="10"/>
        <v>9.5912408287761597E-3</v>
      </c>
    </row>
    <row r="712" spans="2:4" ht="14" thickBot="1" x14ac:dyDescent="0.2">
      <c r="B712" s="251">
        <v>43315</v>
      </c>
      <c r="C712" s="451">
        <v>37556.160000000003</v>
      </c>
      <c r="D712" s="261">
        <f t="shared" si="10"/>
        <v>-1.0411075040685724E-2</v>
      </c>
    </row>
    <row r="713" spans="2:4" ht="14" thickBot="1" x14ac:dyDescent="0.2">
      <c r="B713" s="251">
        <v>43318</v>
      </c>
      <c r="C713" s="451">
        <v>37691.89</v>
      </c>
      <c r="D713" s="261">
        <f t="shared" si="10"/>
        <v>-3.601039905401282E-3</v>
      </c>
    </row>
    <row r="714" spans="2:4" ht="14" thickBot="1" x14ac:dyDescent="0.2">
      <c r="B714" s="251">
        <v>43319</v>
      </c>
      <c r="C714" s="451">
        <v>37665.800000000003</v>
      </c>
      <c r="D714" s="261">
        <f t="shared" ref="D714:D777" si="11">C713/C714-1</f>
        <v>6.9267080481494325E-4</v>
      </c>
    </row>
    <row r="715" spans="2:4" ht="14" thickBot="1" x14ac:dyDescent="0.2">
      <c r="B715" s="251">
        <v>43320</v>
      </c>
      <c r="C715" s="451">
        <v>37887.56</v>
      </c>
      <c r="D715" s="261">
        <f t="shared" si="11"/>
        <v>-5.8531085137177863E-3</v>
      </c>
    </row>
    <row r="716" spans="2:4" ht="14" thickBot="1" x14ac:dyDescent="0.2">
      <c r="B716" s="251">
        <v>43321</v>
      </c>
      <c r="C716" s="451">
        <v>38024.370000000003</v>
      </c>
      <c r="D716" s="261">
        <f t="shared" si="11"/>
        <v>-3.5979557320741096E-3</v>
      </c>
    </row>
    <row r="717" spans="2:4" ht="14" thickBot="1" x14ac:dyDescent="0.2">
      <c r="B717" s="251">
        <v>43322</v>
      </c>
      <c r="C717" s="451">
        <v>37869.230000000003</v>
      </c>
      <c r="D717" s="261">
        <f t="shared" si="11"/>
        <v>4.0967297196166097E-3</v>
      </c>
    </row>
    <row r="718" spans="2:4" ht="14" thickBot="1" x14ac:dyDescent="0.2">
      <c r="B718" s="251">
        <v>43325</v>
      </c>
      <c r="C718" s="451">
        <v>37644.9</v>
      </c>
      <c r="D718" s="261">
        <f t="shared" si="11"/>
        <v>5.9591073425617758E-3</v>
      </c>
    </row>
    <row r="719" spans="2:4" ht="14" thickBot="1" x14ac:dyDescent="0.2">
      <c r="B719" s="251">
        <v>43326</v>
      </c>
      <c r="C719" s="451">
        <v>37852</v>
      </c>
      <c r="D719" s="261">
        <f t="shared" si="11"/>
        <v>-5.4713093099439947E-3</v>
      </c>
    </row>
    <row r="720" spans="2:4" ht="14" thickBot="1" x14ac:dyDescent="0.2">
      <c r="B720" s="251">
        <v>43328</v>
      </c>
      <c r="C720" s="451">
        <v>37663.56</v>
      </c>
      <c r="D720" s="261">
        <f t="shared" si="11"/>
        <v>5.0032445153884719E-3</v>
      </c>
    </row>
    <row r="721" spans="2:4" ht="14" thickBot="1" x14ac:dyDescent="0.2">
      <c r="B721" s="251">
        <v>43329</v>
      </c>
      <c r="C721" s="451">
        <v>37947.879999999997</v>
      </c>
      <c r="D721" s="261">
        <f t="shared" si="11"/>
        <v>-7.4923816561029977E-3</v>
      </c>
    </row>
    <row r="722" spans="2:4" ht="14" thickBot="1" x14ac:dyDescent="0.2">
      <c r="B722" s="251">
        <v>43332</v>
      </c>
      <c r="C722" s="451">
        <v>38278.75</v>
      </c>
      <c r="D722" s="261">
        <f t="shared" si="11"/>
        <v>-8.6436991803546803E-3</v>
      </c>
    </row>
    <row r="723" spans="2:4" ht="14" thickBot="1" x14ac:dyDescent="0.2">
      <c r="B723" s="251">
        <v>43333</v>
      </c>
      <c r="C723" s="451">
        <v>38285.75</v>
      </c>
      <c r="D723" s="261">
        <f t="shared" si="11"/>
        <v>-1.8283565033982985E-4</v>
      </c>
    </row>
    <row r="724" spans="2:4" ht="14" thickBot="1" x14ac:dyDescent="0.2">
      <c r="B724" s="251">
        <v>43335</v>
      </c>
      <c r="C724" s="451">
        <v>38336.76</v>
      </c>
      <c r="D724" s="261">
        <f t="shared" si="11"/>
        <v>-1.3305767101863264E-3</v>
      </c>
    </row>
    <row r="725" spans="2:4" ht="14" thickBot="1" x14ac:dyDescent="0.2">
      <c r="B725" s="251">
        <v>43336</v>
      </c>
      <c r="C725" s="451">
        <v>38251.800000000003</v>
      </c>
      <c r="D725" s="261">
        <f t="shared" si="11"/>
        <v>2.2210719495552311E-3</v>
      </c>
    </row>
    <row r="726" spans="2:4" ht="14" thickBot="1" x14ac:dyDescent="0.2">
      <c r="B726" s="251">
        <v>43339</v>
      </c>
      <c r="C726" s="451">
        <v>38694.11</v>
      </c>
      <c r="D726" s="261">
        <f t="shared" si="11"/>
        <v>-1.1430938713928196E-2</v>
      </c>
    </row>
    <row r="727" spans="2:4" ht="14" thickBot="1" x14ac:dyDescent="0.2">
      <c r="B727" s="251">
        <v>43340</v>
      </c>
      <c r="C727" s="451">
        <v>38896.629999999997</v>
      </c>
      <c r="D727" s="261">
        <f t="shared" si="11"/>
        <v>-5.2066207278110843E-3</v>
      </c>
    </row>
    <row r="728" spans="2:4" ht="14" thickBot="1" x14ac:dyDescent="0.2">
      <c r="B728" s="251">
        <v>43341</v>
      </c>
      <c r="C728" s="451">
        <v>38722.93</v>
      </c>
      <c r="D728" s="261">
        <f t="shared" si="11"/>
        <v>4.4857142783358839E-3</v>
      </c>
    </row>
    <row r="729" spans="2:4" ht="14" thickBot="1" x14ac:dyDescent="0.2">
      <c r="B729" s="251">
        <v>43342</v>
      </c>
      <c r="C729" s="451">
        <v>38690.1</v>
      </c>
      <c r="D729" s="261">
        <f t="shared" si="11"/>
        <v>8.4853748116442418E-4</v>
      </c>
    </row>
    <row r="730" spans="2:4" ht="14" thickBot="1" x14ac:dyDescent="0.2">
      <c r="B730" s="251">
        <v>43343</v>
      </c>
      <c r="C730" s="451">
        <v>38645.07</v>
      </c>
      <c r="D730" s="261">
        <f t="shared" si="11"/>
        <v>1.1652197809448595E-3</v>
      </c>
    </row>
    <row r="731" spans="2:4" ht="14" thickBot="1" x14ac:dyDescent="0.2">
      <c r="B731" s="251">
        <v>43346</v>
      </c>
      <c r="C731" s="451">
        <v>38312.519999999997</v>
      </c>
      <c r="D731" s="261">
        <f t="shared" si="11"/>
        <v>8.6799302160234237E-3</v>
      </c>
    </row>
    <row r="732" spans="2:4" ht="14" thickBot="1" x14ac:dyDescent="0.2">
      <c r="B732" s="251">
        <v>43347</v>
      </c>
      <c r="C732" s="451">
        <v>38157.919999999998</v>
      </c>
      <c r="D732" s="261">
        <f t="shared" si="11"/>
        <v>4.0515835244687715E-3</v>
      </c>
    </row>
    <row r="733" spans="2:4" ht="14" thickBot="1" x14ac:dyDescent="0.2">
      <c r="B733" s="251">
        <v>43348</v>
      </c>
      <c r="C733" s="451">
        <v>38018.31</v>
      </c>
      <c r="D733" s="261">
        <f t="shared" si="11"/>
        <v>3.6721779584627523E-3</v>
      </c>
    </row>
    <row r="734" spans="2:4" ht="14" thickBot="1" x14ac:dyDescent="0.2">
      <c r="B734" s="251">
        <v>43349</v>
      </c>
      <c r="C734" s="451">
        <v>38242.81</v>
      </c>
      <c r="D734" s="261">
        <f t="shared" si="11"/>
        <v>-5.8703845245681174E-3</v>
      </c>
    </row>
    <row r="735" spans="2:4" ht="14" thickBot="1" x14ac:dyDescent="0.2">
      <c r="B735" s="251">
        <v>43350</v>
      </c>
      <c r="C735" s="451">
        <v>38389.82</v>
      </c>
      <c r="D735" s="261">
        <f t="shared" si="11"/>
        <v>-3.8294006067234321E-3</v>
      </c>
    </row>
    <row r="736" spans="2:4" ht="14" thickBot="1" x14ac:dyDescent="0.2">
      <c r="B736" s="251">
        <v>43353</v>
      </c>
      <c r="C736" s="451">
        <v>37922.17</v>
      </c>
      <c r="D736" s="261">
        <f t="shared" si="11"/>
        <v>1.2331836495643511E-2</v>
      </c>
    </row>
    <row r="737" spans="2:4" ht="14" thickBot="1" x14ac:dyDescent="0.2">
      <c r="B737" s="251">
        <v>43354</v>
      </c>
      <c r="C737" s="451">
        <v>37413.129999999997</v>
      </c>
      <c r="D737" s="261">
        <f t="shared" si="11"/>
        <v>1.3605918563883934E-2</v>
      </c>
    </row>
    <row r="738" spans="2:4" ht="14" thickBot="1" x14ac:dyDescent="0.2">
      <c r="B738" s="251">
        <v>43355</v>
      </c>
      <c r="C738" s="451">
        <v>37717.96</v>
      </c>
      <c r="D738" s="261">
        <f t="shared" si="11"/>
        <v>-8.0818262705618649E-3</v>
      </c>
    </row>
    <row r="739" spans="2:4" ht="14" thickBot="1" x14ac:dyDescent="0.2">
      <c r="B739" s="251">
        <v>43357</v>
      </c>
      <c r="C739" s="451">
        <v>38090.639999999999</v>
      </c>
      <c r="D739" s="261">
        <f t="shared" si="11"/>
        <v>-9.7840309325335495E-3</v>
      </c>
    </row>
    <row r="740" spans="2:4" ht="14" thickBot="1" x14ac:dyDescent="0.2">
      <c r="B740" s="251">
        <v>43360</v>
      </c>
      <c r="C740" s="451">
        <v>37585.51</v>
      </c>
      <c r="D740" s="261">
        <f t="shared" si="11"/>
        <v>1.3439487717473941E-2</v>
      </c>
    </row>
    <row r="741" spans="2:4" ht="14" thickBot="1" x14ac:dyDescent="0.2">
      <c r="B741" s="251">
        <v>43361</v>
      </c>
      <c r="C741" s="451">
        <v>37290.67</v>
      </c>
      <c r="D741" s="261">
        <f t="shared" si="11"/>
        <v>7.9065353344416334E-3</v>
      </c>
    </row>
    <row r="742" spans="2:4" ht="14" thickBot="1" x14ac:dyDescent="0.2">
      <c r="B742" s="251">
        <v>43362</v>
      </c>
      <c r="C742" s="451">
        <v>37121.22</v>
      </c>
      <c r="D742" s="261">
        <f t="shared" si="11"/>
        <v>4.5647745413539553E-3</v>
      </c>
    </row>
    <row r="743" spans="2:4" ht="14" thickBot="1" x14ac:dyDescent="0.2">
      <c r="B743" s="251">
        <v>43364</v>
      </c>
      <c r="C743" s="451">
        <v>36841.599999999999</v>
      </c>
      <c r="D743" s="261">
        <f t="shared" si="11"/>
        <v>7.5897898028316479E-3</v>
      </c>
    </row>
    <row r="744" spans="2:4" ht="14" thickBot="1" x14ac:dyDescent="0.2">
      <c r="B744" s="251">
        <v>43367</v>
      </c>
      <c r="C744" s="451">
        <v>36305.019999999997</v>
      </c>
      <c r="D744" s="261">
        <f t="shared" si="11"/>
        <v>1.4779774257113854E-2</v>
      </c>
    </row>
    <row r="745" spans="2:4" ht="14" thickBot="1" x14ac:dyDescent="0.2">
      <c r="B745" s="251">
        <v>43368</v>
      </c>
      <c r="C745" s="451">
        <v>36652.06</v>
      </c>
      <c r="D745" s="261">
        <f t="shared" si="11"/>
        <v>-9.4684991784909078E-3</v>
      </c>
    </row>
    <row r="746" spans="2:4" ht="14" thickBot="1" x14ac:dyDescent="0.2">
      <c r="B746" s="251">
        <v>43369</v>
      </c>
      <c r="C746" s="451">
        <v>36542.269999999997</v>
      </c>
      <c r="D746" s="261">
        <f t="shared" si="11"/>
        <v>3.0044657871555192E-3</v>
      </c>
    </row>
    <row r="747" spans="2:4" ht="14" thickBot="1" x14ac:dyDescent="0.2">
      <c r="B747" s="251">
        <v>43370</v>
      </c>
      <c r="C747" s="451">
        <v>36324.17</v>
      </c>
      <c r="D747" s="261">
        <f t="shared" si="11"/>
        <v>6.0042665806265827E-3</v>
      </c>
    </row>
    <row r="748" spans="2:4" ht="14" thickBot="1" x14ac:dyDescent="0.2">
      <c r="B748" s="251">
        <v>43371</v>
      </c>
      <c r="C748" s="451">
        <v>36227.14</v>
      </c>
      <c r="D748" s="261">
        <f t="shared" si="11"/>
        <v>2.6783786961930289E-3</v>
      </c>
    </row>
    <row r="749" spans="2:4" ht="14" thickBot="1" x14ac:dyDescent="0.2">
      <c r="B749" s="251">
        <v>43374</v>
      </c>
      <c r="C749" s="451">
        <v>36526.14</v>
      </c>
      <c r="D749" s="261">
        <f t="shared" si="11"/>
        <v>-8.1859183587424944E-3</v>
      </c>
    </row>
    <row r="750" spans="2:4" ht="14" thickBot="1" x14ac:dyDescent="0.2">
      <c r="B750" s="251">
        <v>43376</v>
      </c>
      <c r="C750" s="451">
        <v>35975.629999999997</v>
      </c>
      <c r="D750" s="261">
        <f t="shared" si="11"/>
        <v>1.5302303253619254E-2</v>
      </c>
    </row>
    <row r="751" spans="2:4" ht="14" thickBot="1" x14ac:dyDescent="0.2">
      <c r="B751" s="251">
        <v>43377</v>
      </c>
      <c r="C751" s="451">
        <v>35169.160000000003</v>
      </c>
      <c r="D751" s="261">
        <f t="shared" si="11"/>
        <v>2.2931170377683108E-2</v>
      </c>
    </row>
    <row r="752" spans="2:4" ht="14" thickBot="1" x14ac:dyDescent="0.2">
      <c r="B752" s="251">
        <v>43378</v>
      </c>
      <c r="C752" s="451">
        <v>34376.99</v>
      </c>
      <c r="D752" s="261">
        <f t="shared" si="11"/>
        <v>2.3043611438930744E-2</v>
      </c>
    </row>
    <row r="753" spans="2:4" ht="14" thickBot="1" x14ac:dyDescent="0.2">
      <c r="B753" s="251">
        <v>43381</v>
      </c>
      <c r="C753" s="451">
        <v>34474.379999999997</v>
      </c>
      <c r="D753" s="261">
        <f t="shared" si="11"/>
        <v>-2.8249964176295661E-3</v>
      </c>
    </row>
    <row r="754" spans="2:4" ht="14" thickBot="1" x14ac:dyDescent="0.2">
      <c r="B754" s="251">
        <v>43382</v>
      </c>
      <c r="C754" s="451">
        <v>34299.47</v>
      </c>
      <c r="D754" s="261">
        <f t="shared" si="11"/>
        <v>5.0994957064933732E-3</v>
      </c>
    </row>
    <row r="755" spans="2:4" ht="14" thickBot="1" x14ac:dyDescent="0.2">
      <c r="B755" s="251">
        <v>43383</v>
      </c>
      <c r="C755" s="451">
        <v>34760.89</v>
      </c>
      <c r="D755" s="261">
        <f t="shared" si="11"/>
        <v>-1.3274113522409814E-2</v>
      </c>
    </row>
    <row r="756" spans="2:4" ht="14" thickBot="1" x14ac:dyDescent="0.2">
      <c r="B756" s="251">
        <v>43384</v>
      </c>
      <c r="C756" s="451">
        <v>34001.15</v>
      </c>
      <c r="D756" s="261">
        <f t="shared" si="11"/>
        <v>2.2344538346497078E-2</v>
      </c>
    </row>
    <row r="757" spans="2:4" ht="14" thickBot="1" x14ac:dyDescent="0.2">
      <c r="B757" s="251">
        <v>43385</v>
      </c>
      <c r="C757" s="451">
        <v>34733.58</v>
      </c>
      <c r="D757" s="261">
        <f t="shared" si="11"/>
        <v>-2.1087086329713234E-2</v>
      </c>
    </row>
    <row r="758" spans="2:4" ht="14" thickBot="1" x14ac:dyDescent="0.2">
      <c r="B758" s="251">
        <v>43388</v>
      </c>
      <c r="C758" s="451">
        <v>34865.1</v>
      </c>
      <c r="D758" s="261">
        <f t="shared" si="11"/>
        <v>-3.7722536289870323E-3</v>
      </c>
    </row>
    <row r="759" spans="2:4" ht="14" thickBot="1" x14ac:dyDescent="0.2">
      <c r="B759" s="251">
        <v>43389</v>
      </c>
      <c r="C759" s="451">
        <v>35162.480000000003</v>
      </c>
      <c r="D759" s="261">
        <f t="shared" si="11"/>
        <v>-8.4573101783492755E-3</v>
      </c>
    </row>
    <row r="760" spans="2:4" ht="14" thickBot="1" x14ac:dyDescent="0.2">
      <c r="B760" s="251">
        <v>43390</v>
      </c>
      <c r="C760" s="451">
        <v>34779.58</v>
      </c>
      <c r="D760" s="261">
        <f t="shared" si="11"/>
        <v>1.1009333637726604E-2</v>
      </c>
    </row>
    <row r="761" spans="2:4" ht="14" thickBot="1" x14ac:dyDescent="0.2">
      <c r="B761" s="251">
        <v>43392</v>
      </c>
      <c r="C761" s="451">
        <v>34315.629999999997</v>
      </c>
      <c r="D761" s="261">
        <f t="shared" si="11"/>
        <v>1.3520078168461458E-2</v>
      </c>
    </row>
    <row r="762" spans="2:4" ht="14" thickBot="1" x14ac:dyDescent="0.2">
      <c r="B762" s="251">
        <v>43395</v>
      </c>
      <c r="C762" s="451">
        <v>34134.379999999997</v>
      </c>
      <c r="D762" s="261">
        <f t="shared" si="11"/>
        <v>5.3098957707742311E-3</v>
      </c>
    </row>
    <row r="763" spans="2:4" ht="14" thickBot="1" x14ac:dyDescent="0.2">
      <c r="B763" s="251">
        <v>43396</v>
      </c>
      <c r="C763" s="451">
        <v>33847.230000000003</v>
      </c>
      <c r="D763" s="261">
        <f t="shared" si="11"/>
        <v>8.4837075293899833E-3</v>
      </c>
    </row>
    <row r="764" spans="2:4" ht="14" thickBot="1" x14ac:dyDescent="0.2">
      <c r="B764" s="251">
        <v>43397</v>
      </c>
      <c r="C764" s="451">
        <v>34033.96</v>
      </c>
      <c r="D764" s="261">
        <f t="shared" si="11"/>
        <v>-5.4865786996280974E-3</v>
      </c>
    </row>
    <row r="765" spans="2:4" ht="14" thickBot="1" x14ac:dyDescent="0.2">
      <c r="B765" s="251">
        <v>43398</v>
      </c>
      <c r="C765" s="451">
        <v>33690.089999999997</v>
      </c>
      <c r="D765" s="261">
        <f t="shared" si="11"/>
        <v>1.0206859049649353E-2</v>
      </c>
    </row>
    <row r="766" spans="2:4" ht="14" thickBot="1" x14ac:dyDescent="0.2">
      <c r="B766" s="251">
        <v>43399</v>
      </c>
      <c r="C766" s="451">
        <v>33349.31</v>
      </c>
      <c r="D766" s="261">
        <f t="shared" si="11"/>
        <v>1.0218502271861052E-2</v>
      </c>
    </row>
    <row r="767" spans="2:4" ht="14" thickBot="1" x14ac:dyDescent="0.2">
      <c r="B767" s="251">
        <v>43402</v>
      </c>
      <c r="C767" s="451">
        <v>34067.4</v>
      </c>
      <c r="D767" s="261">
        <f t="shared" si="11"/>
        <v>-2.107850907319031E-2</v>
      </c>
    </row>
    <row r="768" spans="2:4" ht="14" thickBot="1" x14ac:dyDescent="0.2">
      <c r="B768" s="251">
        <v>43403</v>
      </c>
      <c r="C768" s="451">
        <v>33891.129999999997</v>
      </c>
      <c r="D768" s="261">
        <f t="shared" si="11"/>
        <v>5.2010658836103563E-3</v>
      </c>
    </row>
    <row r="769" spans="2:4" ht="14" thickBot="1" x14ac:dyDescent="0.2">
      <c r="B769" s="251">
        <v>43404</v>
      </c>
      <c r="C769" s="451">
        <v>34442.050000000003</v>
      </c>
      <c r="D769" s="261">
        <f t="shared" si="11"/>
        <v>-1.599556356256393E-2</v>
      </c>
    </row>
    <row r="770" spans="2:4" ht="14" thickBot="1" x14ac:dyDescent="0.2">
      <c r="B770" s="251">
        <v>43405</v>
      </c>
      <c r="C770" s="451">
        <v>34431.97</v>
      </c>
      <c r="D770" s="261">
        <f t="shared" si="11"/>
        <v>2.9275118443705672E-4</v>
      </c>
    </row>
    <row r="771" spans="2:4" ht="14" thickBot="1" x14ac:dyDescent="0.2">
      <c r="B771" s="251">
        <v>43406</v>
      </c>
      <c r="C771" s="451">
        <v>35011.65</v>
      </c>
      <c r="D771" s="261">
        <f t="shared" si="11"/>
        <v>-1.6556774673572972E-2</v>
      </c>
    </row>
    <row r="772" spans="2:4" ht="14" thickBot="1" x14ac:dyDescent="0.2">
      <c r="B772" s="251">
        <v>43409</v>
      </c>
      <c r="C772" s="451">
        <v>34950.92</v>
      </c>
      <c r="D772" s="261">
        <f t="shared" si="11"/>
        <v>1.7375794399689948E-3</v>
      </c>
    </row>
    <row r="773" spans="2:4" ht="14" thickBot="1" x14ac:dyDescent="0.2">
      <c r="B773" s="251">
        <v>43410</v>
      </c>
      <c r="C773" s="451">
        <v>34991.910000000003</v>
      </c>
      <c r="D773" s="261">
        <f t="shared" si="11"/>
        <v>-1.1714136210342341E-3</v>
      </c>
    </row>
    <row r="774" spans="2:4" ht="14" thickBot="1" x14ac:dyDescent="0.2">
      <c r="B774" s="251">
        <v>43411</v>
      </c>
      <c r="C774" s="451">
        <v>35237.68</v>
      </c>
      <c r="D774" s="261">
        <f t="shared" si="11"/>
        <v>-6.9746362416593932E-3</v>
      </c>
    </row>
    <row r="775" spans="2:4" ht="14" thickBot="1" x14ac:dyDescent="0.2">
      <c r="B775" s="251">
        <v>43413</v>
      </c>
      <c r="C775" s="451">
        <v>35158.550000000003</v>
      </c>
      <c r="D775" s="261">
        <f t="shared" si="11"/>
        <v>2.250661645602392E-3</v>
      </c>
    </row>
    <row r="776" spans="2:4" ht="14" thickBot="1" x14ac:dyDescent="0.2">
      <c r="B776" s="251">
        <v>43416</v>
      </c>
      <c r="C776" s="451">
        <v>34812.99</v>
      </c>
      <c r="D776" s="261">
        <f t="shared" si="11"/>
        <v>9.9261798541292467E-3</v>
      </c>
    </row>
    <row r="777" spans="2:4" ht="14" thickBot="1" x14ac:dyDescent="0.2">
      <c r="B777" s="251">
        <v>43417</v>
      </c>
      <c r="C777" s="451">
        <v>35144.49</v>
      </c>
      <c r="D777" s="261">
        <f t="shared" si="11"/>
        <v>-9.4324885636410949E-3</v>
      </c>
    </row>
    <row r="778" spans="2:4" ht="14" thickBot="1" x14ac:dyDescent="0.2">
      <c r="B778" s="251">
        <v>43418</v>
      </c>
      <c r="C778" s="451">
        <v>35141.99</v>
      </c>
      <c r="D778" s="261">
        <f t="shared" ref="D778:D841" si="12">C777/C778-1</f>
        <v>7.1139966746347483E-5</v>
      </c>
    </row>
    <row r="779" spans="2:4" ht="14" thickBot="1" x14ac:dyDescent="0.2">
      <c r="B779" s="251">
        <v>43419</v>
      </c>
      <c r="C779" s="451">
        <v>35260.54</v>
      </c>
      <c r="D779" s="261">
        <f t="shared" si="12"/>
        <v>-3.3621152710651137E-3</v>
      </c>
    </row>
    <row r="780" spans="2:4" ht="14" thickBot="1" x14ac:dyDescent="0.2">
      <c r="B780" s="251">
        <v>43420</v>
      </c>
      <c r="C780" s="451">
        <v>35457.160000000003</v>
      </c>
      <c r="D780" s="261">
        <f t="shared" si="12"/>
        <v>-5.5452833785899491E-3</v>
      </c>
    </row>
    <row r="781" spans="2:4" ht="14" thickBot="1" x14ac:dyDescent="0.2">
      <c r="B781" s="251">
        <v>43423</v>
      </c>
      <c r="C781" s="451">
        <v>35774.879999999997</v>
      </c>
      <c r="D781" s="261">
        <f t="shared" si="12"/>
        <v>-8.8810919840959235E-3</v>
      </c>
    </row>
    <row r="782" spans="2:4" ht="14" thickBot="1" x14ac:dyDescent="0.2">
      <c r="B782" s="251">
        <v>43424</v>
      </c>
      <c r="C782" s="451">
        <v>35474.51</v>
      </c>
      <c r="D782" s="261">
        <f t="shared" si="12"/>
        <v>8.4672064533095615E-3</v>
      </c>
    </row>
    <row r="783" spans="2:4" ht="14" thickBot="1" x14ac:dyDescent="0.2">
      <c r="B783" s="251">
        <v>43425</v>
      </c>
      <c r="C783" s="451">
        <v>35199.800000000003</v>
      </c>
      <c r="D783" s="261">
        <f t="shared" si="12"/>
        <v>7.8043057062824328E-3</v>
      </c>
    </row>
    <row r="784" spans="2:4" ht="14" thickBot="1" x14ac:dyDescent="0.2">
      <c r="B784" s="251">
        <v>43426</v>
      </c>
      <c r="C784" s="451">
        <v>34981.019999999997</v>
      </c>
      <c r="D784" s="261">
        <f t="shared" si="12"/>
        <v>6.2542487325984997E-3</v>
      </c>
    </row>
    <row r="785" spans="2:4" ht="14" thickBot="1" x14ac:dyDescent="0.2">
      <c r="B785" s="251">
        <v>43430</v>
      </c>
      <c r="C785" s="451">
        <v>35354.080000000002</v>
      </c>
      <c r="D785" s="261">
        <f t="shared" si="12"/>
        <v>-1.0552106008698381E-2</v>
      </c>
    </row>
    <row r="786" spans="2:4" ht="14" thickBot="1" x14ac:dyDescent="0.2">
      <c r="B786" s="251">
        <v>43431</v>
      </c>
      <c r="C786" s="451">
        <v>35513.14</v>
      </c>
      <c r="D786" s="261">
        <f t="shared" si="12"/>
        <v>-4.4789055543947853E-3</v>
      </c>
    </row>
    <row r="787" spans="2:4" ht="14" thickBot="1" x14ac:dyDescent="0.2">
      <c r="B787" s="251">
        <v>43432</v>
      </c>
      <c r="C787" s="451">
        <v>35716.949999999997</v>
      </c>
      <c r="D787" s="261">
        <f t="shared" si="12"/>
        <v>-5.706254313428194E-3</v>
      </c>
    </row>
    <row r="788" spans="2:4" ht="14" thickBot="1" x14ac:dyDescent="0.2">
      <c r="B788" s="251">
        <v>43433</v>
      </c>
      <c r="C788" s="451">
        <v>36170.410000000003</v>
      </c>
      <c r="D788" s="261">
        <f t="shared" si="12"/>
        <v>-1.2536766931865229E-2</v>
      </c>
    </row>
    <row r="789" spans="2:4" ht="14" thickBot="1" x14ac:dyDescent="0.2">
      <c r="B789" s="251">
        <v>43434</v>
      </c>
      <c r="C789" s="451">
        <v>36194.300000000003</v>
      </c>
      <c r="D789" s="261">
        <f t="shared" si="12"/>
        <v>-6.6004868169844411E-4</v>
      </c>
    </row>
    <row r="790" spans="2:4" ht="14" thickBot="1" x14ac:dyDescent="0.2">
      <c r="B790" s="251">
        <v>43437</v>
      </c>
      <c r="C790" s="451">
        <v>36241</v>
      </c>
      <c r="D790" s="261">
        <f t="shared" si="12"/>
        <v>-1.2885957892992961E-3</v>
      </c>
    </row>
    <row r="791" spans="2:4" ht="14" thickBot="1" x14ac:dyDescent="0.2">
      <c r="B791" s="251">
        <v>43438</v>
      </c>
      <c r="C791" s="451">
        <v>36134.31</v>
      </c>
      <c r="D791" s="261">
        <f t="shared" si="12"/>
        <v>2.9525954695137635E-3</v>
      </c>
    </row>
    <row r="792" spans="2:4" ht="14" thickBot="1" x14ac:dyDescent="0.2">
      <c r="B792" s="251">
        <v>43439</v>
      </c>
      <c r="C792" s="451">
        <v>35884.410000000003</v>
      </c>
      <c r="D792" s="261">
        <f t="shared" si="12"/>
        <v>6.9640269966817492E-3</v>
      </c>
    </row>
    <row r="793" spans="2:4" ht="14" thickBot="1" x14ac:dyDescent="0.2">
      <c r="B793" s="251">
        <v>43440</v>
      </c>
      <c r="C793" s="451">
        <v>35312.129999999997</v>
      </c>
      <c r="D793" s="261">
        <f t="shared" si="12"/>
        <v>1.6206329099944128E-2</v>
      </c>
    </row>
    <row r="794" spans="2:4" ht="14" thickBot="1" x14ac:dyDescent="0.2">
      <c r="B794" s="251">
        <v>43441</v>
      </c>
      <c r="C794" s="451">
        <v>35673.25</v>
      </c>
      <c r="D794" s="261">
        <f t="shared" si="12"/>
        <v>-1.0122991317023322E-2</v>
      </c>
    </row>
    <row r="795" spans="2:4" ht="14" thickBot="1" x14ac:dyDescent="0.2">
      <c r="B795" s="251">
        <v>43444</v>
      </c>
      <c r="C795" s="451">
        <v>34959.72</v>
      </c>
      <c r="D795" s="261">
        <f t="shared" si="12"/>
        <v>2.041006049247529E-2</v>
      </c>
    </row>
    <row r="796" spans="2:4" ht="14" thickBot="1" x14ac:dyDescent="0.2">
      <c r="B796" s="251">
        <v>43445</v>
      </c>
      <c r="C796" s="451">
        <v>35150.01</v>
      </c>
      <c r="D796" s="261">
        <f t="shared" si="12"/>
        <v>-5.4136542208664817E-3</v>
      </c>
    </row>
    <row r="797" spans="2:4" ht="14" thickBot="1" x14ac:dyDescent="0.2">
      <c r="B797" s="251">
        <v>43446</v>
      </c>
      <c r="C797" s="451">
        <v>35779.07</v>
      </c>
      <c r="D797" s="261">
        <f t="shared" si="12"/>
        <v>-1.7581787341034771E-2</v>
      </c>
    </row>
    <row r="798" spans="2:4" ht="14" thickBot="1" x14ac:dyDescent="0.2">
      <c r="B798" s="251">
        <v>43447</v>
      </c>
      <c r="C798" s="451">
        <v>35929.64</v>
      </c>
      <c r="D798" s="261">
        <f t="shared" si="12"/>
        <v>-4.190690471710834E-3</v>
      </c>
    </row>
    <row r="799" spans="2:4" ht="14" thickBot="1" x14ac:dyDescent="0.2">
      <c r="B799" s="251">
        <v>43448</v>
      </c>
      <c r="C799" s="451">
        <v>35962.93</v>
      </c>
      <c r="D799" s="261">
        <f t="shared" si="12"/>
        <v>-9.2567541076327142E-4</v>
      </c>
    </row>
    <row r="800" spans="2:4" ht="14" thickBot="1" x14ac:dyDescent="0.2">
      <c r="B800" s="251">
        <v>43451</v>
      </c>
      <c r="C800" s="451">
        <v>36270.07</v>
      </c>
      <c r="D800" s="261">
        <f t="shared" si="12"/>
        <v>-8.4681391571618247E-3</v>
      </c>
    </row>
    <row r="801" spans="2:4" ht="14" thickBot="1" x14ac:dyDescent="0.2">
      <c r="B801" s="251">
        <v>43452</v>
      </c>
      <c r="C801" s="451">
        <v>36347.08</v>
      </c>
      <c r="D801" s="261">
        <f t="shared" si="12"/>
        <v>-2.1187396621682453E-3</v>
      </c>
    </row>
    <row r="802" spans="2:4" ht="14" thickBot="1" x14ac:dyDescent="0.2">
      <c r="B802" s="251">
        <v>43453</v>
      </c>
      <c r="C802" s="451">
        <v>36484.33</v>
      </c>
      <c r="D802" s="261">
        <f t="shared" si="12"/>
        <v>-3.761889008239927E-3</v>
      </c>
    </row>
    <row r="803" spans="2:4" ht="14" thickBot="1" x14ac:dyDescent="0.2">
      <c r="B803" s="251">
        <v>43454</v>
      </c>
      <c r="C803" s="451">
        <v>36431.67</v>
      </c>
      <c r="D803" s="261">
        <f t="shared" si="12"/>
        <v>1.4454456795420789E-3</v>
      </c>
    </row>
    <row r="804" spans="2:4" ht="14" thickBot="1" x14ac:dyDescent="0.2">
      <c r="B804" s="251">
        <v>43455</v>
      </c>
      <c r="C804" s="451">
        <v>35742.07</v>
      </c>
      <c r="D804" s="261">
        <f t="shared" si="12"/>
        <v>1.9293790202973726E-2</v>
      </c>
    </row>
    <row r="805" spans="2:4" ht="14" thickBot="1" x14ac:dyDescent="0.2">
      <c r="B805" s="251">
        <v>43458</v>
      </c>
      <c r="C805" s="451">
        <v>35470.15</v>
      </c>
      <c r="D805" s="261">
        <f t="shared" si="12"/>
        <v>7.6661643663755719E-3</v>
      </c>
    </row>
    <row r="806" spans="2:4" ht="14" thickBot="1" x14ac:dyDescent="0.2">
      <c r="B806" s="251">
        <v>43460</v>
      </c>
      <c r="C806" s="451">
        <v>35649.94</v>
      </c>
      <c r="D806" s="261">
        <f t="shared" si="12"/>
        <v>-5.0432062438253711E-3</v>
      </c>
    </row>
    <row r="807" spans="2:4" ht="14" thickBot="1" x14ac:dyDescent="0.2">
      <c r="B807" s="251">
        <v>43461</v>
      </c>
      <c r="C807" s="451">
        <v>35807.279999999999</v>
      </c>
      <c r="D807" s="261">
        <f t="shared" si="12"/>
        <v>-4.3940785225796697E-3</v>
      </c>
    </row>
    <row r="808" spans="2:4" ht="14" thickBot="1" x14ac:dyDescent="0.2">
      <c r="B808" s="251">
        <v>43462</v>
      </c>
      <c r="C808" s="451">
        <v>36076.720000000001</v>
      </c>
      <c r="D808" s="261">
        <f t="shared" si="12"/>
        <v>-7.468528181054257E-3</v>
      </c>
    </row>
    <row r="809" spans="2:4" ht="14" thickBot="1" x14ac:dyDescent="0.2">
      <c r="B809" s="251">
        <v>43465</v>
      </c>
      <c r="C809" s="451">
        <v>36068.33</v>
      </c>
      <c r="D809" s="261">
        <f t="shared" si="12"/>
        <v>2.3261404118235518E-4</v>
      </c>
    </row>
    <row r="810" spans="2:4" ht="14" thickBot="1" x14ac:dyDescent="0.2">
      <c r="B810" s="251">
        <v>43466</v>
      </c>
      <c r="C810" s="451">
        <v>36254.57</v>
      </c>
      <c r="D810" s="261">
        <f t="shared" si="12"/>
        <v>-5.1370075551854244E-3</v>
      </c>
    </row>
    <row r="811" spans="2:4" ht="14" thickBot="1" x14ac:dyDescent="0.2">
      <c r="B811" s="251">
        <v>43467</v>
      </c>
      <c r="C811" s="451">
        <v>35891.519999999997</v>
      </c>
      <c r="D811" s="261">
        <f t="shared" si="12"/>
        <v>1.0115202699690684E-2</v>
      </c>
    </row>
    <row r="812" spans="2:4" ht="14" thickBot="1" x14ac:dyDescent="0.2">
      <c r="B812" s="251">
        <v>43468</v>
      </c>
      <c r="C812" s="451">
        <v>35513.71</v>
      </c>
      <c r="D812" s="261">
        <f t="shared" si="12"/>
        <v>1.0638426680850799E-2</v>
      </c>
    </row>
    <row r="813" spans="2:4" ht="14" thickBot="1" x14ac:dyDescent="0.2">
      <c r="B813" s="251">
        <v>43469</v>
      </c>
      <c r="C813" s="451">
        <v>35695.1</v>
      </c>
      <c r="D813" s="261">
        <f t="shared" si="12"/>
        <v>-5.0816498623059703E-3</v>
      </c>
    </row>
    <row r="814" spans="2:4" ht="14" thickBot="1" x14ac:dyDescent="0.2">
      <c r="B814" s="251">
        <v>43472</v>
      </c>
      <c r="C814" s="451">
        <v>35850.160000000003</v>
      </c>
      <c r="D814" s="261">
        <f t="shared" si="12"/>
        <v>-4.3252247688714274E-3</v>
      </c>
    </row>
    <row r="815" spans="2:4" ht="14" thickBot="1" x14ac:dyDescent="0.2">
      <c r="B815" s="251">
        <v>43473</v>
      </c>
      <c r="C815" s="451">
        <v>35980.93</v>
      </c>
      <c r="D815" s="261">
        <f t="shared" si="12"/>
        <v>-3.6344252358123663E-3</v>
      </c>
    </row>
    <row r="816" spans="2:4" ht="14" thickBot="1" x14ac:dyDescent="0.2">
      <c r="B816" s="251">
        <v>43474</v>
      </c>
      <c r="C816" s="451">
        <v>36212.910000000003</v>
      </c>
      <c r="D816" s="261">
        <f t="shared" si="12"/>
        <v>-6.4060027211291226E-3</v>
      </c>
    </row>
    <row r="817" spans="2:4" ht="14" thickBot="1" x14ac:dyDescent="0.2">
      <c r="B817" s="251">
        <v>43475</v>
      </c>
      <c r="C817" s="451">
        <v>36106.5</v>
      </c>
      <c r="D817" s="261">
        <f t="shared" si="12"/>
        <v>2.94711478542653E-3</v>
      </c>
    </row>
    <row r="818" spans="2:4" ht="14" thickBot="1" x14ac:dyDescent="0.2">
      <c r="B818" s="251">
        <v>43476</v>
      </c>
      <c r="C818" s="451">
        <v>36009.839999999997</v>
      </c>
      <c r="D818" s="261">
        <f t="shared" si="12"/>
        <v>2.6842663005446354E-3</v>
      </c>
    </row>
    <row r="819" spans="2:4" ht="14" thickBot="1" x14ac:dyDescent="0.2">
      <c r="B819" s="251">
        <v>43479</v>
      </c>
      <c r="C819" s="451">
        <v>35853.56</v>
      </c>
      <c r="D819" s="261">
        <f t="shared" si="12"/>
        <v>4.3588419113749222E-3</v>
      </c>
    </row>
    <row r="820" spans="2:4" ht="14" thickBot="1" x14ac:dyDescent="0.2">
      <c r="B820" s="251">
        <v>43480</v>
      </c>
      <c r="C820" s="451">
        <v>36318.33</v>
      </c>
      <c r="D820" s="261">
        <f t="shared" si="12"/>
        <v>-1.2797119250802624E-2</v>
      </c>
    </row>
    <row r="821" spans="2:4" ht="14" thickBot="1" x14ac:dyDescent="0.2">
      <c r="B821" s="251">
        <v>43481</v>
      </c>
      <c r="C821" s="451">
        <v>36321.29</v>
      </c>
      <c r="D821" s="261">
        <f t="shared" si="12"/>
        <v>-8.1494902851697582E-5</v>
      </c>
    </row>
    <row r="822" spans="2:4" ht="14" thickBot="1" x14ac:dyDescent="0.2">
      <c r="B822" s="251">
        <v>43482</v>
      </c>
      <c r="C822" s="451">
        <v>36374.080000000002</v>
      </c>
      <c r="D822" s="261">
        <f t="shared" si="12"/>
        <v>-1.4513081842895126E-3</v>
      </c>
    </row>
    <row r="823" spans="2:4" ht="14" thickBot="1" x14ac:dyDescent="0.2">
      <c r="B823" s="251">
        <v>43483</v>
      </c>
      <c r="C823" s="451">
        <v>36386.61</v>
      </c>
      <c r="D823" s="261">
        <f t="shared" si="12"/>
        <v>-3.4435744357608211E-4</v>
      </c>
    </row>
    <row r="824" spans="2:4" ht="14" thickBot="1" x14ac:dyDescent="0.2">
      <c r="B824" s="251">
        <v>43486</v>
      </c>
      <c r="C824" s="451">
        <v>36578.959999999999</v>
      </c>
      <c r="D824" s="261">
        <f t="shared" si="12"/>
        <v>-5.2584873927524756E-3</v>
      </c>
    </row>
    <row r="825" spans="2:4" ht="14" thickBot="1" x14ac:dyDescent="0.2">
      <c r="B825" s="251">
        <v>43487</v>
      </c>
      <c r="C825" s="451">
        <v>36444.639999999999</v>
      </c>
      <c r="D825" s="261">
        <f t="shared" si="12"/>
        <v>3.6855899797609837E-3</v>
      </c>
    </row>
    <row r="826" spans="2:4" ht="14" thickBot="1" x14ac:dyDescent="0.2">
      <c r="B826" s="251">
        <v>43488</v>
      </c>
      <c r="C826" s="451">
        <v>36108.47</v>
      </c>
      <c r="D826" s="261">
        <f t="shared" si="12"/>
        <v>9.3100039962923375E-3</v>
      </c>
    </row>
    <row r="827" spans="2:4" ht="14" thickBot="1" x14ac:dyDescent="0.2">
      <c r="B827" s="251">
        <v>43489</v>
      </c>
      <c r="C827" s="451">
        <v>36195.1</v>
      </c>
      <c r="D827" s="261">
        <f t="shared" si="12"/>
        <v>-2.3934178935821615E-3</v>
      </c>
    </row>
    <row r="828" spans="2:4" ht="14" thickBot="1" x14ac:dyDescent="0.2">
      <c r="B828" s="251">
        <v>43490</v>
      </c>
      <c r="C828" s="451">
        <v>36025.54</v>
      </c>
      <c r="D828" s="261">
        <f t="shared" si="12"/>
        <v>4.7066608855828029E-3</v>
      </c>
    </row>
    <row r="829" spans="2:4" ht="14" thickBot="1" x14ac:dyDescent="0.2">
      <c r="B829" s="251">
        <v>43493</v>
      </c>
      <c r="C829" s="451">
        <v>35656.699999999997</v>
      </c>
      <c r="D829" s="261">
        <f t="shared" si="12"/>
        <v>1.0344198986445896E-2</v>
      </c>
    </row>
    <row r="830" spans="2:4" ht="14" thickBot="1" x14ac:dyDescent="0.2">
      <c r="B830" s="251">
        <v>43494</v>
      </c>
      <c r="C830" s="451">
        <v>35592.5</v>
      </c>
      <c r="D830" s="261">
        <f t="shared" si="12"/>
        <v>1.8037507901944583E-3</v>
      </c>
    </row>
    <row r="831" spans="2:4" ht="14" thickBot="1" x14ac:dyDescent="0.2">
      <c r="B831" s="251">
        <v>43495</v>
      </c>
      <c r="C831" s="451">
        <v>35591.25</v>
      </c>
      <c r="D831" s="261">
        <f t="shared" si="12"/>
        <v>3.5120991816794955E-5</v>
      </c>
    </row>
    <row r="832" spans="2:4" ht="14" thickBot="1" x14ac:dyDescent="0.2">
      <c r="B832" s="251">
        <v>43496</v>
      </c>
      <c r="C832" s="451">
        <v>36256.69</v>
      </c>
      <c r="D832" s="261">
        <f t="shared" si="12"/>
        <v>-1.8353578332716003E-2</v>
      </c>
    </row>
    <row r="833" spans="2:4" ht="14" thickBot="1" x14ac:dyDescent="0.2">
      <c r="B833" s="251">
        <v>43497</v>
      </c>
      <c r="C833" s="451">
        <v>36469.43</v>
      </c>
      <c r="D833" s="261">
        <f t="shared" si="12"/>
        <v>-5.833378805207512E-3</v>
      </c>
    </row>
    <row r="834" spans="2:4" ht="14" thickBot="1" x14ac:dyDescent="0.2">
      <c r="B834" s="251">
        <v>43500</v>
      </c>
      <c r="C834" s="451">
        <v>36582.74</v>
      </c>
      <c r="D834" s="261">
        <f t="shared" si="12"/>
        <v>-3.0973623080172707E-3</v>
      </c>
    </row>
    <row r="835" spans="2:4" ht="14" thickBot="1" x14ac:dyDescent="0.2">
      <c r="B835" s="251">
        <v>43501</v>
      </c>
      <c r="C835" s="451">
        <v>36616.81</v>
      </c>
      <c r="D835" s="261">
        <f t="shared" si="12"/>
        <v>-9.3044697230593165E-4</v>
      </c>
    </row>
    <row r="836" spans="2:4" ht="14" thickBot="1" x14ac:dyDescent="0.2">
      <c r="B836" s="251">
        <v>43502</v>
      </c>
      <c r="C836" s="451">
        <v>36975.230000000003</v>
      </c>
      <c r="D836" s="261">
        <f t="shared" si="12"/>
        <v>-9.6935164433056276E-3</v>
      </c>
    </row>
    <row r="837" spans="2:4" ht="14" thickBot="1" x14ac:dyDescent="0.2">
      <c r="B837" s="251">
        <v>43503</v>
      </c>
      <c r="C837" s="451">
        <v>36971.089999999997</v>
      </c>
      <c r="D837" s="261">
        <f t="shared" si="12"/>
        <v>1.1197938713758404E-4</v>
      </c>
    </row>
    <row r="838" spans="2:4" ht="14" thickBot="1" x14ac:dyDescent="0.2">
      <c r="B838" s="251">
        <v>43504</v>
      </c>
      <c r="C838" s="451">
        <v>36546.480000000003</v>
      </c>
      <c r="D838" s="261">
        <f t="shared" si="12"/>
        <v>1.1618355584450013E-2</v>
      </c>
    </row>
    <row r="839" spans="2:4" ht="14" thickBot="1" x14ac:dyDescent="0.2">
      <c r="B839" s="251">
        <v>43507</v>
      </c>
      <c r="C839" s="451">
        <v>36395.03</v>
      </c>
      <c r="D839" s="261">
        <f t="shared" si="12"/>
        <v>4.1612824608197041E-3</v>
      </c>
    </row>
    <row r="840" spans="2:4" ht="14" thickBot="1" x14ac:dyDescent="0.2">
      <c r="B840" s="251">
        <v>43508</v>
      </c>
      <c r="C840" s="451">
        <v>36153.620000000003</v>
      </c>
      <c r="D840" s="261">
        <f t="shared" si="12"/>
        <v>6.6773396412307395E-3</v>
      </c>
    </row>
    <row r="841" spans="2:4" ht="14" thickBot="1" x14ac:dyDescent="0.2">
      <c r="B841" s="251">
        <v>43509</v>
      </c>
      <c r="C841" s="451">
        <v>36034.11</v>
      </c>
      <c r="D841" s="261">
        <f t="shared" si="12"/>
        <v>3.3165797628968985E-3</v>
      </c>
    </row>
    <row r="842" spans="2:4" ht="14" thickBot="1" x14ac:dyDescent="0.2">
      <c r="B842" s="251">
        <v>43510</v>
      </c>
      <c r="C842" s="451">
        <v>35876.22</v>
      </c>
      <c r="D842" s="261">
        <f t="shared" ref="D842:D905" si="13">C841/C842-1</f>
        <v>4.4009653190888454E-3</v>
      </c>
    </row>
    <row r="843" spans="2:4" ht="14" thickBot="1" x14ac:dyDescent="0.2">
      <c r="B843" s="251">
        <v>43511</v>
      </c>
      <c r="C843" s="451">
        <v>35808.949999999997</v>
      </c>
      <c r="D843" s="261">
        <f t="shared" si="13"/>
        <v>1.8785806341712341E-3</v>
      </c>
    </row>
    <row r="844" spans="2:4" ht="14" thickBot="1" x14ac:dyDescent="0.2">
      <c r="B844" s="251">
        <v>43514</v>
      </c>
      <c r="C844" s="451">
        <v>35498.44</v>
      </c>
      <c r="D844" s="261">
        <f t="shared" si="13"/>
        <v>8.7471449449607608E-3</v>
      </c>
    </row>
    <row r="845" spans="2:4" ht="14" thickBot="1" x14ac:dyDescent="0.2">
      <c r="B845" s="251">
        <v>43515</v>
      </c>
      <c r="C845" s="451">
        <v>35352.61</v>
      </c>
      <c r="D845" s="261">
        <f t="shared" si="13"/>
        <v>4.1250136835724316E-3</v>
      </c>
    </row>
    <row r="846" spans="2:4" ht="14" thickBot="1" x14ac:dyDescent="0.2">
      <c r="B846" s="251">
        <v>43516</v>
      </c>
      <c r="C846" s="451">
        <v>35756.26</v>
      </c>
      <c r="D846" s="261">
        <f t="shared" si="13"/>
        <v>-1.1288932343595293E-2</v>
      </c>
    </row>
    <row r="847" spans="2:4" ht="14" thickBot="1" x14ac:dyDescent="0.2">
      <c r="B847" s="251">
        <v>43517</v>
      </c>
      <c r="C847" s="451">
        <v>35898.35</v>
      </c>
      <c r="D847" s="261">
        <f t="shared" si="13"/>
        <v>-3.9581206378564993E-3</v>
      </c>
    </row>
    <row r="848" spans="2:4" ht="14" thickBot="1" x14ac:dyDescent="0.2">
      <c r="B848" s="251">
        <v>43518</v>
      </c>
      <c r="C848" s="451">
        <v>35871.480000000003</v>
      </c>
      <c r="D848" s="261">
        <f t="shared" si="13"/>
        <v>7.4906304395572221E-4</v>
      </c>
    </row>
    <row r="849" spans="2:4" ht="14" thickBot="1" x14ac:dyDescent="0.2">
      <c r="B849" s="251">
        <v>43521</v>
      </c>
      <c r="C849" s="451">
        <v>36213.379999999997</v>
      </c>
      <c r="D849" s="261">
        <f t="shared" si="13"/>
        <v>-9.4412617656787212E-3</v>
      </c>
    </row>
    <row r="850" spans="2:4" ht="14" thickBot="1" x14ac:dyDescent="0.2">
      <c r="B850" s="251">
        <v>43522</v>
      </c>
      <c r="C850" s="451">
        <v>35973.71</v>
      </c>
      <c r="D850" s="261">
        <f t="shared" si="13"/>
        <v>6.6623653773825176E-3</v>
      </c>
    </row>
    <row r="851" spans="2:4" ht="14" thickBot="1" x14ac:dyDescent="0.2">
      <c r="B851" s="251">
        <v>43523</v>
      </c>
      <c r="C851" s="451">
        <v>35905.43</v>
      </c>
      <c r="D851" s="261">
        <f t="shared" si="13"/>
        <v>1.9016622276908368E-3</v>
      </c>
    </row>
    <row r="852" spans="2:4" ht="14" thickBot="1" x14ac:dyDescent="0.2">
      <c r="B852" s="251">
        <v>43524</v>
      </c>
      <c r="C852" s="451">
        <v>35867.440000000002</v>
      </c>
      <c r="D852" s="261">
        <f t="shared" si="13"/>
        <v>1.0591779062012474E-3</v>
      </c>
    </row>
    <row r="853" spans="2:4" ht="14" thickBot="1" x14ac:dyDescent="0.2">
      <c r="B853" s="251">
        <v>43525</v>
      </c>
      <c r="C853" s="451">
        <v>36063.81</v>
      </c>
      <c r="D853" s="261">
        <f t="shared" si="13"/>
        <v>-5.4450708341685639E-3</v>
      </c>
    </row>
    <row r="854" spans="2:4" ht="14" thickBot="1" x14ac:dyDescent="0.2">
      <c r="B854" s="251">
        <v>43529</v>
      </c>
      <c r="C854" s="451">
        <v>36442.54</v>
      </c>
      <c r="D854" s="261">
        <f t="shared" si="13"/>
        <v>-1.0392524780105994E-2</v>
      </c>
    </row>
    <row r="855" spans="2:4" ht="14" thickBot="1" x14ac:dyDescent="0.2">
      <c r="B855" s="251">
        <v>43530</v>
      </c>
      <c r="C855" s="451">
        <v>36636.1</v>
      </c>
      <c r="D855" s="261">
        <f t="shared" si="13"/>
        <v>-5.28331345312405E-3</v>
      </c>
    </row>
    <row r="856" spans="2:4" ht="14" thickBot="1" x14ac:dyDescent="0.2">
      <c r="B856" s="251">
        <v>43531</v>
      </c>
      <c r="C856" s="451">
        <v>36725.42</v>
      </c>
      <c r="D856" s="261">
        <f t="shared" si="13"/>
        <v>-2.4321028867743122E-3</v>
      </c>
    </row>
    <row r="857" spans="2:4" ht="14" thickBot="1" x14ac:dyDescent="0.2">
      <c r="B857" s="251">
        <v>43532</v>
      </c>
      <c r="C857" s="451">
        <v>36671.43</v>
      </c>
      <c r="D857" s="261">
        <f t="shared" si="13"/>
        <v>1.4722632850694417E-3</v>
      </c>
    </row>
    <row r="858" spans="2:4" ht="14" thickBot="1" x14ac:dyDescent="0.2">
      <c r="B858" s="251">
        <v>43535</v>
      </c>
      <c r="C858" s="451">
        <v>37054.1</v>
      </c>
      <c r="D858" s="261">
        <f t="shared" si="13"/>
        <v>-1.032733219805626E-2</v>
      </c>
    </row>
    <row r="859" spans="2:4" ht="14" thickBot="1" x14ac:dyDescent="0.2">
      <c r="B859" s="251">
        <v>43536</v>
      </c>
      <c r="C859" s="451">
        <v>37535.660000000003</v>
      </c>
      <c r="D859" s="261">
        <f t="shared" si="13"/>
        <v>-1.2829400095802357E-2</v>
      </c>
    </row>
    <row r="860" spans="2:4" ht="14" thickBot="1" x14ac:dyDescent="0.2">
      <c r="B860" s="251">
        <v>43537</v>
      </c>
      <c r="C860" s="451">
        <v>37752.17</v>
      </c>
      <c r="D860" s="261">
        <f t="shared" si="13"/>
        <v>-5.7350345688736981E-3</v>
      </c>
    </row>
    <row r="861" spans="2:4" ht="14" thickBot="1" x14ac:dyDescent="0.2">
      <c r="B861" s="251">
        <v>43538</v>
      </c>
      <c r="C861" s="451">
        <v>37754.89</v>
      </c>
      <c r="D861" s="261">
        <f t="shared" si="13"/>
        <v>-7.2043647855957182E-5</v>
      </c>
    </row>
    <row r="862" spans="2:4" ht="14" thickBot="1" x14ac:dyDescent="0.2">
      <c r="B862" s="251">
        <v>43539</v>
      </c>
      <c r="C862" s="451">
        <v>38024.32</v>
      </c>
      <c r="D862" s="261">
        <f t="shared" si="13"/>
        <v>-7.085728291787996E-3</v>
      </c>
    </row>
    <row r="863" spans="2:4" ht="14" thickBot="1" x14ac:dyDescent="0.2">
      <c r="B863" s="251">
        <v>43542</v>
      </c>
      <c r="C863" s="451">
        <v>38095.07</v>
      </c>
      <c r="D863" s="261">
        <f t="shared" si="13"/>
        <v>-1.8571956948759683E-3</v>
      </c>
    </row>
    <row r="864" spans="2:4" ht="14" thickBot="1" x14ac:dyDescent="0.2">
      <c r="B864" s="251">
        <v>43543</v>
      </c>
      <c r="C864" s="451">
        <v>38363.47</v>
      </c>
      <c r="D864" s="261">
        <f t="shared" si="13"/>
        <v>-6.9962388699458256E-3</v>
      </c>
    </row>
    <row r="865" spans="2:4" ht="14" thickBot="1" x14ac:dyDescent="0.2">
      <c r="B865" s="251">
        <v>43544</v>
      </c>
      <c r="C865" s="451">
        <v>38386.75</v>
      </c>
      <c r="D865" s="261">
        <f t="shared" si="13"/>
        <v>-6.0645926003111139E-4</v>
      </c>
    </row>
    <row r="866" spans="2:4" ht="14" thickBot="1" x14ac:dyDescent="0.2">
      <c r="B866" s="251">
        <v>43546</v>
      </c>
      <c r="C866" s="451">
        <v>38164.61</v>
      </c>
      <c r="D866" s="261">
        <f t="shared" si="13"/>
        <v>5.8205756589677637E-3</v>
      </c>
    </row>
    <row r="867" spans="2:4" ht="14" thickBot="1" x14ac:dyDescent="0.2">
      <c r="B867" s="251">
        <v>43549</v>
      </c>
      <c r="C867" s="451">
        <v>37808.910000000003</v>
      </c>
      <c r="D867" s="261">
        <f t="shared" si="13"/>
        <v>9.4078353488633581E-3</v>
      </c>
    </row>
    <row r="868" spans="2:4" ht="14" thickBot="1" x14ac:dyDescent="0.2">
      <c r="B868" s="251">
        <v>43550</v>
      </c>
      <c r="C868" s="451">
        <v>38233.410000000003</v>
      </c>
      <c r="D868" s="261">
        <f t="shared" si="13"/>
        <v>-1.1102854806829932E-2</v>
      </c>
    </row>
    <row r="869" spans="2:4" ht="14" thickBot="1" x14ac:dyDescent="0.2">
      <c r="B869" s="251">
        <v>43551</v>
      </c>
      <c r="C869" s="451">
        <v>38132.879999999997</v>
      </c>
      <c r="D869" s="261">
        <f t="shared" si="13"/>
        <v>2.6363075644957323E-3</v>
      </c>
    </row>
    <row r="870" spans="2:4" ht="14" thickBot="1" x14ac:dyDescent="0.2">
      <c r="B870" s="251">
        <v>43552</v>
      </c>
      <c r="C870" s="451">
        <v>38545.72</v>
      </c>
      <c r="D870" s="261">
        <f t="shared" si="13"/>
        <v>-1.0710397937825578E-2</v>
      </c>
    </row>
    <row r="871" spans="2:4" ht="14" thickBot="1" x14ac:dyDescent="0.2">
      <c r="B871" s="251">
        <v>43553</v>
      </c>
      <c r="C871" s="451">
        <v>38672.910000000003</v>
      </c>
      <c r="D871" s="261">
        <f t="shared" si="13"/>
        <v>-3.2888655133529454E-3</v>
      </c>
    </row>
    <row r="872" spans="2:4" ht="14" thickBot="1" x14ac:dyDescent="0.2">
      <c r="B872" s="251">
        <v>43556</v>
      </c>
      <c r="C872" s="451">
        <v>38871.870000000003</v>
      </c>
      <c r="D872" s="261">
        <f t="shared" si="13"/>
        <v>-5.1183542237612789E-3</v>
      </c>
    </row>
    <row r="873" spans="2:4" ht="14" thickBot="1" x14ac:dyDescent="0.2">
      <c r="B873" s="251">
        <v>43557</v>
      </c>
      <c r="C873" s="451">
        <v>39056.65</v>
      </c>
      <c r="D873" s="261">
        <f t="shared" si="13"/>
        <v>-4.7310765260205612E-3</v>
      </c>
    </row>
    <row r="874" spans="2:4" ht="14" thickBot="1" x14ac:dyDescent="0.2">
      <c r="B874" s="251">
        <v>43558</v>
      </c>
      <c r="C874" s="451">
        <v>38877.120000000003</v>
      </c>
      <c r="D874" s="261">
        <f t="shared" si="13"/>
        <v>4.6178832176868578E-3</v>
      </c>
    </row>
    <row r="875" spans="2:4" ht="14" thickBot="1" x14ac:dyDescent="0.2">
      <c r="B875" s="251">
        <v>43559</v>
      </c>
      <c r="C875" s="451">
        <v>38684.720000000001</v>
      </c>
      <c r="D875" s="261">
        <f t="shared" si="13"/>
        <v>4.9735399403174618E-3</v>
      </c>
    </row>
    <row r="876" spans="2:4" ht="14" thickBot="1" x14ac:dyDescent="0.2">
      <c r="B876" s="251">
        <v>43560</v>
      </c>
      <c r="C876" s="451">
        <v>38862.230000000003</v>
      </c>
      <c r="D876" s="261">
        <f t="shared" si="13"/>
        <v>-4.5676740629655432E-3</v>
      </c>
    </row>
    <row r="877" spans="2:4" ht="14" thickBot="1" x14ac:dyDescent="0.2">
      <c r="B877" s="251">
        <v>43563</v>
      </c>
      <c r="C877" s="451">
        <v>38700.53</v>
      </c>
      <c r="D877" s="261">
        <f t="shared" si="13"/>
        <v>4.1782373523051586E-3</v>
      </c>
    </row>
    <row r="878" spans="2:4" ht="14" thickBot="1" x14ac:dyDescent="0.2">
      <c r="B878" s="251">
        <v>43564</v>
      </c>
      <c r="C878" s="451">
        <v>38939.22</v>
      </c>
      <c r="D878" s="261">
        <f t="shared" si="13"/>
        <v>-6.1298094825731342E-3</v>
      </c>
    </row>
    <row r="879" spans="2:4" ht="14" thickBot="1" x14ac:dyDescent="0.2">
      <c r="B879" s="251">
        <v>43565</v>
      </c>
      <c r="C879" s="451">
        <v>38585.35</v>
      </c>
      <c r="D879" s="261">
        <f t="shared" si="13"/>
        <v>9.1710973206153845E-3</v>
      </c>
    </row>
    <row r="880" spans="2:4" ht="14" thickBot="1" x14ac:dyDescent="0.2">
      <c r="B880" s="251">
        <v>43566</v>
      </c>
      <c r="C880" s="451">
        <v>38607.01</v>
      </c>
      <c r="D880" s="261">
        <f t="shared" si="13"/>
        <v>-5.6103800838247508E-4</v>
      </c>
    </row>
    <row r="881" spans="2:4" ht="14" thickBot="1" x14ac:dyDescent="0.2">
      <c r="B881" s="251">
        <v>43567</v>
      </c>
      <c r="C881" s="451">
        <v>38767.11</v>
      </c>
      <c r="D881" s="261">
        <f t="shared" si="13"/>
        <v>-4.1297894013765379E-3</v>
      </c>
    </row>
    <row r="882" spans="2:4" ht="14" thickBot="1" x14ac:dyDescent="0.2">
      <c r="B882" s="251">
        <v>43570</v>
      </c>
      <c r="C882" s="451">
        <v>38905.839999999997</v>
      </c>
      <c r="D882" s="261">
        <f t="shared" si="13"/>
        <v>-3.5657885808402234E-3</v>
      </c>
    </row>
    <row r="883" spans="2:4" ht="14" thickBot="1" x14ac:dyDescent="0.2">
      <c r="B883" s="251">
        <v>43571</v>
      </c>
      <c r="C883" s="451">
        <v>39275.64</v>
      </c>
      <c r="D883" s="261">
        <f t="shared" si="13"/>
        <v>-9.4155053870542682E-3</v>
      </c>
    </row>
    <row r="884" spans="2:4" ht="14" thickBot="1" x14ac:dyDescent="0.2">
      <c r="B884" s="251">
        <v>43573</v>
      </c>
      <c r="C884" s="451">
        <v>39140.28</v>
      </c>
      <c r="D884" s="261">
        <f t="shared" si="13"/>
        <v>3.45832988420125E-3</v>
      </c>
    </row>
    <row r="885" spans="2:4" ht="14" thickBot="1" x14ac:dyDescent="0.2">
      <c r="B885" s="251">
        <v>43577</v>
      </c>
      <c r="C885" s="451">
        <v>38645.18</v>
      </c>
      <c r="D885" s="261">
        <f t="shared" si="13"/>
        <v>1.2811429523681861E-2</v>
      </c>
    </row>
    <row r="886" spans="2:4" ht="14" thickBot="1" x14ac:dyDescent="0.2">
      <c r="B886" s="251">
        <v>43578</v>
      </c>
      <c r="C886" s="451">
        <v>38564.879999999997</v>
      </c>
      <c r="D886" s="261">
        <f t="shared" si="13"/>
        <v>2.0822053640514593E-3</v>
      </c>
    </row>
    <row r="887" spans="2:4" ht="14" thickBot="1" x14ac:dyDescent="0.2">
      <c r="B887" s="251">
        <v>43579</v>
      </c>
      <c r="C887" s="451">
        <v>39054.68</v>
      </c>
      <c r="D887" s="261">
        <f t="shared" si="13"/>
        <v>-1.2541390686084286E-2</v>
      </c>
    </row>
    <row r="888" spans="2:4" ht="14" thickBot="1" x14ac:dyDescent="0.2">
      <c r="B888" s="251">
        <v>43580</v>
      </c>
      <c r="C888" s="451">
        <v>38730.86</v>
      </c>
      <c r="D888" s="261">
        <f t="shared" si="13"/>
        <v>8.3607748446588026E-3</v>
      </c>
    </row>
    <row r="889" spans="2:4" ht="14" thickBot="1" x14ac:dyDescent="0.2">
      <c r="B889" s="251">
        <v>43581</v>
      </c>
      <c r="C889" s="451">
        <v>39067.33</v>
      </c>
      <c r="D889" s="261">
        <f t="shared" si="13"/>
        <v>-8.6125670733065984E-3</v>
      </c>
    </row>
    <row r="890" spans="2:4" ht="14" thickBot="1" x14ac:dyDescent="0.2">
      <c r="B890" s="251">
        <v>43585</v>
      </c>
      <c r="C890" s="451">
        <v>39031.550000000003</v>
      </c>
      <c r="D890" s="261">
        <f t="shared" si="13"/>
        <v>9.1669431523988543E-4</v>
      </c>
    </row>
    <row r="891" spans="2:4" ht="14" thickBot="1" x14ac:dyDescent="0.2">
      <c r="B891" s="251">
        <v>43587</v>
      </c>
      <c r="C891" s="451">
        <v>38981.43</v>
      </c>
      <c r="D891" s="261">
        <f t="shared" si="13"/>
        <v>1.2857404153721053E-3</v>
      </c>
    </row>
    <row r="892" spans="2:4" ht="14" thickBot="1" x14ac:dyDescent="0.2">
      <c r="B892" s="251">
        <v>43588</v>
      </c>
      <c r="C892" s="451">
        <v>38963.26</v>
      </c>
      <c r="D892" s="261">
        <f t="shared" si="13"/>
        <v>4.6633674902962774E-4</v>
      </c>
    </row>
    <row r="893" spans="2:4" ht="14" thickBot="1" x14ac:dyDescent="0.2">
      <c r="B893" s="251">
        <v>43591</v>
      </c>
      <c r="C893" s="451">
        <v>38600.339999999997</v>
      </c>
      <c r="D893" s="261">
        <f t="shared" si="13"/>
        <v>9.4019897234067784E-3</v>
      </c>
    </row>
    <row r="894" spans="2:4" ht="14" thickBot="1" x14ac:dyDescent="0.2">
      <c r="B894" s="251">
        <v>43592</v>
      </c>
      <c r="C894" s="451">
        <v>38276.629999999997</v>
      </c>
      <c r="D894" s="261">
        <f t="shared" si="13"/>
        <v>8.4571186125841358E-3</v>
      </c>
    </row>
    <row r="895" spans="2:4" ht="14" thickBot="1" x14ac:dyDescent="0.2">
      <c r="B895" s="251">
        <v>43593</v>
      </c>
      <c r="C895" s="451">
        <v>37789.129999999997</v>
      </c>
      <c r="D895" s="261">
        <f t="shared" si="13"/>
        <v>1.2900535153892223E-2</v>
      </c>
    </row>
    <row r="896" spans="2:4" ht="14" thickBot="1" x14ac:dyDescent="0.2">
      <c r="B896" s="251">
        <v>43594</v>
      </c>
      <c r="C896" s="451">
        <v>37558.910000000003</v>
      </c>
      <c r="D896" s="261">
        <f t="shared" si="13"/>
        <v>6.12957085282817E-3</v>
      </c>
    </row>
    <row r="897" spans="2:4" ht="14" thickBot="1" x14ac:dyDescent="0.2">
      <c r="B897" s="251">
        <v>43595</v>
      </c>
      <c r="C897" s="451">
        <v>37462.99</v>
      </c>
      <c r="D897" s="261">
        <f t="shared" si="13"/>
        <v>2.560393604461586E-3</v>
      </c>
    </row>
    <row r="898" spans="2:4" ht="14" thickBot="1" x14ac:dyDescent="0.2">
      <c r="B898" s="251">
        <v>43598</v>
      </c>
      <c r="C898" s="451">
        <v>37090.82</v>
      </c>
      <c r="D898" s="261">
        <f t="shared" si="13"/>
        <v>1.0034019199359756E-2</v>
      </c>
    </row>
    <row r="899" spans="2:4" ht="14" thickBot="1" x14ac:dyDescent="0.2">
      <c r="B899" s="251">
        <v>43599</v>
      </c>
      <c r="C899" s="451">
        <v>37318.53</v>
      </c>
      <c r="D899" s="261">
        <f t="shared" si="13"/>
        <v>-6.1017944704681026E-3</v>
      </c>
    </row>
    <row r="900" spans="2:4" ht="14" thickBot="1" x14ac:dyDescent="0.2">
      <c r="B900" s="251">
        <v>43600</v>
      </c>
      <c r="C900" s="451">
        <v>37114.879999999997</v>
      </c>
      <c r="D900" s="261">
        <f t="shared" si="13"/>
        <v>5.4870176058767761E-3</v>
      </c>
    </row>
    <row r="901" spans="2:4" ht="14" thickBot="1" x14ac:dyDescent="0.2">
      <c r="B901" s="251">
        <v>43601</v>
      </c>
      <c r="C901" s="451">
        <v>37393.480000000003</v>
      </c>
      <c r="D901" s="261">
        <f t="shared" si="13"/>
        <v>-7.4504967176097781E-3</v>
      </c>
    </row>
    <row r="902" spans="2:4" ht="14" thickBot="1" x14ac:dyDescent="0.2">
      <c r="B902" s="251">
        <v>43602</v>
      </c>
      <c r="C902" s="451">
        <v>37930.769999999997</v>
      </c>
      <c r="D902" s="261">
        <f t="shared" si="13"/>
        <v>-1.4165016950618003E-2</v>
      </c>
    </row>
    <row r="903" spans="2:4" ht="14" thickBot="1" x14ac:dyDescent="0.2">
      <c r="B903" s="251">
        <v>43605</v>
      </c>
      <c r="C903" s="451">
        <v>39352.67</v>
      </c>
      <c r="D903" s="261">
        <f t="shared" si="13"/>
        <v>-3.6132237024832148E-2</v>
      </c>
    </row>
    <row r="904" spans="2:4" ht="14" thickBot="1" x14ac:dyDescent="0.2">
      <c r="B904" s="251">
        <v>43606</v>
      </c>
      <c r="C904" s="451">
        <v>38969.800000000003</v>
      </c>
      <c r="D904" s="261">
        <f t="shared" si="13"/>
        <v>9.8247873994732338E-3</v>
      </c>
    </row>
    <row r="905" spans="2:4" ht="14" thickBot="1" x14ac:dyDescent="0.2">
      <c r="B905" s="251">
        <v>43607</v>
      </c>
      <c r="C905" s="451">
        <v>39110.21</v>
      </c>
      <c r="D905" s="261">
        <f t="shared" si="13"/>
        <v>-3.5901111244351913E-3</v>
      </c>
    </row>
    <row r="906" spans="2:4" ht="14" thickBot="1" x14ac:dyDescent="0.2">
      <c r="B906" s="251">
        <v>43608</v>
      </c>
      <c r="C906" s="451">
        <v>38811.39</v>
      </c>
      <c r="D906" s="261">
        <f t="shared" ref="D906:D969" si="14">C905/C906-1</f>
        <v>7.6992862146911811E-3</v>
      </c>
    </row>
    <row r="907" spans="2:4" ht="14" thickBot="1" x14ac:dyDescent="0.2">
      <c r="B907" s="251">
        <v>43609</v>
      </c>
      <c r="C907" s="451">
        <v>39434.720000000001</v>
      </c>
      <c r="D907" s="261">
        <f t="shared" si="14"/>
        <v>-1.5806629285056495E-2</v>
      </c>
    </row>
    <row r="908" spans="2:4" ht="14" thickBot="1" x14ac:dyDescent="0.2">
      <c r="B908" s="251">
        <v>43612</v>
      </c>
      <c r="C908" s="451">
        <v>39683.29</v>
      </c>
      <c r="D908" s="261">
        <f t="shared" si="14"/>
        <v>-6.2638455632081369E-3</v>
      </c>
    </row>
    <row r="909" spans="2:4" ht="14" thickBot="1" x14ac:dyDescent="0.2">
      <c r="B909" s="251">
        <v>43613</v>
      </c>
      <c r="C909" s="451">
        <v>39749.730000000003</v>
      </c>
      <c r="D909" s="261">
        <f t="shared" si="14"/>
        <v>-1.67145789417944E-3</v>
      </c>
    </row>
    <row r="910" spans="2:4" ht="14" thickBot="1" x14ac:dyDescent="0.2">
      <c r="B910" s="251">
        <v>43614</v>
      </c>
      <c r="C910" s="451">
        <v>39502.050000000003</v>
      </c>
      <c r="D910" s="261">
        <f t="shared" si="14"/>
        <v>6.2700543389520025E-3</v>
      </c>
    </row>
    <row r="911" spans="2:4" ht="14" thickBot="1" x14ac:dyDescent="0.2">
      <c r="B911" s="251">
        <v>43615</v>
      </c>
      <c r="C911" s="451">
        <v>39831.97</v>
      </c>
      <c r="D911" s="261">
        <f t="shared" si="14"/>
        <v>-8.2827939466714184E-3</v>
      </c>
    </row>
    <row r="912" spans="2:4" ht="14" thickBot="1" x14ac:dyDescent="0.2">
      <c r="B912" s="251">
        <v>43616</v>
      </c>
      <c r="C912" s="451">
        <v>39714.199999999997</v>
      </c>
      <c r="D912" s="261">
        <f t="shared" si="14"/>
        <v>2.9654380549024584E-3</v>
      </c>
    </row>
    <row r="913" spans="2:4" ht="14" thickBot="1" x14ac:dyDescent="0.2">
      <c r="B913" s="251">
        <v>43619</v>
      </c>
      <c r="C913" s="451">
        <v>40267.620000000003</v>
      </c>
      <c r="D913" s="261">
        <f t="shared" si="14"/>
        <v>-1.3743548786841808E-2</v>
      </c>
    </row>
    <row r="914" spans="2:4" ht="14" thickBot="1" x14ac:dyDescent="0.2">
      <c r="B914" s="251">
        <v>43620</v>
      </c>
      <c r="C914" s="451">
        <v>40083.54</v>
      </c>
      <c r="D914" s="261">
        <f t="shared" si="14"/>
        <v>4.5924087543165459E-3</v>
      </c>
    </row>
    <row r="915" spans="2:4" ht="14" thickBot="1" x14ac:dyDescent="0.2">
      <c r="B915" s="251">
        <v>43622</v>
      </c>
      <c r="C915" s="451">
        <v>39529.72</v>
      </c>
      <c r="D915" s="261">
        <f t="shared" si="14"/>
        <v>1.4010218134608676E-2</v>
      </c>
    </row>
    <row r="916" spans="2:4" ht="14" thickBot="1" x14ac:dyDescent="0.2">
      <c r="B916" s="251">
        <v>43623</v>
      </c>
      <c r="C916" s="451">
        <v>39615.9</v>
      </c>
      <c r="D916" s="261">
        <f t="shared" si="14"/>
        <v>-2.1753891745486253E-3</v>
      </c>
    </row>
    <row r="917" spans="2:4" ht="14" thickBot="1" x14ac:dyDescent="0.2">
      <c r="B917" s="251">
        <v>43626</v>
      </c>
      <c r="C917" s="451">
        <v>39784.519999999997</v>
      </c>
      <c r="D917" s="261">
        <f t="shared" si="14"/>
        <v>-4.2383318939124281E-3</v>
      </c>
    </row>
    <row r="918" spans="2:4" ht="14" thickBot="1" x14ac:dyDescent="0.2">
      <c r="B918" s="251">
        <v>43627</v>
      </c>
      <c r="C918" s="451">
        <v>39950.46</v>
      </c>
      <c r="D918" s="261">
        <f t="shared" si="14"/>
        <v>-4.1536442884513303E-3</v>
      </c>
    </row>
    <row r="919" spans="2:4" ht="14" thickBot="1" x14ac:dyDescent="0.2">
      <c r="B919" s="251">
        <v>43628</v>
      </c>
      <c r="C919" s="451">
        <v>39756.81</v>
      </c>
      <c r="D919" s="261">
        <f t="shared" si="14"/>
        <v>4.8708636331737942E-3</v>
      </c>
    </row>
    <row r="920" spans="2:4" ht="14" thickBot="1" x14ac:dyDescent="0.2">
      <c r="B920" s="251">
        <v>43629</v>
      </c>
      <c r="C920" s="451">
        <v>39741.360000000001</v>
      </c>
      <c r="D920" s="261">
        <f t="shared" si="14"/>
        <v>3.8876374638396882E-4</v>
      </c>
    </row>
    <row r="921" spans="2:4" ht="14" thickBot="1" x14ac:dyDescent="0.2">
      <c r="B921" s="251">
        <v>43630</v>
      </c>
      <c r="C921" s="451">
        <v>39452.07</v>
      </c>
      <c r="D921" s="261">
        <f t="shared" si="14"/>
        <v>7.3326950905236998E-3</v>
      </c>
    </row>
    <row r="922" spans="2:4" ht="14" thickBot="1" x14ac:dyDescent="0.2">
      <c r="B922" s="251">
        <v>43633</v>
      </c>
      <c r="C922" s="451">
        <v>38960.79</v>
      </c>
      <c r="D922" s="261">
        <f t="shared" si="14"/>
        <v>1.2609600575347546E-2</v>
      </c>
    </row>
    <row r="923" spans="2:4" ht="14" thickBot="1" x14ac:dyDescent="0.2">
      <c r="B923" s="251">
        <v>43634</v>
      </c>
      <c r="C923" s="451">
        <v>39046.339999999997</v>
      </c>
      <c r="D923" s="261">
        <f t="shared" si="14"/>
        <v>-2.1909864023105241E-3</v>
      </c>
    </row>
    <row r="924" spans="2:4" ht="14" thickBot="1" x14ac:dyDescent="0.2">
      <c r="B924" s="251">
        <v>43635</v>
      </c>
      <c r="C924" s="451">
        <v>39112.74</v>
      </c>
      <c r="D924" s="261">
        <f t="shared" si="14"/>
        <v>-1.6976565691895207E-3</v>
      </c>
    </row>
    <row r="925" spans="2:4" ht="14" thickBot="1" x14ac:dyDescent="0.2">
      <c r="B925" s="251">
        <v>43636</v>
      </c>
      <c r="C925" s="451">
        <v>39601.629999999997</v>
      </c>
      <c r="D925" s="261">
        <f t="shared" si="14"/>
        <v>-1.2345198922367628E-2</v>
      </c>
    </row>
    <row r="926" spans="2:4" ht="14" thickBot="1" x14ac:dyDescent="0.2">
      <c r="B926" s="251">
        <v>43637</v>
      </c>
      <c r="C926" s="451">
        <v>39194.49</v>
      </c>
      <c r="D926" s="261">
        <f t="shared" si="14"/>
        <v>1.0387684595462243E-2</v>
      </c>
    </row>
    <row r="927" spans="2:4" ht="14" thickBot="1" x14ac:dyDescent="0.2">
      <c r="B927" s="251">
        <v>43640</v>
      </c>
      <c r="C927" s="451">
        <v>39122.959999999999</v>
      </c>
      <c r="D927" s="261">
        <f t="shared" si="14"/>
        <v>1.8283381421038136E-3</v>
      </c>
    </row>
    <row r="928" spans="2:4" ht="14" thickBot="1" x14ac:dyDescent="0.2">
      <c r="B928" s="251">
        <v>43641</v>
      </c>
      <c r="C928" s="451">
        <v>39434.94</v>
      </c>
      <c r="D928" s="261">
        <f t="shared" si="14"/>
        <v>-7.9112583916699508E-3</v>
      </c>
    </row>
    <row r="929" spans="2:4" ht="14" thickBot="1" x14ac:dyDescent="0.2">
      <c r="B929" s="251">
        <v>43642</v>
      </c>
      <c r="C929" s="451">
        <v>39592.080000000002</v>
      </c>
      <c r="D929" s="261">
        <f t="shared" si="14"/>
        <v>-3.9689756133044485E-3</v>
      </c>
    </row>
    <row r="930" spans="2:4" ht="14" thickBot="1" x14ac:dyDescent="0.2">
      <c r="B930" s="251">
        <v>43643</v>
      </c>
      <c r="C930" s="451">
        <v>39586.410000000003</v>
      </c>
      <c r="D930" s="261">
        <f t="shared" si="14"/>
        <v>1.4323097244739458E-4</v>
      </c>
    </row>
    <row r="931" spans="2:4" ht="14" thickBot="1" x14ac:dyDescent="0.2">
      <c r="B931" s="251">
        <v>43644</v>
      </c>
      <c r="C931" s="451">
        <v>39394.639999999999</v>
      </c>
      <c r="D931" s="261">
        <f t="shared" si="14"/>
        <v>4.8679211182030002E-3</v>
      </c>
    </row>
    <row r="932" spans="2:4" ht="14" thickBot="1" x14ac:dyDescent="0.2">
      <c r="B932" s="251">
        <v>43647</v>
      </c>
      <c r="C932" s="451">
        <v>39686.5</v>
      </c>
      <c r="D932" s="261">
        <f t="shared" si="14"/>
        <v>-7.3541380570218973E-3</v>
      </c>
    </row>
    <row r="933" spans="2:4" ht="14" thickBot="1" x14ac:dyDescent="0.2">
      <c r="B933" s="251">
        <v>43648</v>
      </c>
      <c r="C933" s="451">
        <v>39816.480000000003</v>
      </c>
      <c r="D933" s="261">
        <f t="shared" si="14"/>
        <v>-3.2644774224140916E-3</v>
      </c>
    </row>
    <row r="934" spans="2:4" ht="14" thickBot="1" x14ac:dyDescent="0.2">
      <c r="B934" s="251">
        <v>43649</v>
      </c>
      <c r="C934" s="451">
        <v>39839.25</v>
      </c>
      <c r="D934" s="261">
        <f t="shared" si="14"/>
        <v>-5.7154690412086762E-4</v>
      </c>
    </row>
    <row r="935" spans="2:4" ht="14" thickBot="1" x14ac:dyDescent="0.2">
      <c r="B935" s="251">
        <v>43650</v>
      </c>
      <c r="C935" s="451">
        <v>39908.06</v>
      </c>
      <c r="D935" s="261">
        <f t="shared" si="14"/>
        <v>-1.7242131038190944E-3</v>
      </c>
    </row>
    <row r="936" spans="2:4" ht="14" thickBot="1" x14ac:dyDescent="0.2">
      <c r="B936" s="251">
        <v>43651</v>
      </c>
      <c r="C936" s="451">
        <v>39513.39</v>
      </c>
      <c r="D936" s="261">
        <f t="shared" si="14"/>
        <v>9.9882596760236808E-3</v>
      </c>
    </row>
    <row r="937" spans="2:4" ht="14" thickBot="1" x14ac:dyDescent="0.2">
      <c r="B937" s="251">
        <v>43654</v>
      </c>
      <c r="C937" s="451">
        <v>38720.57</v>
      </c>
      <c r="D937" s="261">
        <f t="shared" si="14"/>
        <v>2.0475421720289821E-2</v>
      </c>
    </row>
    <row r="938" spans="2:4" ht="14" thickBot="1" x14ac:dyDescent="0.2">
      <c r="B938" s="251">
        <v>43655</v>
      </c>
      <c r="C938" s="451">
        <v>38730.82</v>
      </c>
      <c r="D938" s="261">
        <f t="shared" si="14"/>
        <v>-2.646471208200829E-4</v>
      </c>
    </row>
    <row r="939" spans="2:4" ht="14" thickBot="1" x14ac:dyDescent="0.2">
      <c r="B939" s="251">
        <v>43656</v>
      </c>
      <c r="C939" s="451">
        <v>38557.040000000001</v>
      </c>
      <c r="D939" s="261">
        <f t="shared" si="14"/>
        <v>4.5070887184286423E-3</v>
      </c>
    </row>
    <row r="940" spans="2:4" ht="14" thickBot="1" x14ac:dyDescent="0.2">
      <c r="B940" s="251">
        <v>43657</v>
      </c>
      <c r="C940" s="451">
        <v>38823.11</v>
      </c>
      <c r="D940" s="261">
        <f t="shared" si="14"/>
        <v>-6.8533922192219876E-3</v>
      </c>
    </row>
    <row r="941" spans="2:4" ht="14" thickBot="1" x14ac:dyDescent="0.2">
      <c r="B941" s="251">
        <v>43658</v>
      </c>
      <c r="C941" s="451">
        <v>38736.230000000003</v>
      </c>
      <c r="D941" s="261">
        <f t="shared" si="14"/>
        <v>2.2428615278253794E-3</v>
      </c>
    </row>
    <row r="942" spans="2:4" ht="14" thickBot="1" x14ac:dyDescent="0.2">
      <c r="B942" s="251">
        <v>43661</v>
      </c>
      <c r="C942" s="451">
        <v>38896.71</v>
      </c>
      <c r="D942" s="261">
        <f t="shared" si="14"/>
        <v>-4.1257988143469371E-3</v>
      </c>
    </row>
    <row r="943" spans="2:4" ht="14" thickBot="1" x14ac:dyDescent="0.2">
      <c r="B943" s="251">
        <v>43662</v>
      </c>
      <c r="C943" s="451">
        <v>39131.040000000001</v>
      </c>
      <c r="D943" s="261">
        <f t="shared" si="14"/>
        <v>-5.9883407136637201E-3</v>
      </c>
    </row>
    <row r="944" spans="2:4" ht="14" thickBot="1" x14ac:dyDescent="0.2">
      <c r="B944" s="251">
        <v>43663</v>
      </c>
      <c r="C944" s="451">
        <v>39215.64</v>
      </c>
      <c r="D944" s="261">
        <f t="shared" si="14"/>
        <v>-2.1573025456169681E-3</v>
      </c>
    </row>
    <row r="945" spans="2:4" ht="14" thickBot="1" x14ac:dyDescent="0.2">
      <c r="B945" s="251">
        <v>43664</v>
      </c>
      <c r="C945" s="451">
        <v>38897.46</v>
      </c>
      <c r="D945" s="261">
        <f t="shared" si="14"/>
        <v>8.1799685635000063E-3</v>
      </c>
    </row>
    <row r="946" spans="2:4" ht="14" thickBot="1" x14ac:dyDescent="0.2">
      <c r="B946" s="251">
        <v>43665</v>
      </c>
      <c r="C946" s="451">
        <v>38337.01</v>
      </c>
      <c r="D946" s="261">
        <f t="shared" si="14"/>
        <v>1.4619032626696615E-2</v>
      </c>
    </row>
    <row r="947" spans="2:4" ht="14" thickBot="1" x14ac:dyDescent="0.2">
      <c r="B947" s="251">
        <v>43668</v>
      </c>
      <c r="C947" s="451">
        <v>38031.129999999997</v>
      </c>
      <c r="D947" s="261">
        <f t="shared" si="14"/>
        <v>8.0428848682645437E-3</v>
      </c>
    </row>
    <row r="948" spans="2:4" ht="14" thickBot="1" x14ac:dyDescent="0.2">
      <c r="B948" s="251">
        <v>43669</v>
      </c>
      <c r="C948" s="451">
        <v>37982.74</v>
      </c>
      <c r="D948" s="261">
        <f t="shared" si="14"/>
        <v>1.273999716713492E-3</v>
      </c>
    </row>
    <row r="949" spans="2:4" ht="14" thickBot="1" x14ac:dyDescent="0.2">
      <c r="B949" s="251">
        <v>43670</v>
      </c>
      <c r="C949" s="451">
        <v>37847.65</v>
      </c>
      <c r="D949" s="261">
        <f t="shared" si="14"/>
        <v>3.5693101156875073E-3</v>
      </c>
    </row>
    <row r="950" spans="2:4" ht="14" thickBot="1" x14ac:dyDescent="0.2">
      <c r="B950" s="251">
        <v>43671</v>
      </c>
      <c r="C950" s="451">
        <v>37830.980000000003</v>
      </c>
      <c r="D950" s="261">
        <f t="shared" si="14"/>
        <v>4.4064414931876961E-4</v>
      </c>
    </row>
    <row r="951" spans="2:4" ht="14" thickBot="1" x14ac:dyDescent="0.2">
      <c r="B951" s="251">
        <v>43672</v>
      </c>
      <c r="C951" s="451">
        <v>37882.79</v>
      </c>
      <c r="D951" s="261">
        <f t="shared" si="14"/>
        <v>-1.3676395006808617E-3</v>
      </c>
    </row>
    <row r="952" spans="2:4" ht="14" thickBot="1" x14ac:dyDescent="0.2">
      <c r="B952" s="251">
        <v>43675</v>
      </c>
      <c r="C952" s="451">
        <v>37686.370000000003</v>
      </c>
      <c r="D952" s="261">
        <f t="shared" si="14"/>
        <v>5.2119639010070884E-3</v>
      </c>
    </row>
    <row r="953" spans="2:4" ht="14" thickBot="1" x14ac:dyDescent="0.2">
      <c r="B953" s="251">
        <v>43676</v>
      </c>
      <c r="C953" s="451">
        <v>37397.24</v>
      </c>
      <c r="D953" s="261">
        <f t="shared" si="14"/>
        <v>7.7313192096530869E-3</v>
      </c>
    </row>
    <row r="954" spans="2:4" ht="14" thickBot="1" x14ac:dyDescent="0.2">
      <c r="B954" s="251">
        <v>43677</v>
      </c>
      <c r="C954" s="451">
        <v>37481.120000000003</v>
      </c>
      <c r="D954" s="261">
        <f t="shared" si="14"/>
        <v>-2.2379267215067999E-3</v>
      </c>
    </row>
    <row r="955" spans="2:4" ht="14" thickBot="1" x14ac:dyDescent="0.2">
      <c r="B955" s="251">
        <v>43678</v>
      </c>
      <c r="C955" s="451">
        <v>37018.32</v>
      </c>
      <c r="D955" s="261">
        <f t="shared" si="14"/>
        <v>1.250191796926492E-2</v>
      </c>
    </row>
    <row r="956" spans="2:4" ht="14" thickBot="1" x14ac:dyDescent="0.2">
      <c r="B956" s="251">
        <v>43679</v>
      </c>
      <c r="C956" s="451">
        <v>37118.22</v>
      </c>
      <c r="D956" s="261">
        <f t="shared" si="14"/>
        <v>-2.6914006113439859E-3</v>
      </c>
    </row>
    <row r="957" spans="2:4" ht="14" thickBot="1" x14ac:dyDescent="0.2">
      <c r="B957" s="251">
        <v>43682</v>
      </c>
      <c r="C957" s="451">
        <v>36699.839999999997</v>
      </c>
      <c r="D957" s="261">
        <f t="shared" si="14"/>
        <v>1.1400049700489356E-2</v>
      </c>
    </row>
    <row r="958" spans="2:4" ht="14" thickBot="1" x14ac:dyDescent="0.2">
      <c r="B958" s="251">
        <v>43683</v>
      </c>
      <c r="C958" s="451">
        <v>36976.85</v>
      </c>
      <c r="D958" s="261">
        <f t="shared" si="14"/>
        <v>-7.4914439710251912E-3</v>
      </c>
    </row>
    <row r="959" spans="2:4" ht="14" thickBot="1" x14ac:dyDescent="0.2">
      <c r="B959" s="251">
        <v>43684</v>
      </c>
      <c r="C959" s="451">
        <v>36690.5</v>
      </c>
      <c r="D959" s="261">
        <f t="shared" si="14"/>
        <v>7.8044725473895848E-3</v>
      </c>
    </row>
    <row r="960" spans="2:4" ht="14" thickBot="1" x14ac:dyDescent="0.2">
      <c r="B960" s="251">
        <v>43685</v>
      </c>
      <c r="C960" s="451">
        <v>37327.360000000001</v>
      </c>
      <c r="D960" s="261">
        <f t="shared" si="14"/>
        <v>-1.7061479836773863E-2</v>
      </c>
    </row>
    <row r="961" spans="2:4" ht="14" thickBot="1" x14ac:dyDescent="0.2">
      <c r="B961" s="251">
        <v>43686</v>
      </c>
      <c r="C961" s="451">
        <v>37581.910000000003</v>
      </c>
      <c r="D961" s="261">
        <f t="shared" si="14"/>
        <v>-6.7732055129715585E-3</v>
      </c>
    </row>
    <row r="962" spans="2:4" ht="14" thickBot="1" x14ac:dyDescent="0.2">
      <c r="B962" s="251">
        <v>43690</v>
      </c>
      <c r="C962" s="451">
        <v>36958.160000000003</v>
      </c>
      <c r="D962" s="261">
        <f t="shared" si="14"/>
        <v>1.6877193020431669E-2</v>
      </c>
    </row>
    <row r="963" spans="2:4" ht="14" thickBot="1" x14ac:dyDescent="0.2">
      <c r="B963" s="251">
        <v>43691</v>
      </c>
      <c r="C963" s="451">
        <v>37311.53</v>
      </c>
      <c r="D963" s="261">
        <f t="shared" si="14"/>
        <v>-9.4707989728642916E-3</v>
      </c>
    </row>
    <row r="964" spans="2:4" ht="14" thickBot="1" x14ac:dyDescent="0.2">
      <c r="B964" s="251">
        <v>43693</v>
      </c>
      <c r="C964" s="451">
        <v>37350.33</v>
      </c>
      <c r="D964" s="261">
        <f t="shared" si="14"/>
        <v>-1.0388127762192001E-3</v>
      </c>
    </row>
    <row r="965" spans="2:4" ht="14" thickBot="1" x14ac:dyDescent="0.2">
      <c r="B965" s="251">
        <v>43696</v>
      </c>
      <c r="C965" s="451">
        <v>37402.49</v>
      </c>
      <c r="D965" s="261">
        <f t="shared" si="14"/>
        <v>-1.3945595600719507E-3</v>
      </c>
    </row>
    <row r="966" spans="2:4" ht="14" thickBot="1" x14ac:dyDescent="0.2">
      <c r="B966" s="251">
        <v>43697</v>
      </c>
      <c r="C966" s="451">
        <v>37328.01</v>
      </c>
      <c r="D966" s="261">
        <f t="shared" si="14"/>
        <v>1.9952845061923519E-3</v>
      </c>
    </row>
    <row r="967" spans="2:4" ht="14" thickBot="1" x14ac:dyDescent="0.2">
      <c r="B967" s="251">
        <v>43698</v>
      </c>
      <c r="C967" s="451">
        <v>37060.370000000003</v>
      </c>
      <c r="D967" s="261">
        <f t="shared" si="14"/>
        <v>7.2217303820765189E-3</v>
      </c>
    </row>
    <row r="968" spans="2:4" ht="14" thickBot="1" x14ac:dyDescent="0.2">
      <c r="B968" s="251">
        <v>43699</v>
      </c>
      <c r="C968" s="451">
        <v>36472.93</v>
      </c>
      <c r="D968" s="261">
        <f t="shared" si="14"/>
        <v>1.6106191633082467E-2</v>
      </c>
    </row>
    <row r="969" spans="2:4" ht="14" thickBot="1" x14ac:dyDescent="0.2">
      <c r="B969" s="251">
        <v>43700</v>
      </c>
      <c r="C969" s="451">
        <v>36701.160000000003</v>
      </c>
      <c r="D969" s="261">
        <f t="shared" si="14"/>
        <v>-6.218604534570682E-3</v>
      </c>
    </row>
    <row r="970" spans="2:4" ht="14" thickBot="1" x14ac:dyDescent="0.2">
      <c r="B970" s="251">
        <v>43703</v>
      </c>
      <c r="C970" s="451">
        <v>37494.120000000003</v>
      </c>
      <c r="D970" s="261">
        <f t="shared" ref="D970:D1033" si="15">C969/C970-1</f>
        <v>-2.1148916150052322E-2</v>
      </c>
    </row>
    <row r="971" spans="2:4" ht="14" thickBot="1" x14ac:dyDescent="0.2">
      <c r="B971" s="251">
        <v>43704</v>
      </c>
      <c r="C971" s="451">
        <v>37641.269999999997</v>
      </c>
      <c r="D971" s="261">
        <f t="shared" si="15"/>
        <v>-3.909272986803991E-3</v>
      </c>
    </row>
    <row r="972" spans="2:4" ht="14" thickBot="1" x14ac:dyDescent="0.2">
      <c r="B972" s="251">
        <v>43705</v>
      </c>
      <c r="C972" s="451">
        <v>37451.839999999997</v>
      </c>
      <c r="D972" s="261">
        <f t="shared" si="15"/>
        <v>5.0579624392286249E-3</v>
      </c>
    </row>
    <row r="973" spans="2:4" ht="14" thickBot="1" x14ac:dyDescent="0.2">
      <c r="B973" s="251">
        <v>43706</v>
      </c>
      <c r="C973" s="451">
        <v>37068.93</v>
      </c>
      <c r="D973" s="261">
        <f t="shared" si="15"/>
        <v>1.0329675013549089E-2</v>
      </c>
    </row>
    <row r="974" spans="2:4" ht="14" thickBot="1" x14ac:dyDescent="0.2">
      <c r="B974" s="251">
        <v>43707</v>
      </c>
      <c r="C974" s="451">
        <v>37332.79</v>
      </c>
      <c r="D974" s="261">
        <f t="shared" si="15"/>
        <v>-7.0677814328905519E-3</v>
      </c>
    </row>
    <row r="975" spans="2:4" ht="14" thickBot="1" x14ac:dyDescent="0.2">
      <c r="B975" s="251">
        <v>43711</v>
      </c>
      <c r="C975" s="451">
        <v>36562.910000000003</v>
      </c>
      <c r="D975" s="261">
        <f t="shared" si="15"/>
        <v>2.1056310889915331E-2</v>
      </c>
    </row>
    <row r="976" spans="2:4" ht="14" thickBot="1" x14ac:dyDescent="0.2">
      <c r="B976" s="251">
        <v>43712</v>
      </c>
      <c r="C976" s="451">
        <v>36724.74</v>
      </c>
      <c r="D976" s="261">
        <f t="shared" si="15"/>
        <v>-4.4065662547916329E-3</v>
      </c>
    </row>
    <row r="977" spans="2:4" ht="14" thickBot="1" x14ac:dyDescent="0.2">
      <c r="B977" s="251">
        <v>43713</v>
      </c>
      <c r="C977" s="451">
        <v>36644.42</v>
      </c>
      <c r="D977" s="261">
        <f t="shared" si="15"/>
        <v>2.191875325083581E-3</v>
      </c>
    </row>
    <row r="978" spans="2:4" ht="14" thickBot="1" x14ac:dyDescent="0.2">
      <c r="B978" s="251">
        <v>43714</v>
      </c>
      <c r="C978" s="451">
        <v>36981.769999999997</v>
      </c>
      <c r="D978" s="261">
        <f t="shared" si="15"/>
        <v>-9.1220620321850188E-3</v>
      </c>
    </row>
    <row r="979" spans="2:4" ht="14" thickBot="1" x14ac:dyDescent="0.2">
      <c r="B979" s="251">
        <v>43717</v>
      </c>
      <c r="C979" s="451">
        <v>37145.449999999997</v>
      </c>
      <c r="D979" s="261">
        <f t="shared" si="15"/>
        <v>-4.4064616258518985E-3</v>
      </c>
    </row>
    <row r="980" spans="2:4" ht="14" thickBot="1" x14ac:dyDescent="0.2">
      <c r="B980" s="251">
        <v>43719</v>
      </c>
      <c r="C980" s="451">
        <v>37270.82</v>
      </c>
      <c r="D980" s="261">
        <f t="shared" si="15"/>
        <v>-3.363757491785857E-3</v>
      </c>
    </row>
    <row r="981" spans="2:4" ht="14" thickBot="1" x14ac:dyDescent="0.2">
      <c r="B981" s="251">
        <v>43720</v>
      </c>
      <c r="C981" s="451">
        <v>37104.28</v>
      </c>
      <c r="D981" s="261">
        <f t="shared" si="15"/>
        <v>4.488430984242342E-3</v>
      </c>
    </row>
    <row r="982" spans="2:4" ht="14" thickBot="1" x14ac:dyDescent="0.2">
      <c r="B982" s="251">
        <v>43721</v>
      </c>
      <c r="C982" s="451">
        <v>37384.99</v>
      </c>
      <c r="D982" s="261">
        <f t="shared" si="15"/>
        <v>-7.5086284629205524E-3</v>
      </c>
    </row>
    <row r="983" spans="2:4" ht="14" thickBot="1" x14ac:dyDescent="0.2">
      <c r="B983" s="251">
        <v>43724</v>
      </c>
      <c r="C983" s="451">
        <v>37123.31</v>
      </c>
      <c r="D983" s="261">
        <f t="shared" si="15"/>
        <v>7.0489404096778507E-3</v>
      </c>
    </row>
    <row r="984" spans="2:4" ht="14" thickBot="1" x14ac:dyDescent="0.2">
      <c r="B984" s="251">
        <v>43725</v>
      </c>
      <c r="C984" s="451">
        <v>36481.089999999997</v>
      </c>
      <c r="D984" s="261">
        <f t="shared" si="15"/>
        <v>1.7604188909925655E-2</v>
      </c>
    </row>
    <row r="985" spans="2:4" ht="14" thickBot="1" x14ac:dyDescent="0.2">
      <c r="B985" s="251">
        <v>43726</v>
      </c>
      <c r="C985" s="451">
        <v>36563.879999999997</v>
      </c>
      <c r="D985" s="261">
        <f t="shared" si="15"/>
        <v>-2.2642564191764913E-3</v>
      </c>
    </row>
    <row r="986" spans="2:4" ht="14" thickBot="1" x14ac:dyDescent="0.2">
      <c r="B986" s="251">
        <v>43727</v>
      </c>
      <c r="C986" s="451">
        <v>36093.47</v>
      </c>
      <c r="D986" s="261">
        <f t="shared" si="15"/>
        <v>1.3033105434306913E-2</v>
      </c>
    </row>
    <row r="987" spans="2:4" ht="14" thickBot="1" x14ac:dyDescent="0.2">
      <c r="B987" s="251">
        <v>43728</v>
      </c>
      <c r="C987" s="451">
        <v>38014.620000000003</v>
      </c>
      <c r="D987" s="261">
        <f t="shared" si="15"/>
        <v>-5.0537135449466586E-2</v>
      </c>
    </row>
    <row r="988" spans="2:4" ht="14" thickBot="1" x14ac:dyDescent="0.2">
      <c r="B988" s="251">
        <v>43731</v>
      </c>
      <c r="C988" s="451">
        <v>39090.03</v>
      </c>
      <c r="D988" s="261">
        <f t="shared" si="15"/>
        <v>-2.7511107052105022E-2</v>
      </c>
    </row>
    <row r="989" spans="2:4" ht="14" thickBot="1" x14ac:dyDescent="0.2">
      <c r="B989" s="251">
        <v>43732</v>
      </c>
      <c r="C989" s="451">
        <v>39097.14</v>
      </c>
      <c r="D989" s="261">
        <f t="shared" si="15"/>
        <v>-1.8185473413145914E-4</v>
      </c>
    </row>
    <row r="990" spans="2:4" ht="14" thickBot="1" x14ac:dyDescent="0.2">
      <c r="B990" s="251">
        <v>43733</v>
      </c>
      <c r="C990" s="451">
        <v>38593.519999999997</v>
      </c>
      <c r="D990" s="261">
        <f t="shared" si="15"/>
        <v>1.3049340925626929E-2</v>
      </c>
    </row>
    <row r="991" spans="2:4" ht="14" thickBot="1" x14ac:dyDescent="0.2">
      <c r="B991" s="251">
        <v>43734</v>
      </c>
      <c r="C991" s="451">
        <v>38989.74</v>
      </c>
      <c r="D991" s="261">
        <f t="shared" si="15"/>
        <v>-1.0162160609432203E-2</v>
      </c>
    </row>
    <row r="992" spans="2:4" ht="14" thickBot="1" x14ac:dyDescent="0.2">
      <c r="B992" s="251">
        <v>43735</v>
      </c>
      <c r="C992" s="451">
        <v>38822.57</v>
      </c>
      <c r="D992" s="261">
        <f t="shared" si="15"/>
        <v>4.3060003497965571E-3</v>
      </c>
    </row>
    <row r="993" spans="2:4" ht="14" thickBot="1" x14ac:dyDescent="0.2">
      <c r="B993" s="251">
        <v>43738</v>
      </c>
      <c r="C993" s="451">
        <v>38667.33</v>
      </c>
      <c r="D993" s="261">
        <f t="shared" si="15"/>
        <v>4.0147587123289252E-3</v>
      </c>
    </row>
    <row r="994" spans="2:4" ht="14" thickBot="1" x14ac:dyDescent="0.2">
      <c r="B994" s="251">
        <v>43739</v>
      </c>
      <c r="C994" s="451">
        <v>38305.410000000003</v>
      </c>
      <c r="D994" s="261">
        <f t="shared" si="15"/>
        <v>9.4482737555869889E-3</v>
      </c>
    </row>
    <row r="995" spans="2:4" ht="14" thickBot="1" x14ac:dyDescent="0.2">
      <c r="B995" s="251">
        <v>43741</v>
      </c>
      <c r="C995" s="451">
        <v>38106.870000000003</v>
      </c>
      <c r="D995" s="261">
        <f t="shared" si="15"/>
        <v>5.2100841659259434E-3</v>
      </c>
    </row>
    <row r="996" spans="2:4" ht="14" thickBot="1" x14ac:dyDescent="0.2">
      <c r="B996" s="251">
        <v>43742</v>
      </c>
      <c r="C996" s="451">
        <v>37673.31</v>
      </c>
      <c r="D996" s="261">
        <f t="shared" si="15"/>
        <v>1.150841271977443E-2</v>
      </c>
    </row>
    <row r="997" spans="2:4" ht="14" thickBot="1" x14ac:dyDescent="0.2">
      <c r="B997" s="251">
        <v>43745</v>
      </c>
      <c r="C997" s="451">
        <v>37531.980000000003</v>
      </c>
      <c r="D997" s="261">
        <f t="shared" si="15"/>
        <v>3.7655887059513393E-3</v>
      </c>
    </row>
    <row r="998" spans="2:4" ht="14" thickBot="1" x14ac:dyDescent="0.2">
      <c r="B998" s="251">
        <v>43747</v>
      </c>
      <c r="C998" s="451">
        <v>38177.949999999997</v>
      </c>
      <c r="D998" s="261">
        <f t="shared" si="15"/>
        <v>-1.6919976059479147E-2</v>
      </c>
    </row>
    <row r="999" spans="2:4" ht="14" thickBot="1" x14ac:dyDescent="0.2">
      <c r="B999" s="251">
        <v>43748</v>
      </c>
      <c r="C999" s="451">
        <v>37880.400000000001</v>
      </c>
      <c r="D999" s="261">
        <f t="shared" si="15"/>
        <v>7.854985691808869E-3</v>
      </c>
    </row>
    <row r="1000" spans="2:4" ht="14" thickBot="1" x14ac:dyDescent="0.2">
      <c r="B1000" s="251">
        <v>43749</v>
      </c>
      <c r="C1000" s="451">
        <v>38127.08</v>
      </c>
      <c r="D1000" s="261">
        <f t="shared" si="15"/>
        <v>-6.4699420988966194E-3</v>
      </c>
    </row>
    <row r="1001" spans="2:4" ht="14" thickBot="1" x14ac:dyDescent="0.2">
      <c r="B1001" s="251">
        <v>43752</v>
      </c>
      <c r="C1001" s="451">
        <v>38214.47</v>
      </c>
      <c r="D1001" s="261">
        <f t="shared" si="15"/>
        <v>-2.2868300934174579E-3</v>
      </c>
    </row>
    <row r="1002" spans="2:4" ht="14" thickBot="1" x14ac:dyDescent="0.2">
      <c r="B1002" s="251">
        <v>43753</v>
      </c>
      <c r="C1002" s="451">
        <v>38506.089999999997</v>
      </c>
      <c r="D1002" s="261">
        <f t="shared" si="15"/>
        <v>-7.5733474886698904E-3</v>
      </c>
    </row>
    <row r="1003" spans="2:4" ht="14" thickBot="1" x14ac:dyDescent="0.2">
      <c r="B1003" s="251">
        <v>43754</v>
      </c>
      <c r="C1003" s="451">
        <v>38598.99</v>
      </c>
      <c r="D1003" s="261">
        <f t="shared" si="15"/>
        <v>-2.406798727117021E-3</v>
      </c>
    </row>
    <row r="1004" spans="2:4" ht="14" thickBot="1" x14ac:dyDescent="0.2">
      <c r="B1004" s="251">
        <v>43755</v>
      </c>
      <c r="C1004" s="451">
        <v>39052.06</v>
      </c>
      <c r="D1004" s="261">
        <f t="shared" si="15"/>
        <v>-1.1601692714801715E-2</v>
      </c>
    </row>
    <row r="1005" spans="2:4" ht="14" thickBot="1" x14ac:dyDescent="0.2">
      <c r="B1005" s="251">
        <v>43756</v>
      </c>
      <c r="C1005" s="451">
        <v>39298.379999999997</v>
      </c>
      <c r="D1005" s="261">
        <f t="shared" si="15"/>
        <v>-6.2679428515882707E-3</v>
      </c>
    </row>
    <row r="1006" spans="2:4" ht="14" thickBot="1" x14ac:dyDescent="0.2">
      <c r="B1006" s="251">
        <v>43760</v>
      </c>
      <c r="C1006" s="451">
        <v>38963.839999999997</v>
      </c>
      <c r="D1006" s="261">
        <f t="shared" si="15"/>
        <v>8.5859093970204192E-3</v>
      </c>
    </row>
    <row r="1007" spans="2:4" ht="14" thickBot="1" x14ac:dyDescent="0.2">
      <c r="B1007" s="251">
        <v>43761</v>
      </c>
      <c r="C1007" s="451">
        <v>39058.83</v>
      </c>
      <c r="D1007" s="261">
        <f t="shared" si="15"/>
        <v>-2.4319724886794347E-3</v>
      </c>
    </row>
    <row r="1008" spans="2:4" ht="14" thickBot="1" x14ac:dyDescent="0.2">
      <c r="B1008" s="251">
        <v>43762</v>
      </c>
      <c r="C1008" s="451">
        <v>39020.39</v>
      </c>
      <c r="D1008" s="261">
        <f t="shared" si="15"/>
        <v>9.8512598157030062E-4</v>
      </c>
    </row>
    <row r="1009" spans="2:9" ht="14" thickBot="1" x14ac:dyDescent="0.2">
      <c r="B1009" s="251">
        <v>43763</v>
      </c>
      <c r="C1009" s="451">
        <v>39058.06</v>
      </c>
      <c r="D1009" s="261">
        <f t="shared" si="15"/>
        <v>-9.6446162456609308E-4</v>
      </c>
    </row>
    <row r="1010" spans="2:9" ht="14" thickBot="1" x14ac:dyDescent="0.2">
      <c r="B1010" s="251">
        <v>43765</v>
      </c>
      <c r="C1010" s="451">
        <v>39250.199999999997</v>
      </c>
      <c r="D1010" s="261">
        <f t="shared" si="15"/>
        <v>-4.8952616801952731E-3</v>
      </c>
    </row>
    <row r="1011" spans="2:9" ht="14" thickBot="1" x14ac:dyDescent="0.2">
      <c r="B1011" s="251">
        <v>43767</v>
      </c>
      <c r="C1011" s="451">
        <v>39831.839999999997</v>
      </c>
      <c r="D1011" s="261">
        <f t="shared" si="15"/>
        <v>-1.4602388441006031E-2</v>
      </c>
      <c r="G1011" s="208"/>
      <c r="H1011" s="208"/>
      <c r="I1011" s="208"/>
    </row>
    <row r="1012" spans="2:9" ht="14" thickBot="1" x14ac:dyDescent="0.2">
      <c r="B1012" s="251">
        <v>43768</v>
      </c>
      <c r="C1012" s="451">
        <v>40051.870000000003</v>
      </c>
      <c r="D1012" s="261">
        <f t="shared" si="15"/>
        <v>-5.4936261403026876E-3</v>
      </c>
    </row>
    <row r="1013" spans="2:9" ht="14" thickBot="1" x14ac:dyDescent="0.2">
      <c r="B1013" s="251">
        <v>43769</v>
      </c>
      <c r="C1013" s="451">
        <v>40129.050000000003</v>
      </c>
      <c r="D1013" s="261">
        <f t="shared" si="15"/>
        <v>-1.9232949696043056E-3</v>
      </c>
    </row>
    <row r="1014" spans="2:9" ht="14" thickBot="1" x14ac:dyDescent="0.2">
      <c r="B1014" s="251">
        <v>43770</v>
      </c>
      <c r="C1014" s="451">
        <v>40165.03</v>
      </c>
      <c r="D1014" s="261">
        <f t="shared" si="15"/>
        <v>-8.9580413608547627E-4</v>
      </c>
    </row>
    <row r="1015" spans="2:9" ht="14" thickBot="1" x14ac:dyDescent="0.2">
      <c r="B1015" s="251">
        <v>43773</v>
      </c>
      <c r="C1015" s="451">
        <v>40301.96</v>
      </c>
      <c r="D1015" s="261">
        <f t="shared" si="15"/>
        <v>-3.3976015062294751E-3</v>
      </c>
    </row>
    <row r="1016" spans="2:9" s="208" customFormat="1" ht="14" thickBot="1" x14ac:dyDescent="0.2">
      <c r="B1016" s="251">
        <v>43774</v>
      </c>
      <c r="C1016" s="451">
        <v>40248.230000000003</v>
      </c>
      <c r="D1016" s="261">
        <f t="shared" si="15"/>
        <v>1.3349655376149183E-3</v>
      </c>
      <c r="G1016" s="207"/>
      <c r="H1016" s="207"/>
      <c r="I1016" s="207"/>
    </row>
    <row r="1017" spans="2:9" ht="14" thickBot="1" x14ac:dyDescent="0.2">
      <c r="B1017" s="251">
        <v>43775</v>
      </c>
      <c r="C1017" s="451">
        <v>40469.78</v>
      </c>
      <c r="D1017" s="261">
        <f t="shared" si="15"/>
        <v>-5.4744552601965202E-3</v>
      </c>
    </row>
    <row r="1018" spans="2:9" ht="14" thickBot="1" x14ac:dyDescent="0.2">
      <c r="B1018" s="251">
        <v>43776</v>
      </c>
      <c r="C1018" s="451">
        <v>40653.74</v>
      </c>
      <c r="D1018" s="261">
        <f t="shared" si="15"/>
        <v>-4.5250449282157046E-3</v>
      </c>
    </row>
    <row r="1019" spans="2:9" ht="14" thickBot="1" x14ac:dyDescent="0.2">
      <c r="B1019" s="251">
        <v>43777</v>
      </c>
      <c r="C1019" s="451">
        <v>40323.61</v>
      </c>
      <c r="D1019" s="261">
        <f t="shared" si="15"/>
        <v>8.1870150018810151E-3</v>
      </c>
    </row>
    <row r="1020" spans="2:9" ht="14" thickBot="1" x14ac:dyDescent="0.2">
      <c r="B1020" s="251">
        <v>43780</v>
      </c>
      <c r="C1020" s="451">
        <v>40345.08</v>
      </c>
      <c r="D1020" s="261">
        <f t="shared" si="15"/>
        <v>-5.321590637570317E-4</v>
      </c>
    </row>
    <row r="1021" spans="2:9" ht="14" thickBot="1" x14ac:dyDescent="0.2">
      <c r="B1021" s="251">
        <v>43782</v>
      </c>
      <c r="C1021" s="451">
        <v>40116.06</v>
      </c>
      <c r="D1021" s="261">
        <f t="shared" si="15"/>
        <v>5.7089355235784289E-3</v>
      </c>
    </row>
    <row r="1022" spans="2:9" ht="14" thickBot="1" x14ac:dyDescent="0.2">
      <c r="B1022" s="251">
        <v>43783</v>
      </c>
      <c r="C1022" s="451">
        <v>40286.480000000003</v>
      </c>
      <c r="D1022" s="261">
        <f t="shared" si="15"/>
        <v>-4.2302032840795256E-3</v>
      </c>
    </row>
    <row r="1023" spans="2:9" ht="14" thickBot="1" x14ac:dyDescent="0.2">
      <c r="B1023" s="251">
        <v>43784</v>
      </c>
      <c r="C1023" s="451">
        <v>40356.69</v>
      </c>
      <c r="D1023" s="261">
        <f t="shared" si="15"/>
        <v>-1.7397363361564278E-3</v>
      </c>
    </row>
    <row r="1024" spans="2:9" ht="14" thickBot="1" x14ac:dyDescent="0.2">
      <c r="B1024" s="251">
        <v>43787</v>
      </c>
      <c r="C1024" s="451">
        <v>40284.19</v>
      </c>
      <c r="D1024" s="261">
        <f t="shared" si="15"/>
        <v>1.7997134856131414E-3</v>
      </c>
    </row>
    <row r="1025" spans="2:4" ht="14" thickBot="1" x14ac:dyDescent="0.2">
      <c r="B1025" s="251">
        <v>43788</v>
      </c>
      <c r="C1025" s="451">
        <v>40469.699999999997</v>
      </c>
      <c r="D1025" s="261">
        <f t="shared" si="15"/>
        <v>-4.5839232808742025E-3</v>
      </c>
    </row>
    <row r="1026" spans="2:4" ht="14" thickBot="1" x14ac:dyDescent="0.2">
      <c r="B1026" s="251">
        <v>43789</v>
      </c>
      <c r="C1026" s="451">
        <v>40651.64</v>
      </c>
      <c r="D1026" s="261">
        <f t="shared" si="15"/>
        <v>-4.4755881927519559E-3</v>
      </c>
    </row>
    <row r="1027" spans="2:4" ht="14" thickBot="1" x14ac:dyDescent="0.2">
      <c r="B1027" s="251">
        <v>43790</v>
      </c>
      <c r="C1027" s="451">
        <v>40575.17</v>
      </c>
      <c r="D1027" s="261">
        <f t="shared" si="15"/>
        <v>1.8846501444109709E-3</v>
      </c>
    </row>
    <row r="1028" spans="2:4" ht="14" thickBot="1" x14ac:dyDescent="0.2">
      <c r="B1028" s="251">
        <v>43791</v>
      </c>
      <c r="C1028" s="451">
        <v>40359.410000000003</v>
      </c>
      <c r="D1028" s="261">
        <f t="shared" si="15"/>
        <v>5.3459651664877761E-3</v>
      </c>
    </row>
    <row r="1029" spans="2:4" ht="14" thickBot="1" x14ac:dyDescent="0.2">
      <c r="B1029" s="251">
        <v>43794</v>
      </c>
      <c r="C1029" s="451">
        <v>40889.230000000003</v>
      </c>
      <c r="D1029" s="261">
        <f t="shared" si="15"/>
        <v>-1.2957446251739113E-2</v>
      </c>
    </row>
    <row r="1030" spans="2:4" ht="14" thickBot="1" x14ac:dyDescent="0.2">
      <c r="B1030" s="251">
        <v>43795</v>
      </c>
      <c r="C1030" s="451">
        <v>40821.300000000003</v>
      </c>
      <c r="D1030" s="261">
        <f t="shared" si="15"/>
        <v>1.6640822315800996E-3</v>
      </c>
    </row>
    <row r="1031" spans="2:4" ht="14" thickBot="1" x14ac:dyDescent="0.2">
      <c r="B1031" s="251">
        <v>43796</v>
      </c>
      <c r="C1031" s="451">
        <v>41020.61</v>
      </c>
      <c r="D1031" s="261">
        <f t="shared" si="15"/>
        <v>-4.8587770879077175E-3</v>
      </c>
    </row>
    <row r="1032" spans="2:4" ht="14" thickBot="1" x14ac:dyDescent="0.2">
      <c r="B1032" s="251">
        <v>43797</v>
      </c>
      <c r="C1032" s="451">
        <v>41130.17</v>
      </c>
      <c r="D1032" s="261">
        <f t="shared" si="15"/>
        <v>-2.66373807839837E-3</v>
      </c>
    </row>
    <row r="1033" spans="2:4" ht="14" thickBot="1" x14ac:dyDescent="0.2">
      <c r="B1033" s="251">
        <v>43798</v>
      </c>
      <c r="C1033" s="451">
        <v>40793.81</v>
      </c>
      <c r="D1033" s="261">
        <f t="shared" si="15"/>
        <v>8.2453685988144176E-3</v>
      </c>
    </row>
    <row r="1034" spans="2:4" ht="14" thickBot="1" x14ac:dyDescent="0.2">
      <c r="B1034" s="251">
        <v>43801</v>
      </c>
      <c r="C1034" s="451">
        <v>40802.17</v>
      </c>
      <c r="D1034" s="261">
        <f t="shared" ref="D1034:D1097" si="16">C1033/C1034-1</f>
        <v>-2.0489106339194318E-4</v>
      </c>
    </row>
    <row r="1035" spans="2:4" ht="14" thickBot="1" x14ac:dyDescent="0.2">
      <c r="B1035" s="251">
        <v>43802</v>
      </c>
      <c r="C1035" s="451">
        <v>40675.449999999997</v>
      </c>
      <c r="D1035" s="261">
        <f t="shared" si="16"/>
        <v>3.1153927000193704E-3</v>
      </c>
    </row>
    <row r="1036" spans="2:4" ht="14" thickBot="1" x14ac:dyDescent="0.2">
      <c r="B1036" s="251">
        <v>43803</v>
      </c>
      <c r="C1036" s="451">
        <v>40850.29</v>
      </c>
      <c r="D1036" s="261">
        <f t="shared" si="16"/>
        <v>-4.280018575143596E-3</v>
      </c>
    </row>
    <row r="1037" spans="2:4" ht="14" thickBot="1" x14ac:dyDescent="0.2">
      <c r="B1037" s="251">
        <v>43804</v>
      </c>
      <c r="C1037" s="451">
        <v>40779.589999999997</v>
      </c>
      <c r="D1037" s="261">
        <f t="shared" si="16"/>
        <v>1.7337104173926754E-3</v>
      </c>
    </row>
    <row r="1038" spans="2:4" ht="14" thickBot="1" x14ac:dyDescent="0.2">
      <c r="B1038" s="251">
        <v>43805</v>
      </c>
      <c r="C1038" s="451">
        <v>40445.15</v>
      </c>
      <c r="D1038" s="261">
        <f t="shared" si="16"/>
        <v>8.2689766263692732E-3</v>
      </c>
    </row>
    <row r="1039" spans="2:4" ht="14" thickBot="1" x14ac:dyDescent="0.2">
      <c r="B1039" s="251">
        <v>43808</v>
      </c>
      <c r="C1039" s="451">
        <v>40487.43</v>
      </c>
      <c r="D1039" s="261">
        <f t="shared" si="16"/>
        <v>-1.0442747292184196E-3</v>
      </c>
    </row>
    <row r="1040" spans="2:4" ht="14" thickBot="1" x14ac:dyDescent="0.2">
      <c r="B1040" s="251">
        <v>43809</v>
      </c>
      <c r="C1040" s="451">
        <v>40239.879999999997</v>
      </c>
      <c r="D1040" s="261">
        <f t="shared" si="16"/>
        <v>6.1518573117018693E-3</v>
      </c>
    </row>
    <row r="1041" spans="2:4" ht="14" thickBot="1" x14ac:dyDescent="0.2">
      <c r="B1041" s="251">
        <v>43810</v>
      </c>
      <c r="C1041" s="451">
        <v>40412.57</v>
      </c>
      <c r="D1041" s="261">
        <f t="shared" si="16"/>
        <v>-4.2731754006242184E-3</v>
      </c>
    </row>
    <row r="1042" spans="2:4" ht="14" thickBot="1" x14ac:dyDescent="0.2">
      <c r="B1042" s="251">
        <v>43811</v>
      </c>
      <c r="C1042" s="451">
        <v>40581.71</v>
      </c>
      <c r="D1042" s="261">
        <f t="shared" si="16"/>
        <v>-4.1678874547178557E-3</v>
      </c>
    </row>
    <row r="1043" spans="2:4" ht="14" thickBot="1" x14ac:dyDescent="0.2">
      <c r="B1043" s="251">
        <v>43812</v>
      </c>
      <c r="C1043" s="451">
        <v>41009.71</v>
      </c>
      <c r="D1043" s="261">
        <f t="shared" si="16"/>
        <v>-1.0436552709102265E-2</v>
      </c>
    </row>
    <row r="1044" spans="2:4" ht="14" thickBot="1" x14ac:dyDescent="0.2">
      <c r="B1044" s="251">
        <v>43815</v>
      </c>
      <c r="C1044" s="451">
        <v>40938.720000000001</v>
      </c>
      <c r="D1044" s="261">
        <f t="shared" si="16"/>
        <v>1.7340551927367276E-3</v>
      </c>
    </row>
    <row r="1045" spans="2:4" ht="14" thickBot="1" x14ac:dyDescent="0.2">
      <c r="B1045" s="251">
        <v>43816</v>
      </c>
      <c r="C1045" s="451">
        <v>41352.17</v>
      </c>
      <c r="D1045" s="261">
        <f t="shared" si="16"/>
        <v>-9.998266112757781E-3</v>
      </c>
    </row>
    <row r="1046" spans="2:4" ht="14" thickBot="1" x14ac:dyDescent="0.2">
      <c r="B1046" s="251">
        <v>43817</v>
      </c>
      <c r="C1046" s="451">
        <v>41558.57</v>
      </c>
      <c r="D1046" s="261">
        <f t="shared" si="16"/>
        <v>-4.9664846504584581E-3</v>
      </c>
    </row>
    <row r="1047" spans="2:4" ht="14" thickBot="1" x14ac:dyDescent="0.2">
      <c r="B1047" s="251">
        <v>43818</v>
      </c>
      <c r="C1047" s="451">
        <v>41673.919999999998</v>
      </c>
      <c r="D1047" s="261">
        <f t="shared" si="16"/>
        <v>-2.7679181608065706E-3</v>
      </c>
    </row>
    <row r="1048" spans="2:4" ht="14" thickBot="1" x14ac:dyDescent="0.2">
      <c r="B1048" s="251">
        <v>43819</v>
      </c>
      <c r="C1048" s="451">
        <v>41681.54</v>
      </c>
      <c r="D1048" s="261">
        <f t="shared" si="16"/>
        <v>-1.8281474244963292E-4</v>
      </c>
    </row>
    <row r="1049" spans="2:4" ht="14" thickBot="1" x14ac:dyDescent="0.2">
      <c r="B1049" s="251">
        <v>43822</v>
      </c>
      <c r="C1049" s="451">
        <v>41642.660000000003</v>
      </c>
      <c r="D1049" s="261">
        <f t="shared" si="16"/>
        <v>9.3365793635658001E-4</v>
      </c>
    </row>
    <row r="1050" spans="2:4" ht="14" thickBot="1" x14ac:dyDescent="0.2">
      <c r="B1050" s="251">
        <v>43823</v>
      </c>
      <c r="C1050" s="451">
        <v>41461.26</v>
      </c>
      <c r="D1050" s="261">
        <f t="shared" si="16"/>
        <v>4.3751685308164312E-3</v>
      </c>
    </row>
    <row r="1051" spans="2:4" ht="14" thickBot="1" x14ac:dyDescent="0.2">
      <c r="B1051" s="251">
        <v>43825</v>
      </c>
      <c r="C1051" s="451">
        <v>41163.760000000002</v>
      </c>
      <c r="D1051" s="261">
        <f t="shared" si="16"/>
        <v>7.2272309429459725E-3</v>
      </c>
    </row>
    <row r="1052" spans="2:4" ht="14" thickBot="1" x14ac:dyDescent="0.2">
      <c r="B1052" s="251">
        <v>43826</v>
      </c>
      <c r="C1052" s="451">
        <v>41575.14</v>
      </c>
      <c r="D1052" s="261">
        <f t="shared" si="16"/>
        <v>-9.894855435243155E-3</v>
      </c>
    </row>
    <row r="1053" spans="2:4" ht="14" thickBot="1" x14ac:dyDescent="0.2">
      <c r="B1053" s="251">
        <v>43829</v>
      </c>
      <c r="C1053" s="451">
        <v>41558</v>
      </c>
      <c r="D1053" s="261">
        <f t="shared" si="16"/>
        <v>4.1243563212867151E-4</v>
      </c>
    </row>
    <row r="1054" spans="2:4" ht="14" thickBot="1" x14ac:dyDescent="0.2">
      <c r="B1054" s="251">
        <v>43830</v>
      </c>
      <c r="C1054" s="451">
        <v>41253.74</v>
      </c>
      <c r="D1054" s="261">
        <f t="shared" si="16"/>
        <v>7.3753313032951517E-3</v>
      </c>
    </row>
    <row r="1055" spans="2:4" ht="14" thickBot="1" x14ac:dyDescent="0.2">
      <c r="B1055" s="251">
        <v>43831</v>
      </c>
      <c r="C1055" s="451">
        <v>41306.019999999997</v>
      </c>
      <c r="D1055" s="261">
        <f t="shared" si="16"/>
        <v>-1.2656750759332258E-3</v>
      </c>
    </row>
    <row r="1056" spans="2:4" ht="14" thickBot="1" x14ac:dyDescent="0.2">
      <c r="B1056" s="251">
        <v>43832</v>
      </c>
      <c r="C1056" s="451">
        <v>41626.639999999999</v>
      </c>
      <c r="D1056" s="261">
        <f t="shared" si="16"/>
        <v>-7.7022791174113925E-3</v>
      </c>
    </row>
    <row r="1057" spans="2:4" ht="14" thickBot="1" x14ac:dyDescent="0.2">
      <c r="B1057" s="251">
        <v>43833</v>
      </c>
      <c r="C1057" s="451">
        <v>41464.61</v>
      </c>
      <c r="D1057" s="261">
        <f t="shared" si="16"/>
        <v>3.9076696971223068E-3</v>
      </c>
    </row>
    <row r="1058" spans="2:4" ht="14" thickBot="1" x14ac:dyDescent="0.2">
      <c r="B1058" s="251">
        <v>43836</v>
      </c>
      <c r="C1058" s="451">
        <v>40676.629999999997</v>
      </c>
      <c r="D1058" s="261">
        <f t="shared" si="16"/>
        <v>1.9371811283284801E-2</v>
      </c>
    </row>
    <row r="1059" spans="2:4" ht="14" thickBot="1" x14ac:dyDescent="0.2">
      <c r="B1059" s="251">
        <v>43837</v>
      </c>
      <c r="C1059" s="451">
        <v>40869.47</v>
      </c>
      <c r="D1059" s="261">
        <f t="shared" si="16"/>
        <v>-4.7184365248681415E-3</v>
      </c>
    </row>
    <row r="1060" spans="2:4" ht="14" thickBot="1" x14ac:dyDescent="0.2">
      <c r="B1060" s="251">
        <v>43838</v>
      </c>
      <c r="C1060" s="451">
        <v>40817.74</v>
      </c>
      <c r="D1060" s="261">
        <f t="shared" si="16"/>
        <v>1.2673411119774602E-3</v>
      </c>
    </row>
    <row r="1061" spans="2:4" ht="14" thickBot="1" x14ac:dyDescent="0.2">
      <c r="B1061" s="251">
        <v>43839</v>
      </c>
      <c r="C1061" s="451">
        <v>41452.35</v>
      </c>
      <c r="D1061" s="261">
        <f t="shared" si="16"/>
        <v>-1.530938535450943E-2</v>
      </c>
    </row>
    <row r="1062" spans="2:4" ht="14" thickBot="1" x14ac:dyDescent="0.2">
      <c r="B1062" s="251">
        <v>43840</v>
      </c>
      <c r="C1062" s="451">
        <v>41599.72</v>
      </c>
      <c r="D1062" s="261">
        <f t="shared" si="16"/>
        <v>-3.5425719211572559E-3</v>
      </c>
    </row>
    <row r="1063" spans="2:4" ht="14" thickBot="1" x14ac:dyDescent="0.2">
      <c r="B1063" s="251">
        <v>43843</v>
      </c>
      <c r="C1063" s="451">
        <v>41859.69</v>
      </c>
      <c r="D1063" s="261">
        <f t="shared" si="16"/>
        <v>-6.2105094423776652E-3</v>
      </c>
    </row>
    <row r="1064" spans="2:4" ht="14" thickBot="1" x14ac:dyDescent="0.2">
      <c r="B1064" s="251">
        <v>43844</v>
      </c>
      <c r="C1064" s="451">
        <v>41952.63</v>
      </c>
      <c r="D1064" s="261">
        <f t="shared" si="16"/>
        <v>-2.2153557476609631E-3</v>
      </c>
    </row>
    <row r="1065" spans="2:4" ht="14" thickBot="1" x14ac:dyDescent="0.2">
      <c r="B1065" s="251">
        <v>43845</v>
      </c>
      <c r="C1065" s="451">
        <v>41872.730000000003</v>
      </c>
      <c r="D1065" s="261">
        <f t="shared" si="16"/>
        <v>1.9081631410227118E-3</v>
      </c>
    </row>
    <row r="1066" spans="2:4" ht="14" thickBot="1" x14ac:dyDescent="0.2">
      <c r="B1066" s="251">
        <v>43846</v>
      </c>
      <c r="C1066" s="451">
        <v>41932.559999999998</v>
      </c>
      <c r="D1066" s="261">
        <f t="shared" si="16"/>
        <v>-1.426814866537951E-3</v>
      </c>
    </row>
    <row r="1067" spans="2:4" ht="14" thickBot="1" x14ac:dyDescent="0.2">
      <c r="B1067" s="251">
        <v>43847</v>
      </c>
      <c r="C1067" s="451">
        <v>41945.37</v>
      </c>
      <c r="D1067" s="261">
        <f t="shared" si="16"/>
        <v>-3.0539723454592327E-4</v>
      </c>
    </row>
    <row r="1068" spans="2:4" ht="14" thickBot="1" x14ac:dyDescent="0.2">
      <c r="B1068" s="251">
        <v>43850</v>
      </c>
      <c r="C1068" s="451">
        <v>41528.910000000003</v>
      </c>
      <c r="D1068" s="261">
        <f t="shared" si="16"/>
        <v>1.0028194816574798E-2</v>
      </c>
    </row>
    <row r="1069" spans="2:4" ht="14" thickBot="1" x14ac:dyDescent="0.2">
      <c r="B1069" s="251">
        <v>43851</v>
      </c>
      <c r="C1069" s="451">
        <v>41323.81</v>
      </c>
      <c r="D1069" s="261">
        <f t="shared" si="16"/>
        <v>4.9632403207739983E-3</v>
      </c>
    </row>
    <row r="1070" spans="2:4" ht="14" thickBot="1" x14ac:dyDescent="0.2">
      <c r="B1070" s="251">
        <v>43852</v>
      </c>
      <c r="C1070" s="451">
        <v>41115.379999999997</v>
      </c>
      <c r="D1070" s="261">
        <f t="shared" si="16"/>
        <v>5.0693925241600546E-3</v>
      </c>
    </row>
    <row r="1071" spans="2:4" ht="14" thickBot="1" x14ac:dyDescent="0.2">
      <c r="B1071" s="251">
        <v>43853</v>
      </c>
      <c r="C1071" s="451">
        <v>41386.400000000001</v>
      </c>
      <c r="D1071" s="261">
        <f t="shared" si="16"/>
        <v>-6.5485280188661843E-3</v>
      </c>
    </row>
    <row r="1072" spans="2:4" ht="14" thickBot="1" x14ac:dyDescent="0.2">
      <c r="B1072" s="251">
        <v>43854</v>
      </c>
      <c r="C1072" s="451">
        <v>41613.19</v>
      </c>
      <c r="D1072" s="261">
        <f t="shared" si="16"/>
        <v>-5.449954689847103E-3</v>
      </c>
    </row>
    <row r="1073" spans="2:4" ht="14" thickBot="1" x14ac:dyDescent="0.2">
      <c r="B1073" s="251">
        <v>43857</v>
      </c>
      <c r="C1073" s="451">
        <v>41155.120000000003</v>
      </c>
      <c r="D1073" s="261">
        <f t="shared" si="16"/>
        <v>1.1130328377125354E-2</v>
      </c>
    </row>
    <row r="1074" spans="2:4" ht="14" thickBot="1" x14ac:dyDescent="0.2">
      <c r="B1074" s="251">
        <v>43858</v>
      </c>
      <c r="C1074" s="451">
        <v>40966.86</v>
      </c>
      <c r="D1074" s="261">
        <f t="shared" si="16"/>
        <v>4.5954217628592087E-3</v>
      </c>
    </row>
    <row r="1075" spans="2:4" ht="14" thickBot="1" x14ac:dyDescent="0.2">
      <c r="B1075" s="251">
        <v>43859</v>
      </c>
      <c r="C1075" s="451">
        <v>41198.660000000003</v>
      </c>
      <c r="D1075" s="261">
        <f t="shared" si="16"/>
        <v>-5.6263965866851784E-3</v>
      </c>
    </row>
    <row r="1076" spans="2:4" ht="14" thickBot="1" x14ac:dyDescent="0.2">
      <c r="B1076" s="251">
        <v>43860</v>
      </c>
      <c r="C1076" s="451">
        <v>40913.82</v>
      </c>
      <c r="D1076" s="261">
        <f t="shared" si="16"/>
        <v>6.9619507540483738E-3</v>
      </c>
    </row>
    <row r="1077" spans="2:4" ht="14" thickBot="1" x14ac:dyDescent="0.2">
      <c r="B1077" s="251">
        <v>43861</v>
      </c>
      <c r="C1077" s="451">
        <v>40723.49</v>
      </c>
      <c r="D1077" s="261">
        <f t="shared" si="16"/>
        <v>4.6737153421771982E-3</v>
      </c>
    </row>
    <row r="1078" spans="2:4" ht="14" thickBot="1" x14ac:dyDescent="0.2">
      <c r="B1078" s="251">
        <v>43862</v>
      </c>
      <c r="C1078" s="451">
        <v>39735.53</v>
      </c>
      <c r="D1078" s="261">
        <f t="shared" si="16"/>
        <v>2.48633905222857E-2</v>
      </c>
    </row>
    <row r="1079" spans="2:4" ht="14" thickBot="1" x14ac:dyDescent="0.2">
      <c r="B1079" s="251">
        <v>43864</v>
      </c>
      <c r="C1079" s="451">
        <v>39872.31</v>
      </c>
      <c r="D1079" s="261">
        <f t="shared" si="16"/>
        <v>-3.4304508567474246E-3</v>
      </c>
    </row>
    <row r="1080" spans="2:4" ht="14" thickBot="1" x14ac:dyDescent="0.2">
      <c r="B1080" s="251">
        <v>43865</v>
      </c>
      <c r="C1080" s="451">
        <v>40789.379999999997</v>
      </c>
      <c r="D1080" s="261">
        <f t="shared" si="16"/>
        <v>-2.2483058090120522E-2</v>
      </c>
    </row>
    <row r="1081" spans="2:4" ht="14" thickBot="1" x14ac:dyDescent="0.2">
      <c r="B1081" s="251">
        <v>43866</v>
      </c>
      <c r="C1081" s="451">
        <v>41142.660000000003</v>
      </c>
      <c r="D1081" s="261">
        <f t="shared" si="16"/>
        <v>-8.5867078113084361E-3</v>
      </c>
    </row>
    <row r="1082" spans="2:4" ht="14" thickBot="1" x14ac:dyDescent="0.2">
      <c r="B1082" s="251">
        <v>43867</v>
      </c>
      <c r="C1082" s="451">
        <v>41306.03</v>
      </c>
      <c r="D1082" s="261">
        <f t="shared" si="16"/>
        <v>-3.9551126070453968E-3</v>
      </c>
    </row>
    <row r="1083" spans="2:4" ht="14" thickBot="1" x14ac:dyDescent="0.2">
      <c r="B1083" s="251">
        <v>43868</v>
      </c>
      <c r="C1083" s="451">
        <v>41141.85</v>
      </c>
      <c r="D1083" s="261">
        <f t="shared" si="16"/>
        <v>3.9905837972769032E-3</v>
      </c>
    </row>
    <row r="1084" spans="2:4" ht="14" thickBot="1" x14ac:dyDescent="0.2">
      <c r="B1084" s="251">
        <v>43871</v>
      </c>
      <c r="C1084" s="451">
        <v>40979.620000000003</v>
      </c>
      <c r="D1084" s="261">
        <f t="shared" si="16"/>
        <v>3.9587970801093775E-3</v>
      </c>
    </row>
    <row r="1085" spans="2:4" ht="14" thickBot="1" x14ac:dyDescent="0.2">
      <c r="B1085" s="251">
        <v>43872</v>
      </c>
      <c r="C1085" s="451">
        <v>41216.14</v>
      </c>
      <c r="D1085" s="261">
        <f t="shared" si="16"/>
        <v>-5.738528644361085E-3</v>
      </c>
    </row>
    <row r="1086" spans="2:4" ht="14" thickBot="1" x14ac:dyDescent="0.2">
      <c r="B1086" s="251">
        <v>43873</v>
      </c>
      <c r="C1086" s="451">
        <v>41565.9</v>
      </c>
      <c r="D1086" s="261">
        <f t="shared" si="16"/>
        <v>-8.4145898440789457E-3</v>
      </c>
    </row>
    <row r="1087" spans="2:4" ht="14" thickBot="1" x14ac:dyDescent="0.2">
      <c r="B1087" s="251">
        <v>43874</v>
      </c>
      <c r="C1087" s="451">
        <v>41459.79</v>
      </c>
      <c r="D1087" s="261">
        <f t="shared" si="16"/>
        <v>2.5593472615272894E-3</v>
      </c>
    </row>
    <row r="1088" spans="2:4" ht="14" thickBot="1" x14ac:dyDescent="0.2">
      <c r="B1088" s="251">
        <v>43875</v>
      </c>
      <c r="C1088" s="451">
        <v>41257.74</v>
      </c>
      <c r="D1088" s="261">
        <f t="shared" si="16"/>
        <v>4.8972629135770607E-3</v>
      </c>
    </row>
    <row r="1089" spans="2:4" ht="14" thickBot="1" x14ac:dyDescent="0.2">
      <c r="B1089" s="251">
        <v>43878</v>
      </c>
      <c r="C1089" s="451">
        <v>41055.69</v>
      </c>
      <c r="D1089" s="261">
        <f t="shared" si="16"/>
        <v>4.9213641276031339E-3</v>
      </c>
    </row>
    <row r="1090" spans="2:4" ht="14" thickBot="1" x14ac:dyDescent="0.2">
      <c r="B1090" s="251">
        <v>43879</v>
      </c>
      <c r="C1090" s="451">
        <v>40894.379999999997</v>
      </c>
      <c r="D1090" s="261">
        <f t="shared" si="16"/>
        <v>3.9445517941585351E-3</v>
      </c>
    </row>
    <row r="1091" spans="2:4" ht="14" thickBot="1" x14ac:dyDescent="0.2">
      <c r="B1091" s="251">
        <v>43880</v>
      </c>
      <c r="C1091" s="451">
        <v>41323</v>
      </c>
      <c r="D1091" s="261">
        <f t="shared" si="16"/>
        <v>-1.0372431817631922E-2</v>
      </c>
    </row>
    <row r="1092" spans="2:4" ht="14" thickBot="1" x14ac:dyDescent="0.2">
      <c r="B1092" s="251">
        <v>43881</v>
      </c>
      <c r="C1092" s="451">
        <v>41170.120000000003</v>
      </c>
      <c r="D1092" s="261">
        <f t="shared" si="16"/>
        <v>3.7133727081679613E-3</v>
      </c>
    </row>
    <row r="1093" spans="2:4" ht="14" thickBot="1" x14ac:dyDescent="0.2">
      <c r="B1093" s="251">
        <v>43885</v>
      </c>
      <c r="C1093" s="451">
        <v>40363.230000000003</v>
      </c>
      <c r="D1093" s="261">
        <f t="shared" si="16"/>
        <v>1.9990719275934987E-2</v>
      </c>
    </row>
    <row r="1094" spans="2:4" ht="14" thickBot="1" x14ac:dyDescent="0.2">
      <c r="B1094" s="251">
        <v>43886</v>
      </c>
      <c r="C1094" s="451">
        <v>40281.199999999997</v>
      </c>
      <c r="D1094" s="261">
        <f t="shared" si="16"/>
        <v>2.036433869894827E-3</v>
      </c>
    </row>
    <row r="1095" spans="2:4" ht="14" thickBot="1" x14ac:dyDescent="0.2">
      <c r="B1095" s="251">
        <v>43887</v>
      </c>
      <c r="C1095" s="451">
        <v>39888.959999999999</v>
      </c>
      <c r="D1095" s="261">
        <f t="shared" si="16"/>
        <v>9.8332972331189872E-3</v>
      </c>
    </row>
    <row r="1096" spans="2:4" ht="14" thickBot="1" x14ac:dyDescent="0.2">
      <c r="B1096" s="251">
        <v>43888</v>
      </c>
      <c r="C1096" s="451">
        <v>39745.660000000003</v>
      </c>
      <c r="D1096" s="261">
        <f t="shared" si="16"/>
        <v>3.6054250954693501E-3</v>
      </c>
    </row>
    <row r="1097" spans="2:4" ht="14" thickBot="1" x14ac:dyDescent="0.2">
      <c r="B1097" s="251">
        <v>43889</v>
      </c>
      <c r="C1097" s="451">
        <v>38297.29</v>
      </c>
      <c r="D1097" s="261">
        <f t="shared" si="16"/>
        <v>3.7819125060807313E-2</v>
      </c>
    </row>
    <row r="1098" spans="2:4" ht="14" thickBot="1" x14ac:dyDescent="0.2">
      <c r="B1098" s="251">
        <v>43892</v>
      </c>
      <c r="C1098" s="451">
        <v>38144.019999999997</v>
      </c>
      <c r="D1098" s="261">
        <f t="shared" ref="D1098:D1161" si="17">C1097/C1098-1</f>
        <v>4.0181921045554514E-3</v>
      </c>
    </row>
    <row r="1099" spans="2:4" ht="14" thickBot="1" x14ac:dyDescent="0.2">
      <c r="B1099" s="251">
        <v>43893</v>
      </c>
      <c r="C1099" s="451">
        <v>38623.699999999997</v>
      </c>
      <c r="D1099" s="261">
        <f t="shared" si="17"/>
        <v>-1.2419317672827779E-2</v>
      </c>
    </row>
    <row r="1100" spans="2:4" ht="14" thickBot="1" x14ac:dyDescent="0.2">
      <c r="B1100" s="251">
        <v>43894</v>
      </c>
      <c r="C1100" s="451">
        <v>38409.480000000003</v>
      </c>
      <c r="D1100" s="261">
        <f t="shared" si="17"/>
        <v>5.5772689450623858E-3</v>
      </c>
    </row>
    <row r="1101" spans="2:4" ht="14" thickBot="1" x14ac:dyDescent="0.2">
      <c r="B1101" s="251">
        <v>43895</v>
      </c>
      <c r="C1101" s="451">
        <v>38470.61</v>
      </c>
      <c r="D1101" s="261">
        <f t="shared" si="17"/>
        <v>-1.5890052172293778E-3</v>
      </c>
    </row>
    <row r="1102" spans="2:4" ht="14" thickBot="1" x14ac:dyDescent="0.2">
      <c r="B1102" s="251">
        <v>43896</v>
      </c>
      <c r="C1102" s="451">
        <v>37576.620000000003</v>
      </c>
      <c r="D1102" s="261">
        <f t="shared" si="17"/>
        <v>2.3791123310185958E-2</v>
      </c>
    </row>
    <row r="1103" spans="2:4" ht="14" thickBot="1" x14ac:dyDescent="0.2">
      <c r="B1103" s="251">
        <v>43899</v>
      </c>
      <c r="C1103" s="451">
        <v>35634.949999999997</v>
      </c>
      <c r="D1103" s="261">
        <f t="shared" si="17"/>
        <v>5.4487799197136644E-2</v>
      </c>
    </row>
    <row r="1104" spans="2:4" ht="14" thickBot="1" x14ac:dyDescent="0.2">
      <c r="B1104" s="251">
        <v>43901</v>
      </c>
      <c r="C1104" s="451">
        <v>35697.4</v>
      </c>
      <c r="D1104" s="261">
        <f t="shared" si="17"/>
        <v>-1.74942712914683E-3</v>
      </c>
    </row>
    <row r="1105" spans="2:4" ht="14" thickBot="1" x14ac:dyDescent="0.2">
      <c r="B1105" s="251">
        <v>43902</v>
      </c>
      <c r="C1105" s="451">
        <v>32778.14</v>
      </c>
      <c r="D1105" s="261">
        <f t="shared" si="17"/>
        <v>8.9061185289952549E-2</v>
      </c>
    </row>
    <row r="1106" spans="2:4" ht="14" thickBot="1" x14ac:dyDescent="0.2">
      <c r="B1106" s="251">
        <v>43903</v>
      </c>
      <c r="C1106" s="451">
        <v>34103.480000000003</v>
      </c>
      <c r="D1106" s="261">
        <f t="shared" si="17"/>
        <v>-3.8862309652856641E-2</v>
      </c>
    </row>
    <row r="1107" spans="2:4" ht="14" thickBot="1" x14ac:dyDescent="0.2">
      <c r="B1107" s="251">
        <v>43906</v>
      </c>
      <c r="C1107" s="451">
        <v>31390.07</v>
      </c>
      <c r="D1107" s="261">
        <f t="shared" si="17"/>
        <v>8.6441667699371338E-2</v>
      </c>
    </row>
    <row r="1108" spans="2:4" ht="14" thickBot="1" x14ac:dyDescent="0.2">
      <c r="B1108" s="251">
        <v>43907</v>
      </c>
      <c r="C1108" s="451">
        <v>30579.09</v>
      </c>
      <c r="D1108" s="261">
        <f t="shared" si="17"/>
        <v>2.6520736882621465E-2</v>
      </c>
    </row>
    <row r="1109" spans="2:4" ht="14" thickBot="1" x14ac:dyDescent="0.2">
      <c r="B1109" s="251">
        <v>43908</v>
      </c>
      <c r="C1109" s="451">
        <v>28869.51</v>
      </c>
      <c r="D1109" s="261">
        <f t="shared" si="17"/>
        <v>5.9217492780445635E-2</v>
      </c>
    </row>
    <row r="1110" spans="2:4" ht="14" thickBot="1" x14ac:dyDescent="0.2">
      <c r="B1110" s="251">
        <v>43909</v>
      </c>
      <c r="C1110" s="451">
        <v>28288.23</v>
      </c>
      <c r="D1110" s="261">
        <f t="shared" si="17"/>
        <v>2.054847546134897E-2</v>
      </c>
    </row>
    <row r="1111" spans="2:4" ht="14" thickBot="1" x14ac:dyDescent="0.2">
      <c r="B1111" s="251">
        <v>43910</v>
      </c>
      <c r="C1111" s="451">
        <v>29915.96</v>
      </c>
      <c r="D1111" s="261">
        <f t="shared" si="17"/>
        <v>-5.4410087458333312E-2</v>
      </c>
    </row>
    <row r="1112" spans="2:4" ht="14" thickBot="1" x14ac:dyDescent="0.2">
      <c r="B1112" s="251">
        <v>43913</v>
      </c>
      <c r="C1112" s="451">
        <v>25981.24</v>
      </c>
      <c r="D1112" s="261">
        <f t="shared" si="17"/>
        <v>0.15144465776075333</v>
      </c>
    </row>
    <row r="1113" spans="2:4" ht="14" thickBot="1" x14ac:dyDescent="0.2">
      <c r="B1113" s="251">
        <v>43914</v>
      </c>
      <c r="C1113" s="451">
        <v>26674.03</v>
      </c>
      <c r="D1113" s="261">
        <f t="shared" si="17"/>
        <v>-2.5972453356316927E-2</v>
      </c>
    </row>
    <row r="1114" spans="2:4" ht="14" thickBot="1" x14ac:dyDescent="0.2">
      <c r="B1114" s="251">
        <v>43915</v>
      </c>
      <c r="C1114" s="451">
        <v>28535.78</v>
      </c>
      <c r="D1114" s="261">
        <f t="shared" si="17"/>
        <v>-6.5242653258470562E-2</v>
      </c>
    </row>
    <row r="1115" spans="2:4" ht="14" thickBot="1" x14ac:dyDescent="0.2">
      <c r="B1115" s="251">
        <v>43916</v>
      </c>
      <c r="C1115" s="451">
        <v>29946.77</v>
      </c>
      <c r="D1115" s="261">
        <f t="shared" si="17"/>
        <v>-4.7116600554917953E-2</v>
      </c>
    </row>
    <row r="1116" spans="2:4" ht="14" thickBot="1" x14ac:dyDescent="0.2">
      <c r="B1116" s="251">
        <v>43917</v>
      </c>
      <c r="C1116" s="451">
        <v>29815.59</v>
      </c>
      <c r="D1116" s="261">
        <f t="shared" si="17"/>
        <v>4.3997116944525239E-3</v>
      </c>
    </row>
    <row r="1117" spans="2:4" ht="14" thickBot="1" x14ac:dyDescent="0.2">
      <c r="B1117" s="251">
        <v>43920</v>
      </c>
      <c r="C1117" s="451">
        <v>28440.32</v>
      </c>
      <c r="D1117" s="261">
        <f t="shared" si="17"/>
        <v>4.8356347607903194E-2</v>
      </c>
    </row>
    <row r="1118" spans="2:4" ht="14" thickBot="1" x14ac:dyDescent="0.2">
      <c r="B1118" s="251">
        <v>43921</v>
      </c>
      <c r="C1118" s="451">
        <v>29468.49</v>
      </c>
      <c r="D1118" s="261">
        <f t="shared" si="17"/>
        <v>-3.4890488111199547E-2</v>
      </c>
    </row>
    <row r="1119" spans="2:4" ht="14" thickBot="1" x14ac:dyDescent="0.2">
      <c r="B1119" s="251">
        <v>43922</v>
      </c>
      <c r="C1119" s="451">
        <v>28265.31</v>
      </c>
      <c r="D1119" s="261">
        <f t="shared" si="17"/>
        <v>4.2567373221804372E-2</v>
      </c>
    </row>
    <row r="1120" spans="2:4" ht="14" thickBot="1" x14ac:dyDescent="0.2">
      <c r="B1120" s="251">
        <v>43924</v>
      </c>
      <c r="C1120" s="451">
        <v>27590.95</v>
      </c>
      <c r="D1120" s="261">
        <f t="shared" si="17"/>
        <v>2.4441347615794307E-2</v>
      </c>
    </row>
    <row r="1121" spans="2:4" ht="14" thickBot="1" x14ac:dyDescent="0.2">
      <c r="B1121" s="251">
        <v>43928</v>
      </c>
      <c r="C1121" s="451">
        <v>30067.21</v>
      </c>
      <c r="D1121" s="261">
        <f t="shared" si="17"/>
        <v>-8.2357491765946977E-2</v>
      </c>
    </row>
    <row r="1122" spans="2:4" ht="14" thickBot="1" x14ac:dyDescent="0.2">
      <c r="B1122" s="251">
        <v>43929</v>
      </c>
      <c r="C1122" s="451">
        <v>29893.96</v>
      </c>
      <c r="D1122" s="261">
        <f t="shared" si="17"/>
        <v>5.7954851080284087E-3</v>
      </c>
    </row>
    <row r="1123" spans="2:4" ht="14" thickBot="1" x14ac:dyDescent="0.2">
      <c r="B1123" s="251">
        <v>43930</v>
      </c>
      <c r="C1123" s="451">
        <v>31159.62</v>
      </c>
      <c r="D1123" s="261">
        <f t="shared" si="17"/>
        <v>-4.061859547709501E-2</v>
      </c>
    </row>
    <row r="1124" spans="2:4" ht="14" thickBot="1" x14ac:dyDescent="0.2">
      <c r="B1124" s="251">
        <v>43934</v>
      </c>
      <c r="C1124" s="451">
        <v>30690.02</v>
      </c>
      <c r="D1124" s="261">
        <f t="shared" si="17"/>
        <v>1.5301391136271603E-2</v>
      </c>
    </row>
    <row r="1125" spans="2:4" ht="14" thickBot="1" x14ac:dyDescent="0.2">
      <c r="B1125" s="251">
        <v>43936</v>
      </c>
      <c r="C1125" s="451">
        <v>30379.81</v>
      </c>
      <c r="D1125" s="261">
        <f t="shared" si="17"/>
        <v>1.0211057936175383E-2</v>
      </c>
    </row>
    <row r="1126" spans="2:4" ht="14" thickBot="1" x14ac:dyDescent="0.2">
      <c r="B1126" s="251">
        <v>43937</v>
      </c>
      <c r="C1126" s="451">
        <v>30602.61</v>
      </c>
      <c r="D1126" s="261">
        <f t="shared" si="17"/>
        <v>-7.2804247742267458E-3</v>
      </c>
    </row>
    <row r="1127" spans="2:4" ht="14" thickBot="1" x14ac:dyDescent="0.2">
      <c r="B1127" s="251">
        <v>43938</v>
      </c>
      <c r="C1127" s="451">
        <v>31588.720000000001</v>
      </c>
      <c r="D1127" s="261">
        <f t="shared" si="17"/>
        <v>-3.1217155997457335E-2</v>
      </c>
    </row>
    <row r="1128" spans="2:4" ht="14" thickBot="1" x14ac:dyDescent="0.2">
      <c r="B1128" s="251">
        <v>43941</v>
      </c>
      <c r="C1128" s="451">
        <v>31648</v>
      </c>
      <c r="D1128" s="261">
        <f t="shared" si="17"/>
        <v>-1.8731041456016007E-3</v>
      </c>
    </row>
    <row r="1129" spans="2:4" ht="14" thickBot="1" x14ac:dyDescent="0.2">
      <c r="B1129" s="251">
        <v>43942</v>
      </c>
      <c r="C1129" s="451">
        <v>30636.71</v>
      </c>
      <c r="D1129" s="261">
        <f t="shared" si="17"/>
        <v>3.300909268651897E-2</v>
      </c>
    </row>
    <row r="1130" spans="2:4" ht="14" thickBot="1" x14ac:dyDescent="0.2">
      <c r="B1130" s="251">
        <v>43943</v>
      </c>
      <c r="C1130" s="451">
        <v>31379.55</v>
      </c>
      <c r="D1130" s="261">
        <f t="shared" si="17"/>
        <v>-2.3672742279605696E-2</v>
      </c>
    </row>
    <row r="1131" spans="2:4" ht="14" thickBot="1" x14ac:dyDescent="0.2">
      <c r="B1131" s="251">
        <v>43944</v>
      </c>
      <c r="C1131" s="451">
        <v>31863.08</v>
      </c>
      <c r="D1131" s="261">
        <f t="shared" si="17"/>
        <v>-1.5175243573439912E-2</v>
      </c>
    </row>
    <row r="1132" spans="2:4" ht="14" thickBot="1" x14ac:dyDescent="0.2">
      <c r="B1132" s="251">
        <v>43945</v>
      </c>
      <c r="C1132" s="451">
        <v>31327.22</v>
      </c>
      <c r="D1132" s="261">
        <f t="shared" si="17"/>
        <v>1.7105252237511026E-2</v>
      </c>
    </row>
    <row r="1133" spans="2:4" ht="14" thickBot="1" x14ac:dyDescent="0.2">
      <c r="B1133" s="251">
        <v>43948</v>
      </c>
      <c r="C1133" s="451">
        <v>31743.08</v>
      </c>
      <c r="D1133" s="261">
        <f t="shared" si="17"/>
        <v>-1.3100808113138407E-2</v>
      </c>
    </row>
    <row r="1134" spans="2:4" ht="14" thickBot="1" x14ac:dyDescent="0.2">
      <c r="B1134" s="251">
        <v>43949</v>
      </c>
      <c r="C1134" s="451">
        <v>32114.52</v>
      </c>
      <c r="D1134" s="261">
        <f t="shared" si="17"/>
        <v>-1.1566107791740277E-2</v>
      </c>
    </row>
    <row r="1135" spans="2:4" ht="14" thickBot="1" x14ac:dyDescent="0.2">
      <c r="B1135" s="251">
        <v>43950</v>
      </c>
      <c r="C1135" s="451">
        <v>32720.16</v>
      </c>
      <c r="D1135" s="261">
        <f t="shared" si="17"/>
        <v>-1.8509689439171417E-2</v>
      </c>
    </row>
    <row r="1136" spans="2:4" ht="14" thickBot="1" x14ac:dyDescent="0.2">
      <c r="B1136" s="251">
        <v>43951</v>
      </c>
      <c r="C1136" s="451">
        <v>33717.620000000003</v>
      </c>
      <c r="D1136" s="261">
        <f t="shared" si="17"/>
        <v>-2.9582752282041325E-2</v>
      </c>
    </row>
    <row r="1137" spans="2:4" ht="14" thickBot="1" x14ac:dyDescent="0.2">
      <c r="B1137" s="251">
        <v>43955</v>
      </c>
      <c r="C1137" s="451">
        <v>31715.35</v>
      </c>
      <c r="D1137" s="261">
        <f t="shared" si="17"/>
        <v>6.3132521003236741E-2</v>
      </c>
    </row>
    <row r="1138" spans="2:4" ht="14" thickBot="1" x14ac:dyDescent="0.2">
      <c r="B1138" s="251">
        <v>43956</v>
      </c>
      <c r="C1138" s="451">
        <v>31453.51</v>
      </c>
      <c r="D1138" s="261">
        <f t="shared" si="17"/>
        <v>8.3246671039258757E-3</v>
      </c>
    </row>
    <row r="1139" spans="2:4" ht="14" thickBot="1" x14ac:dyDescent="0.2">
      <c r="B1139" s="251">
        <v>43957</v>
      </c>
      <c r="C1139" s="451">
        <v>31685.75</v>
      </c>
      <c r="D1139" s="261">
        <f t="shared" si="17"/>
        <v>-7.329477762085479E-3</v>
      </c>
    </row>
    <row r="1140" spans="2:4" ht="14" thickBot="1" x14ac:dyDescent="0.2">
      <c r="B1140" s="251">
        <v>43958</v>
      </c>
      <c r="C1140" s="451">
        <v>31443.38</v>
      </c>
      <c r="D1140" s="261">
        <f t="shared" si="17"/>
        <v>7.7081407914798561E-3</v>
      </c>
    </row>
    <row r="1141" spans="2:4" ht="14" thickBot="1" x14ac:dyDescent="0.2">
      <c r="B1141" s="251">
        <v>43959</v>
      </c>
      <c r="C1141" s="451">
        <v>31642.7</v>
      </c>
      <c r="D1141" s="261">
        <f t="shared" si="17"/>
        <v>-6.2990832008646969E-3</v>
      </c>
    </row>
    <row r="1142" spans="2:4" ht="14" thickBot="1" x14ac:dyDescent="0.2">
      <c r="B1142" s="251">
        <v>43962</v>
      </c>
      <c r="C1142" s="451">
        <v>31561.22</v>
      </c>
      <c r="D1142" s="261">
        <f t="shared" si="17"/>
        <v>2.5816492518349055E-3</v>
      </c>
    </row>
    <row r="1143" spans="2:4" ht="14" thickBot="1" x14ac:dyDescent="0.2">
      <c r="B1143" s="251">
        <v>43963</v>
      </c>
      <c r="C1143" s="451">
        <v>31371.119999999999</v>
      </c>
      <c r="D1143" s="261">
        <f t="shared" si="17"/>
        <v>6.0597135199509378E-3</v>
      </c>
    </row>
    <row r="1144" spans="2:4" ht="14" thickBot="1" x14ac:dyDescent="0.2">
      <c r="B1144" s="251">
        <v>43964</v>
      </c>
      <c r="C1144" s="451">
        <v>32008.61</v>
      </c>
      <c r="D1144" s="261">
        <f t="shared" si="17"/>
        <v>-1.9916203796416121E-2</v>
      </c>
    </row>
    <row r="1145" spans="2:4" ht="14" thickBot="1" x14ac:dyDescent="0.2">
      <c r="B1145" s="251">
        <v>43965</v>
      </c>
      <c r="C1145" s="451">
        <v>31122.89</v>
      </c>
      <c r="D1145" s="261">
        <f t="shared" si="17"/>
        <v>2.8458796724854407E-2</v>
      </c>
    </row>
    <row r="1146" spans="2:4" ht="14" thickBot="1" x14ac:dyDescent="0.2">
      <c r="B1146" s="251">
        <v>43966</v>
      </c>
      <c r="C1146" s="451">
        <v>31097.73</v>
      </c>
      <c r="D1146" s="261">
        <f t="shared" si="17"/>
        <v>8.0906226917520918E-4</v>
      </c>
    </row>
    <row r="1147" spans="2:4" ht="14" thickBot="1" x14ac:dyDescent="0.2">
      <c r="B1147" s="251">
        <v>43969</v>
      </c>
      <c r="C1147" s="451">
        <v>30028.98</v>
      </c>
      <c r="D1147" s="261">
        <f t="shared" si="17"/>
        <v>3.5590619461600026E-2</v>
      </c>
    </row>
    <row r="1148" spans="2:4" ht="14" thickBot="1" x14ac:dyDescent="0.2">
      <c r="B1148" s="251">
        <v>43970</v>
      </c>
      <c r="C1148" s="451">
        <v>30196.17</v>
      </c>
      <c r="D1148" s="261">
        <f t="shared" si="17"/>
        <v>-5.536794898160835E-3</v>
      </c>
    </row>
    <row r="1149" spans="2:4" ht="14" thickBot="1" x14ac:dyDescent="0.2">
      <c r="B1149" s="251">
        <v>43971</v>
      </c>
      <c r="C1149" s="451">
        <v>30818.61</v>
      </c>
      <c r="D1149" s="261">
        <f t="shared" si="17"/>
        <v>-2.0196887529969842E-2</v>
      </c>
    </row>
    <row r="1150" spans="2:4" ht="14" thickBot="1" x14ac:dyDescent="0.2">
      <c r="B1150" s="251">
        <v>43972</v>
      </c>
      <c r="C1150" s="451">
        <v>30932.9</v>
      </c>
      <c r="D1150" s="261">
        <f t="shared" si="17"/>
        <v>-3.6947715862398756E-3</v>
      </c>
    </row>
    <row r="1151" spans="2:4" ht="14" thickBot="1" x14ac:dyDescent="0.2">
      <c r="B1151" s="251">
        <v>43973</v>
      </c>
      <c r="C1151" s="451">
        <v>30672.59</v>
      </c>
      <c r="D1151" s="261">
        <f t="shared" si="17"/>
        <v>8.4867303348039602E-3</v>
      </c>
    </row>
    <row r="1152" spans="2:4" ht="14" thickBot="1" x14ac:dyDescent="0.2">
      <c r="B1152" s="251">
        <v>43977</v>
      </c>
      <c r="C1152" s="451">
        <v>30609.3</v>
      </c>
      <c r="D1152" s="261">
        <f t="shared" si="17"/>
        <v>2.0676722434032069E-3</v>
      </c>
    </row>
    <row r="1153" spans="2:4" ht="14" thickBot="1" x14ac:dyDescent="0.2">
      <c r="B1153" s="251">
        <v>43978</v>
      </c>
      <c r="C1153" s="451">
        <v>31605.22</v>
      </c>
      <c r="D1153" s="261">
        <f t="shared" si="17"/>
        <v>-3.1511250356744958E-2</v>
      </c>
    </row>
    <row r="1154" spans="2:4" ht="14" thickBot="1" x14ac:dyDescent="0.2">
      <c r="B1154" s="251">
        <v>43979</v>
      </c>
      <c r="C1154" s="451">
        <v>32200.59</v>
      </c>
      <c r="D1154" s="261">
        <f t="shared" si="17"/>
        <v>-1.8489412771629299E-2</v>
      </c>
    </row>
    <row r="1155" spans="2:4" ht="14" thickBot="1" x14ac:dyDescent="0.2">
      <c r="B1155" s="251">
        <v>43980</v>
      </c>
      <c r="C1155" s="451">
        <v>32424.1</v>
      </c>
      <c r="D1155" s="261">
        <f t="shared" si="17"/>
        <v>-6.8933293445306854E-3</v>
      </c>
    </row>
    <row r="1156" spans="2:4" ht="14" thickBot="1" x14ac:dyDescent="0.2">
      <c r="B1156" s="251">
        <v>43983</v>
      </c>
      <c r="C1156" s="451">
        <v>33303.519999999997</v>
      </c>
      <c r="D1156" s="261">
        <f t="shared" si="17"/>
        <v>-2.6406217721129721E-2</v>
      </c>
    </row>
    <row r="1157" spans="2:4" ht="14" thickBot="1" x14ac:dyDescent="0.2">
      <c r="B1157" s="251">
        <v>43984</v>
      </c>
      <c r="C1157" s="451">
        <v>33825.53</v>
      </c>
      <c r="D1157" s="261">
        <f t="shared" si="17"/>
        <v>-1.5432426335965865E-2</v>
      </c>
    </row>
    <row r="1158" spans="2:4" ht="14" thickBot="1" x14ac:dyDescent="0.2">
      <c r="B1158" s="251">
        <v>43985</v>
      </c>
      <c r="C1158" s="451">
        <v>34109.54</v>
      </c>
      <c r="D1158" s="261">
        <f t="shared" si="17"/>
        <v>-8.3264095616651934E-3</v>
      </c>
    </row>
    <row r="1159" spans="2:4" ht="14" thickBot="1" x14ac:dyDescent="0.2">
      <c r="B1159" s="251">
        <v>43986</v>
      </c>
      <c r="C1159" s="451">
        <v>33980.699999999997</v>
      </c>
      <c r="D1159" s="261">
        <f t="shared" si="17"/>
        <v>3.7915640348786805E-3</v>
      </c>
    </row>
    <row r="1160" spans="2:4" ht="14" thickBot="1" x14ac:dyDescent="0.2">
      <c r="B1160" s="251">
        <v>43987</v>
      </c>
      <c r="C1160" s="451">
        <v>34287.24</v>
      </c>
      <c r="D1160" s="261">
        <f t="shared" si="17"/>
        <v>-8.9403521543292008E-3</v>
      </c>
    </row>
    <row r="1161" spans="2:4" ht="14" thickBot="1" x14ac:dyDescent="0.2">
      <c r="B1161" s="251">
        <v>43990</v>
      </c>
      <c r="C1161" s="451">
        <v>34370.58</v>
      </c>
      <c r="D1161" s="261">
        <f t="shared" si="17"/>
        <v>-2.4247481421612038E-3</v>
      </c>
    </row>
    <row r="1162" spans="2:4" ht="14" thickBot="1" x14ac:dyDescent="0.2">
      <c r="B1162" s="251">
        <v>43991</v>
      </c>
      <c r="C1162" s="451">
        <v>33956.69</v>
      </c>
      <c r="D1162" s="261">
        <f t="shared" ref="D1162:D1225" si="18">C1161/C1162-1</f>
        <v>1.2188761625470557E-2</v>
      </c>
    </row>
    <row r="1163" spans="2:4" ht="14" thickBot="1" x14ac:dyDescent="0.2">
      <c r="B1163" s="251">
        <v>43992</v>
      </c>
      <c r="C1163" s="451">
        <v>34247.050000000003</v>
      </c>
      <c r="D1163" s="261">
        <f t="shared" si="18"/>
        <v>-8.4783944894524232E-3</v>
      </c>
    </row>
    <row r="1164" spans="2:4" ht="14" thickBot="1" x14ac:dyDescent="0.2">
      <c r="B1164" s="251">
        <v>43993</v>
      </c>
      <c r="C1164" s="451">
        <v>33538.370000000003</v>
      </c>
      <c r="D1164" s="261">
        <f t="shared" si="18"/>
        <v>2.1130424644966395E-2</v>
      </c>
    </row>
    <row r="1165" spans="2:4" ht="14" thickBot="1" x14ac:dyDescent="0.2">
      <c r="B1165" s="251">
        <v>43994</v>
      </c>
      <c r="C1165" s="451">
        <v>33780.89</v>
      </c>
      <c r="D1165" s="261">
        <f t="shared" si="18"/>
        <v>-7.1792069421497962E-3</v>
      </c>
    </row>
    <row r="1166" spans="2:4" ht="14" thickBot="1" x14ac:dyDescent="0.2">
      <c r="B1166" s="251">
        <v>43997</v>
      </c>
      <c r="C1166" s="451">
        <v>33228.800000000003</v>
      </c>
      <c r="D1166" s="261">
        <f t="shared" si="18"/>
        <v>1.6614804025423702E-2</v>
      </c>
    </row>
    <row r="1167" spans="2:4" ht="14" thickBot="1" x14ac:dyDescent="0.2">
      <c r="B1167" s="251">
        <v>43998</v>
      </c>
      <c r="C1167" s="451">
        <v>33605.22</v>
      </c>
      <c r="D1167" s="261">
        <f t="shared" si="18"/>
        <v>-1.1201235998454906E-2</v>
      </c>
    </row>
    <row r="1168" spans="2:4" ht="14" thickBot="1" x14ac:dyDescent="0.2">
      <c r="B1168" s="251">
        <v>43999</v>
      </c>
      <c r="C1168" s="451">
        <v>33507.919999999998</v>
      </c>
      <c r="D1168" s="261">
        <f t="shared" si="18"/>
        <v>2.903791103715303E-3</v>
      </c>
    </row>
    <row r="1169" spans="2:4" ht="14" thickBot="1" x14ac:dyDescent="0.2">
      <c r="B1169" s="251">
        <v>44000</v>
      </c>
      <c r="C1169" s="451">
        <v>34208.050000000003</v>
      </c>
      <c r="D1169" s="261">
        <f t="shared" si="18"/>
        <v>-2.0466819944428449E-2</v>
      </c>
    </row>
    <row r="1170" spans="2:4" ht="14" thickBot="1" x14ac:dyDescent="0.2">
      <c r="B1170" s="251">
        <v>44001</v>
      </c>
      <c r="C1170" s="451">
        <v>34731.730000000003</v>
      </c>
      <c r="D1170" s="261">
        <f t="shared" si="18"/>
        <v>-1.5077855321344535E-2</v>
      </c>
    </row>
    <row r="1171" spans="2:4" ht="14" thickBot="1" x14ac:dyDescent="0.2">
      <c r="B1171" s="251">
        <v>44004</v>
      </c>
      <c r="C1171" s="451">
        <v>34911.32</v>
      </c>
      <c r="D1171" s="261">
        <f t="shared" si="18"/>
        <v>-5.1441767312149222E-3</v>
      </c>
    </row>
    <row r="1172" spans="2:4" ht="14" thickBot="1" x14ac:dyDescent="0.2">
      <c r="B1172" s="251">
        <v>44005</v>
      </c>
      <c r="C1172" s="451">
        <v>35430.43</v>
      </c>
      <c r="D1172" s="261">
        <f t="shared" si="18"/>
        <v>-1.4651529772571226E-2</v>
      </c>
    </row>
    <row r="1173" spans="2:4" ht="14" thickBot="1" x14ac:dyDescent="0.2">
      <c r="B1173" s="251">
        <v>44006</v>
      </c>
      <c r="C1173" s="451">
        <v>34868.980000000003</v>
      </c>
      <c r="D1173" s="261">
        <f t="shared" si="18"/>
        <v>1.6101704150795371E-2</v>
      </c>
    </row>
    <row r="1174" spans="2:4" ht="14" thickBot="1" x14ac:dyDescent="0.2">
      <c r="B1174" s="251">
        <v>44007</v>
      </c>
      <c r="C1174" s="451">
        <v>34842.1</v>
      </c>
      <c r="D1174" s="261">
        <f t="shared" si="18"/>
        <v>7.714804790757146E-4</v>
      </c>
    </row>
    <row r="1175" spans="2:4" ht="14" thickBot="1" x14ac:dyDescent="0.2">
      <c r="B1175" s="251">
        <v>44008</v>
      </c>
      <c r="C1175" s="451">
        <v>35171.269999999997</v>
      </c>
      <c r="D1175" s="261">
        <f t="shared" si="18"/>
        <v>-9.3590592548974394E-3</v>
      </c>
    </row>
    <row r="1176" spans="2:4" ht="14" thickBot="1" x14ac:dyDescent="0.2">
      <c r="B1176" s="251">
        <v>44011</v>
      </c>
      <c r="C1176" s="451">
        <v>34961.519999999997</v>
      </c>
      <c r="D1176" s="261">
        <f t="shared" si="18"/>
        <v>5.9994531130225237E-3</v>
      </c>
    </row>
    <row r="1177" spans="2:4" ht="14" thickBot="1" x14ac:dyDescent="0.2">
      <c r="B1177" s="251">
        <v>44012</v>
      </c>
      <c r="C1177" s="451">
        <v>34915.800000000003</v>
      </c>
      <c r="D1177" s="261">
        <f t="shared" si="18"/>
        <v>1.3094358427987451E-3</v>
      </c>
    </row>
    <row r="1178" spans="2:4" ht="14" thickBot="1" x14ac:dyDescent="0.2">
      <c r="B1178" s="251">
        <v>44013</v>
      </c>
      <c r="C1178" s="451">
        <v>35414.449999999997</v>
      </c>
      <c r="D1178" s="261">
        <f t="shared" si="18"/>
        <v>-1.4080410679821243E-2</v>
      </c>
    </row>
    <row r="1179" spans="2:4" ht="14" thickBot="1" x14ac:dyDescent="0.2">
      <c r="B1179" s="251">
        <v>44014</v>
      </c>
      <c r="C1179" s="451">
        <v>35843.699999999997</v>
      </c>
      <c r="D1179" s="261">
        <f t="shared" si="18"/>
        <v>-1.1975605197008132E-2</v>
      </c>
    </row>
    <row r="1180" spans="2:4" ht="14" thickBot="1" x14ac:dyDescent="0.2">
      <c r="B1180" s="251">
        <v>44015</v>
      </c>
      <c r="C1180" s="451">
        <v>36021.42</v>
      </c>
      <c r="D1180" s="261">
        <f t="shared" si="18"/>
        <v>-4.9337310966641734E-3</v>
      </c>
    </row>
    <row r="1181" spans="2:4" ht="14" thickBot="1" x14ac:dyDescent="0.2">
      <c r="B1181" s="251">
        <v>44018</v>
      </c>
      <c r="C1181" s="451">
        <v>36487.279999999999</v>
      </c>
      <c r="D1181" s="261">
        <f t="shared" si="18"/>
        <v>-1.2767737140175983E-2</v>
      </c>
    </row>
    <row r="1182" spans="2:4" ht="14" thickBot="1" x14ac:dyDescent="0.2">
      <c r="B1182" s="251">
        <v>44019</v>
      </c>
      <c r="C1182" s="451">
        <v>36674.519999999997</v>
      </c>
      <c r="D1182" s="261">
        <f t="shared" si="18"/>
        <v>-5.105451959562024E-3</v>
      </c>
    </row>
    <row r="1183" spans="2:4" ht="14" thickBot="1" x14ac:dyDescent="0.2">
      <c r="B1183" s="251">
        <v>44020</v>
      </c>
      <c r="C1183" s="451">
        <v>36329.01</v>
      </c>
      <c r="D1183" s="261">
        <f t="shared" si="18"/>
        <v>9.5105812131957013E-3</v>
      </c>
    </row>
    <row r="1184" spans="2:4" ht="14" thickBot="1" x14ac:dyDescent="0.2">
      <c r="B1184" s="251">
        <v>44021</v>
      </c>
      <c r="C1184" s="451">
        <v>36737.69</v>
      </c>
      <c r="D1184" s="261">
        <f t="shared" si="18"/>
        <v>-1.112427046991793E-2</v>
      </c>
    </row>
    <row r="1185" spans="2:4" ht="14" thickBot="1" x14ac:dyDescent="0.2">
      <c r="B1185" s="251">
        <v>44022</v>
      </c>
      <c r="C1185" s="451">
        <v>36594.33</v>
      </c>
      <c r="D1185" s="261">
        <f t="shared" si="18"/>
        <v>3.9175467893524107E-3</v>
      </c>
    </row>
    <row r="1186" spans="2:4" ht="14" thickBot="1" x14ac:dyDescent="0.2">
      <c r="B1186" s="251">
        <v>44025</v>
      </c>
      <c r="C1186" s="451">
        <v>36693.69</v>
      </c>
      <c r="D1186" s="261">
        <f t="shared" si="18"/>
        <v>-2.7078225166234926E-3</v>
      </c>
    </row>
    <row r="1187" spans="2:4" ht="14" thickBot="1" x14ac:dyDescent="0.2">
      <c r="B1187" s="251">
        <v>44026</v>
      </c>
      <c r="C1187" s="451">
        <v>36033.06</v>
      </c>
      <c r="D1187" s="261">
        <f t="shared" si="18"/>
        <v>1.8333996613110415E-2</v>
      </c>
    </row>
    <row r="1188" spans="2:4" ht="14" thickBot="1" x14ac:dyDescent="0.2">
      <c r="B1188" s="251">
        <v>44027</v>
      </c>
      <c r="C1188" s="451">
        <v>36051.81</v>
      </c>
      <c r="D1188" s="261">
        <f t="shared" si="18"/>
        <v>-5.200848445612305E-4</v>
      </c>
    </row>
    <row r="1189" spans="2:4" ht="14" thickBot="1" x14ac:dyDescent="0.2">
      <c r="B1189" s="251">
        <v>44028</v>
      </c>
      <c r="C1189" s="451">
        <v>36471.68</v>
      </c>
      <c r="D1189" s="261">
        <f t="shared" si="18"/>
        <v>-1.1512219892256148E-2</v>
      </c>
    </row>
    <row r="1190" spans="2:4" ht="14" thickBot="1" x14ac:dyDescent="0.2">
      <c r="B1190" s="251">
        <v>44029</v>
      </c>
      <c r="C1190" s="451">
        <v>37020.14</v>
      </c>
      <c r="D1190" s="261">
        <f t="shared" si="18"/>
        <v>-1.4815178980954635E-2</v>
      </c>
    </row>
    <row r="1191" spans="2:4" ht="14" thickBot="1" x14ac:dyDescent="0.2">
      <c r="B1191" s="251">
        <v>44032</v>
      </c>
      <c r="C1191" s="451">
        <v>37418.99</v>
      </c>
      <c r="D1191" s="261">
        <f t="shared" si="18"/>
        <v>-1.0659026339299826E-2</v>
      </c>
    </row>
    <row r="1192" spans="2:4" ht="14" thickBot="1" x14ac:dyDescent="0.2">
      <c r="B1192" s="251">
        <v>44033</v>
      </c>
      <c r="C1192" s="451">
        <v>37930.33</v>
      </c>
      <c r="D1192" s="261">
        <f t="shared" si="18"/>
        <v>-1.3481032197716236E-2</v>
      </c>
    </row>
    <row r="1193" spans="2:4" ht="14" thickBot="1" x14ac:dyDescent="0.2">
      <c r="B1193" s="251">
        <v>44034</v>
      </c>
      <c r="C1193" s="451">
        <v>37871.519999999997</v>
      </c>
      <c r="D1193" s="261">
        <f t="shared" si="18"/>
        <v>1.5528819545664874E-3</v>
      </c>
    </row>
    <row r="1194" spans="2:4" ht="14" thickBot="1" x14ac:dyDescent="0.2">
      <c r="B1194" s="251">
        <v>44035</v>
      </c>
      <c r="C1194" s="451">
        <v>38140.47</v>
      </c>
      <c r="D1194" s="261">
        <f t="shared" si="18"/>
        <v>-7.0515649125457713E-3</v>
      </c>
    </row>
    <row r="1195" spans="2:4" ht="14" thickBot="1" x14ac:dyDescent="0.2">
      <c r="B1195" s="251">
        <v>44036</v>
      </c>
      <c r="C1195" s="451">
        <v>38128.9</v>
      </c>
      <c r="D1195" s="261">
        <f t="shared" si="18"/>
        <v>3.0344436896956317E-4</v>
      </c>
    </row>
    <row r="1196" spans="2:4" ht="14" thickBot="1" x14ac:dyDescent="0.2">
      <c r="B1196" s="251">
        <v>44039</v>
      </c>
      <c r="C1196" s="451">
        <v>37934.730000000003</v>
      </c>
      <c r="D1196" s="261">
        <f t="shared" si="18"/>
        <v>5.1185285884465248E-3</v>
      </c>
    </row>
    <row r="1197" spans="2:4" ht="14" thickBot="1" x14ac:dyDescent="0.2">
      <c r="B1197" s="251">
        <v>44040</v>
      </c>
      <c r="C1197" s="451">
        <v>38492.949999999997</v>
      </c>
      <c r="D1197" s="261">
        <f t="shared" si="18"/>
        <v>-1.450187631761124E-2</v>
      </c>
    </row>
    <row r="1198" spans="2:4" ht="14" thickBot="1" x14ac:dyDescent="0.2">
      <c r="B1198" s="251">
        <v>44041</v>
      </c>
      <c r="C1198" s="451">
        <v>38071.129999999997</v>
      </c>
      <c r="D1198" s="261">
        <f t="shared" si="18"/>
        <v>1.1079786704518702E-2</v>
      </c>
    </row>
    <row r="1199" spans="2:4" ht="14" thickBot="1" x14ac:dyDescent="0.2">
      <c r="B1199" s="251">
        <v>44042</v>
      </c>
      <c r="C1199" s="451">
        <v>37736.07</v>
      </c>
      <c r="D1199" s="261">
        <f t="shared" si="18"/>
        <v>8.8790380132324209E-3</v>
      </c>
    </row>
    <row r="1200" spans="2:4" ht="14" thickBot="1" x14ac:dyDescent="0.2">
      <c r="B1200" s="251">
        <v>44043</v>
      </c>
      <c r="C1200" s="451">
        <v>37606.89</v>
      </c>
      <c r="D1200" s="261">
        <f t="shared" si="18"/>
        <v>3.435008850771748E-3</v>
      </c>
    </row>
    <row r="1201" spans="2:4" ht="14" thickBot="1" x14ac:dyDescent="0.2">
      <c r="B1201" s="251">
        <v>44046</v>
      </c>
      <c r="C1201" s="451">
        <v>36939.599999999999</v>
      </c>
      <c r="D1201" s="261">
        <f t="shared" si="18"/>
        <v>1.8064353701718439E-2</v>
      </c>
    </row>
    <row r="1202" spans="2:4" ht="14" thickBot="1" x14ac:dyDescent="0.2">
      <c r="B1202" s="251">
        <v>44047</v>
      </c>
      <c r="C1202" s="451">
        <v>37687.910000000003</v>
      </c>
      <c r="D1202" s="261">
        <f t="shared" si="18"/>
        <v>-1.9855439051940094E-2</v>
      </c>
    </row>
    <row r="1203" spans="2:4" ht="14" thickBot="1" x14ac:dyDescent="0.2">
      <c r="B1203" s="251">
        <v>44048</v>
      </c>
      <c r="C1203" s="451">
        <v>37663.33</v>
      </c>
      <c r="D1203" s="261">
        <f t="shared" si="18"/>
        <v>6.5262418378830844E-4</v>
      </c>
    </row>
    <row r="1204" spans="2:4" ht="14" thickBot="1" x14ac:dyDescent="0.2">
      <c r="B1204" s="251">
        <v>44049</v>
      </c>
      <c r="C1204" s="451">
        <v>38025.449999999997</v>
      </c>
      <c r="D1204" s="261">
        <f t="shared" si="18"/>
        <v>-9.5230957161583918E-3</v>
      </c>
    </row>
    <row r="1205" spans="2:4" ht="14" thickBot="1" x14ac:dyDescent="0.2">
      <c r="B1205" s="251">
        <v>44050</v>
      </c>
      <c r="C1205" s="451">
        <v>38040.57</v>
      </c>
      <c r="D1205" s="261">
        <f t="shared" si="18"/>
        <v>-3.9747038490756115E-4</v>
      </c>
    </row>
    <row r="1206" spans="2:4" ht="14" thickBot="1" x14ac:dyDescent="0.2">
      <c r="B1206" s="251">
        <v>44053</v>
      </c>
      <c r="C1206" s="451">
        <v>38182.080000000002</v>
      </c>
      <c r="D1206" s="261">
        <f t="shared" si="18"/>
        <v>-3.7061888718478153E-3</v>
      </c>
    </row>
    <row r="1207" spans="2:4" ht="14" thickBot="1" x14ac:dyDescent="0.2">
      <c r="B1207" s="251">
        <v>44054</v>
      </c>
      <c r="C1207" s="451">
        <v>38407.01</v>
      </c>
      <c r="D1207" s="261">
        <f t="shared" si="18"/>
        <v>-5.8564829701661658E-3</v>
      </c>
    </row>
    <row r="1208" spans="2:4" ht="14" thickBot="1" x14ac:dyDescent="0.2">
      <c r="B1208" s="251">
        <v>44055</v>
      </c>
      <c r="C1208" s="451">
        <v>38369.629999999997</v>
      </c>
      <c r="D1208" s="261">
        <f t="shared" si="18"/>
        <v>9.7420798688974131E-4</v>
      </c>
    </row>
    <row r="1209" spans="2:4" ht="14" thickBot="1" x14ac:dyDescent="0.2">
      <c r="B1209" s="251">
        <v>44056</v>
      </c>
      <c r="C1209" s="451">
        <v>38310.49</v>
      </c>
      <c r="D1209" s="261">
        <f t="shared" si="18"/>
        <v>1.5437025211633149E-3</v>
      </c>
    </row>
    <row r="1210" spans="2:4" ht="14" thickBot="1" x14ac:dyDescent="0.2">
      <c r="B1210" s="251">
        <v>44057</v>
      </c>
      <c r="C1210" s="451">
        <v>37877.339999999997</v>
      </c>
      <c r="D1210" s="261">
        <f t="shared" si="18"/>
        <v>1.1435597114264118E-2</v>
      </c>
    </row>
    <row r="1211" spans="2:4" ht="14" thickBot="1" x14ac:dyDescent="0.2">
      <c r="B1211" s="251">
        <v>44060</v>
      </c>
      <c r="C1211" s="451">
        <v>38050.78</v>
      </c>
      <c r="D1211" s="261">
        <f t="shared" si="18"/>
        <v>-4.5581194393387037E-3</v>
      </c>
    </row>
    <row r="1212" spans="2:4" ht="14" thickBot="1" x14ac:dyDescent="0.2">
      <c r="B1212" s="251">
        <v>44061</v>
      </c>
      <c r="C1212" s="451">
        <v>38528.32</v>
      </c>
      <c r="D1212" s="261">
        <f t="shared" si="18"/>
        <v>-1.2394519148512084E-2</v>
      </c>
    </row>
    <row r="1213" spans="2:4" ht="14" thickBot="1" x14ac:dyDescent="0.2">
      <c r="B1213" s="251">
        <v>44062</v>
      </c>
      <c r="C1213" s="451">
        <v>38614.79</v>
      </c>
      <c r="D1213" s="261">
        <f t="shared" si="18"/>
        <v>-2.2392974298189872E-3</v>
      </c>
    </row>
    <row r="1214" spans="2:4" ht="14" thickBot="1" x14ac:dyDescent="0.2">
      <c r="B1214" s="251">
        <v>44063</v>
      </c>
      <c r="C1214" s="451">
        <v>38220.39</v>
      </c>
      <c r="D1214" s="261">
        <f t="shared" si="18"/>
        <v>1.0319099307987134E-2</v>
      </c>
    </row>
    <row r="1215" spans="2:4" ht="14" thickBot="1" x14ac:dyDescent="0.2">
      <c r="B1215" s="251">
        <v>44064</v>
      </c>
      <c r="C1215" s="451">
        <v>38434.720000000001</v>
      </c>
      <c r="D1215" s="261">
        <f t="shared" si="18"/>
        <v>-5.5764683598580334E-3</v>
      </c>
    </row>
    <row r="1216" spans="2:4" ht="14" thickBot="1" x14ac:dyDescent="0.2">
      <c r="B1216" s="251">
        <v>44067</v>
      </c>
      <c r="C1216" s="451">
        <v>38799.08</v>
      </c>
      <c r="D1216" s="261">
        <f t="shared" si="18"/>
        <v>-9.3909443213602284E-3</v>
      </c>
    </row>
    <row r="1217" spans="2:4" ht="14" thickBot="1" x14ac:dyDescent="0.2">
      <c r="B1217" s="251">
        <v>44068</v>
      </c>
      <c r="C1217" s="451">
        <v>38843.879999999997</v>
      </c>
      <c r="D1217" s="261">
        <f t="shared" si="18"/>
        <v>-1.1533348367875895E-3</v>
      </c>
    </row>
    <row r="1218" spans="2:4" ht="14" thickBot="1" x14ac:dyDescent="0.2">
      <c r="B1218" s="251">
        <v>44069</v>
      </c>
      <c r="C1218" s="451">
        <v>39073.919999999998</v>
      </c>
      <c r="D1218" s="261">
        <f t="shared" si="18"/>
        <v>-5.8873028352415258E-3</v>
      </c>
    </row>
    <row r="1219" spans="2:4" ht="14" thickBot="1" x14ac:dyDescent="0.2">
      <c r="B1219" s="251">
        <v>44070</v>
      </c>
      <c r="C1219" s="451">
        <v>39113.47</v>
      </c>
      <c r="D1219" s="261">
        <f t="shared" si="18"/>
        <v>-1.0111606052851663E-3</v>
      </c>
    </row>
    <row r="1220" spans="2:4" ht="14" thickBot="1" x14ac:dyDescent="0.2">
      <c r="B1220" s="251">
        <v>44071</v>
      </c>
      <c r="C1220" s="451">
        <v>39467.31</v>
      </c>
      <c r="D1220" s="261">
        <f t="shared" si="18"/>
        <v>-8.9653943985540385E-3</v>
      </c>
    </row>
    <row r="1221" spans="2:4" ht="14" thickBot="1" x14ac:dyDescent="0.2">
      <c r="B1221" s="251">
        <v>44074</v>
      </c>
      <c r="C1221" s="451">
        <v>38628.29</v>
      </c>
      <c r="D1221" s="261">
        <f t="shared" si="18"/>
        <v>2.1720350551370338E-2</v>
      </c>
    </row>
    <row r="1222" spans="2:4" ht="14" thickBot="1" x14ac:dyDescent="0.2">
      <c r="B1222" s="251">
        <v>44075</v>
      </c>
      <c r="C1222" s="451">
        <v>38900.800000000003</v>
      </c>
      <c r="D1222" s="261">
        <f t="shared" si="18"/>
        <v>-7.0052543906552467E-3</v>
      </c>
    </row>
    <row r="1223" spans="2:4" ht="14" thickBot="1" x14ac:dyDescent="0.2">
      <c r="B1223" s="251">
        <v>44076</v>
      </c>
      <c r="C1223" s="451">
        <v>39086.03</v>
      </c>
      <c r="D1223" s="261">
        <f t="shared" si="18"/>
        <v>-4.7390333579541144E-3</v>
      </c>
    </row>
    <row r="1224" spans="2:4" ht="14" thickBot="1" x14ac:dyDescent="0.2">
      <c r="B1224" s="251">
        <v>44077</v>
      </c>
      <c r="C1224" s="451">
        <v>38990.94</v>
      </c>
      <c r="D1224" s="261">
        <f t="shared" si="18"/>
        <v>2.4387716736244958E-3</v>
      </c>
    </row>
    <row r="1225" spans="2:4" ht="14" thickBot="1" x14ac:dyDescent="0.2">
      <c r="B1225" s="251">
        <v>44078</v>
      </c>
      <c r="C1225" s="451">
        <v>38357.18</v>
      </c>
      <c r="D1225" s="261">
        <f t="shared" si="18"/>
        <v>1.6522591076820525E-2</v>
      </c>
    </row>
    <row r="1226" spans="2:4" ht="14" thickBot="1" x14ac:dyDescent="0.2">
      <c r="B1226" s="251">
        <v>44081</v>
      </c>
      <c r="C1226" s="451">
        <v>38417.230000000003</v>
      </c>
      <c r="D1226" s="261">
        <f t="shared" ref="D1226:D1289" si="19">C1225/C1226-1</f>
        <v>-1.563100723295352E-3</v>
      </c>
    </row>
    <row r="1227" spans="2:4" ht="14" thickBot="1" x14ac:dyDescent="0.2">
      <c r="B1227" s="251">
        <v>44082</v>
      </c>
      <c r="C1227" s="451">
        <v>38365.35</v>
      </c>
      <c r="D1227" s="261">
        <f t="shared" si="19"/>
        <v>1.3522618717149992E-3</v>
      </c>
    </row>
    <row r="1228" spans="2:4" ht="14" thickBot="1" x14ac:dyDescent="0.2">
      <c r="B1228" s="251">
        <v>44083</v>
      </c>
      <c r="C1228" s="451">
        <v>38193.919999999998</v>
      </c>
      <c r="D1228" s="261">
        <f t="shared" si="19"/>
        <v>4.4884107208686963E-3</v>
      </c>
    </row>
    <row r="1229" spans="2:4" ht="14" thickBot="1" x14ac:dyDescent="0.2">
      <c r="B1229" s="251">
        <v>44084</v>
      </c>
      <c r="C1229" s="451">
        <v>38840.32</v>
      </c>
      <c r="D1229" s="261">
        <f t="shared" si="19"/>
        <v>-1.6642499340891126E-2</v>
      </c>
    </row>
    <row r="1230" spans="2:4" ht="14" thickBot="1" x14ac:dyDescent="0.2">
      <c r="B1230" s="251">
        <v>44085</v>
      </c>
      <c r="C1230" s="451">
        <v>38854.550000000003</v>
      </c>
      <c r="D1230" s="261">
        <f t="shared" si="19"/>
        <v>-3.662376735801276E-4</v>
      </c>
    </row>
    <row r="1231" spans="2:4" ht="14" thickBot="1" x14ac:dyDescent="0.2">
      <c r="B1231" s="251">
        <v>44088</v>
      </c>
      <c r="C1231" s="451">
        <v>38756.629999999997</v>
      </c>
      <c r="D1231" s="261">
        <f t="shared" si="19"/>
        <v>2.5265354598684731E-3</v>
      </c>
    </row>
    <row r="1232" spans="2:4" ht="14" thickBot="1" x14ac:dyDescent="0.2">
      <c r="B1232" s="251">
        <v>44089</v>
      </c>
      <c r="C1232" s="451">
        <v>39044.35</v>
      </c>
      <c r="D1232" s="261">
        <f t="shared" si="19"/>
        <v>-7.3690559581603976E-3</v>
      </c>
    </row>
    <row r="1233" spans="2:9" ht="14" thickBot="1" x14ac:dyDescent="0.2">
      <c r="B1233" s="251">
        <v>44090</v>
      </c>
      <c r="C1233" s="451">
        <v>39302.85</v>
      </c>
      <c r="D1233" s="261">
        <f t="shared" si="19"/>
        <v>-6.5771311749657224E-3</v>
      </c>
    </row>
    <row r="1234" spans="2:9" ht="14" thickBot="1" x14ac:dyDescent="0.2">
      <c r="B1234" s="251">
        <v>44091</v>
      </c>
      <c r="C1234" s="451">
        <v>38979.85</v>
      </c>
      <c r="D1234" s="261">
        <f t="shared" si="19"/>
        <v>8.2863325538706789E-3</v>
      </c>
    </row>
    <row r="1235" spans="2:9" ht="14" thickBot="1" x14ac:dyDescent="0.2">
      <c r="B1235" s="251">
        <v>44092</v>
      </c>
      <c r="C1235" s="451">
        <v>38845.82</v>
      </c>
      <c r="D1235" s="261">
        <f t="shared" si="19"/>
        <v>3.4503068798650283E-3</v>
      </c>
    </row>
    <row r="1236" spans="2:9" ht="14" thickBot="1" x14ac:dyDescent="0.2">
      <c r="B1236" s="251">
        <v>44095</v>
      </c>
      <c r="C1236" s="451">
        <v>38034.14</v>
      </c>
      <c r="D1236" s="261">
        <f t="shared" si="19"/>
        <v>2.1340826951785852E-2</v>
      </c>
    </row>
    <row r="1237" spans="2:9" ht="14" thickBot="1" x14ac:dyDescent="0.2">
      <c r="B1237" s="251">
        <v>44096</v>
      </c>
      <c r="C1237" s="451">
        <v>37734.080000000002</v>
      </c>
      <c r="D1237" s="261">
        <f t="shared" si="19"/>
        <v>7.9519627880153543E-3</v>
      </c>
    </row>
    <row r="1238" spans="2:9" ht="14" thickBot="1" x14ac:dyDescent="0.2">
      <c r="B1238" s="251">
        <v>44097</v>
      </c>
      <c r="C1238" s="451">
        <v>37668.42</v>
      </c>
      <c r="D1238" s="261">
        <f t="shared" si="19"/>
        <v>1.7431047014979661E-3</v>
      </c>
    </row>
    <row r="1239" spans="2:9" ht="14" thickBot="1" x14ac:dyDescent="0.2">
      <c r="B1239" s="251">
        <v>44098</v>
      </c>
      <c r="C1239" s="451">
        <v>36553.599999999999</v>
      </c>
      <c r="D1239" s="261">
        <f t="shared" si="19"/>
        <v>3.0498227260789657E-2</v>
      </c>
    </row>
    <row r="1240" spans="2:9" ht="14" thickBot="1" x14ac:dyDescent="0.2">
      <c r="B1240" s="251">
        <v>44099</v>
      </c>
      <c r="C1240" s="451">
        <v>37388.660000000003</v>
      </c>
      <c r="D1240" s="261">
        <f t="shared" si="19"/>
        <v>-2.2334579522240272E-2</v>
      </c>
    </row>
    <row r="1241" spans="2:9" ht="14" thickBot="1" x14ac:dyDescent="0.2">
      <c r="B1241" s="251">
        <v>44102</v>
      </c>
      <c r="C1241" s="451">
        <v>37981.629999999997</v>
      </c>
      <c r="D1241" s="261">
        <f t="shared" si="19"/>
        <v>-1.5612020863770004E-2</v>
      </c>
    </row>
    <row r="1242" spans="2:9" ht="14" thickBot="1" x14ac:dyDescent="0.2">
      <c r="B1242" s="251">
        <v>44103</v>
      </c>
      <c r="C1242" s="451">
        <v>37973.22</v>
      </c>
      <c r="D1242" s="261">
        <f t="shared" si="19"/>
        <v>2.214718688591244E-4</v>
      </c>
    </row>
    <row r="1243" spans="2:9" ht="14" thickBot="1" x14ac:dyDescent="0.2">
      <c r="B1243" s="251">
        <v>44104</v>
      </c>
      <c r="C1243" s="451">
        <v>38067.93</v>
      </c>
      <c r="D1243" s="261">
        <f t="shared" si="19"/>
        <v>-2.4879209350232578E-3</v>
      </c>
    </row>
    <row r="1244" spans="2:9" ht="14" thickBot="1" x14ac:dyDescent="0.2">
      <c r="B1244" s="251">
        <v>44105</v>
      </c>
      <c r="C1244" s="451">
        <v>38697.050000000003</v>
      </c>
      <c r="D1244" s="261">
        <f t="shared" si="19"/>
        <v>-1.6257570021487533E-2</v>
      </c>
    </row>
    <row r="1245" spans="2:9" ht="14" thickBot="1" x14ac:dyDescent="0.2">
      <c r="B1245" s="251">
        <v>44109</v>
      </c>
      <c r="C1245" s="451">
        <v>38973.699999999997</v>
      </c>
      <c r="D1245" s="261">
        <f t="shared" si="19"/>
        <v>-7.0983765975515256E-3</v>
      </c>
      <c r="G1245" s="208"/>
      <c r="H1245" s="208"/>
      <c r="I1245" s="208"/>
    </row>
    <row r="1246" spans="2:9" ht="14" thickBot="1" x14ac:dyDescent="0.2">
      <c r="B1246" s="251">
        <v>44110</v>
      </c>
      <c r="C1246" s="451">
        <v>39574.57</v>
      </c>
      <c r="D1246" s="261">
        <f t="shared" si="19"/>
        <v>-1.5183235092636527E-2</v>
      </c>
    </row>
    <row r="1247" spans="2:9" ht="14" thickBot="1" x14ac:dyDescent="0.2">
      <c r="B1247" s="251">
        <v>44111</v>
      </c>
      <c r="C1247" s="451">
        <v>39878.949999999997</v>
      </c>
      <c r="D1247" s="261">
        <f t="shared" si="19"/>
        <v>-7.6325981501518259E-3</v>
      </c>
    </row>
    <row r="1248" spans="2:9" ht="14" thickBot="1" x14ac:dyDescent="0.2">
      <c r="B1248" s="251">
        <v>44112</v>
      </c>
      <c r="C1248" s="451">
        <v>40182.67</v>
      </c>
      <c r="D1248" s="261">
        <f t="shared" si="19"/>
        <v>-7.5584823009521296E-3</v>
      </c>
    </row>
    <row r="1249" spans="2:9" ht="14" thickBot="1" x14ac:dyDescent="0.2">
      <c r="B1249" s="251">
        <v>44113</v>
      </c>
      <c r="C1249" s="451">
        <v>40509.49</v>
      </c>
      <c r="D1249" s="261">
        <f t="shared" si="19"/>
        <v>-8.067739189014711E-3</v>
      </c>
    </row>
    <row r="1250" spans="2:9" s="208" customFormat="1" ht="14" thickBot="1" x14ac:dyDescent="0.2">
      <c r="B1250" s="251">
        <v>44116</v>
      </c>
      <c r="C1250" s="451">
        <v>40593.800000000003</v>
      </c>
      <c r="D1250" s="261">
        <f t="shared" si="19"/>
        <v>-2.0769181500625011E-3</v>
      </c>
      <c r="G1250" s="207"/>
      <c r="H1250" s="207"/>
      <c r="I1250" s="207"/>
    </row>
    <row r="1251" spans="2:9" ht="14" thickBot="1" x14ac:dyDescent="0.2">
      <c r="B1251" s="251">
        <v>44117</v>
      </c>
      <c r="C1251" s="451">
        <v>40625.51</v>
      </c>
      <c r="D1251" s="261">
        <f t="shared" si="19"/>
        <v>-7.805440473239722E-4</v>
      </c>
    </row>
    <row r="1252" spans="2:9" ht="14" thickBot="1" x14ac:dyDescent="0.2">
      <c r="B1252" s="251">
        <v>44118</v>
      </c>
      <c r="C1252" s="451">
        <v>40794.74</v>
      </c>
      <c r="D1252" s="261">
        <f t="shared" si="19"/>
        <v>-4.1483289267193468E-3</v>
      </c>
    </row>
    <row r="1253" spans="2:9" ht="14" thickBot="1" x14ac:dyDescent="0.2">
      <c r="B1253" s="251">
        <v>44119</v>
      </c>
      <c r="C1253" s="451">
        <v>39728.410000000003</v>
      </c>
      <c r="D1253" s="261">
        <f t="shared" si="19"/>
        <v>2.6840490218460689E-2</v>
      </c>
    </row>
    <row r="1254" spans="2:9" ht="14" thickBot="1" x14ac:dyDescent="0.2">
      <c r="B1254" s="251">
        <v>44120</v>
      </c>
      <c r="C1254" s="451">
        <v>39982.980000000003</v>
      </c>
      <c r="D1254" s="261">
        <f t="shared" si="19"/>
        <v>-6.3669591411145143E-3</v>
      </c>
    </row>
    <row r="1255" spans="2:9" ht="14" thickBot="1" x14ac:dyDescent="0.2">
      <c r="B1255" s="251">
        <v>44123</v>
      </c>
      <c r="C1255" s="451">
        <v>40431.599999999999</v>
      </c>
      <c r="D1255" s="261">
        <f t="shared" si="19"/>
        <v>-1.1095776570800964E-2</v>
      </c>
    </row>
    <row r="1256" spans="2:9" ht="14" thickBot="1" x14ac:dyDescent="0.2">
      <c r="B1256" s="251">
        <v>44124</v>
      </c>
      <c r="C1256" s="451">
        <v>40544.370000000003</v>
      </c>
      <c r="D1256" s="261">
        <f t="shared" si="19"/>
        <v>-2.7813972692140032E-3</v>
      </c>
    </row>
    <row r="1257" spans="2:9" ht="14" thickBot="1" x14ac:dyDescent="0.2">
      <c r="B1257" s="251">
        <v>44125</v>
      </c>
      <c r="C1257" s="451">
        <v>40707.31</v>
      </c>
      <c r="D1257" s="261">
        <f t="shared" si="19"/>
        <v>-4.0027208872311926E-3</v>
      </c>
    </row>
    <row r="1258" spans="2:9" ht="14" thickBot="1" x14ac:dyDescent="0.2">
      <c r="B1258" s="251">
        <v>44126</v>
      </c>
      <c r="C1258" s="451">
        <v>40558.49</v>
      </c>
      <c r="D1258" s="261">
        <f t="shared" si="19"/>
        <v>3.6692687523622869E-3</v>
      </c>
    </row>
    <row r="1259" spans="2:9" ht="14" thickBot="1" x14ac:dyDescent="0.2">
      <c r="B1259" s="251">
        <v>44127</v>
      </c>
      <c r="C1259" s="451">
        <v>40685.5</v>
      </c>
      <c r="D1259" s="261">
        <f t="shared" si="19"/>
        <v>-3.1217509923683329E-3</v>
      </c>
    </row>
    <row r="1260" spans="2:9" ht="14" thickBot="1" x14ac:dyDescent="0.2">
      <c r="B1260" s="251">
        <v>44130</v>
      </c>
      <c r="C1260" s="451">
        <v>40145.5</v>
      </c>
      <c r="D1260" s="261">
        <f t="shared" si="19"/>
        <v>1.3451071726594543E-2</v>
      </c>
    </row>
    <row r="1261" spans="2:9" ht="14" thickBot="1" x14ac:dyDescent="0.2">
      <c r="B1261" s="251">
        <v>44131</v>
      </c>
      <c r="C1261" s="451">
        <v>40522.1</v>
      </c>
      <c r="D1261" s="261">
        <f t="shared" si="19"/>
        <v>-9.2936940583039362E-3</v>
      </c>
    </row>
    <row r="1262" spans="2:9" ht="14" thickBot="1" x14ac:dyDescent="0.2">
      <c r="B1262" s="251">
        <v>44132</v>
      </c>
      <c r="C1262" s="451">
        <v>39922.46</v>
      </c>
      <c r="D1262" s="261">
        <f t="shared" si="19"/>
        <v>1.502011649582724E-2</v>
      </c>
    </row>
    <row r="1263" spans="2:9" ht="14" thickBot="1" x14ac:dyDescent="0.2">
      <c r="B1263" s="251">
        <v>44133</v>
      </c>
      <c r="C1263" s="451">
        <v>39749.85</v>
      </c>
      <c r="D1263" s="261">
        <f t="shared" si="19"/>
        <v>4.3424063235459887E-3</v>
      </c>
    </row>
    <row r="1264" spans="2:9" ht="14" thickBot="1" x14ac:dyDescent="0.2">
      <c r="B1264" s="251">
        <v>44134</v>
      </c>
      <c r="C1264" s="451">
        <v>39614.07</v>
      </c>
      <c r="D1264" s="261">
        <f t="shared" si="19"/>
        <v>3.4275700527615083E-3</v>
      </c>
    </row>
    <row r="1265" spans="2:4" ht="14" thickBot="1" x14ac:dyDescent="0.2">
      <c r="B1265" s="251">
        <v>44137</v>
      </c>
      <c r="C1265" s="451">
        <v>39757.58</v>
      </c>
      <c r="D1265" s="261">
        <f t="shared" si="19"/>
        <v>-3.6096261392167817E-3</v>
      </c>
    </row>
    <row r="1266" spans="2:4" ht="14" thickBot="1" x14ac:dyDescent="0.2">
      <c r="B1266" s="251">
        <v>44138</v>
      </c>
      <c r="C1266" s="451">
        <v>40261.129999999997</v>
      </c>
      <c r="D1266" s="261">
        <f t="shared" si="19"/>
        <v>-1.2507100521023551E-2</v>
      </c>
    </row>
    <row r="1267" spans="2:4" ht="14" thickBot="1" x14ac:dyDescent="0.2">
      <c r="B1267" s="251">
        <v>44139</v>
      </c>
      <c r="C1267" s="451">
        <v>40616.14</v>
      </c>
      <c r="D1267" s="261">
        <f t="shared" si="19"/>
        <v>-8.740613952975429E-3</v>
      </c>
    </row>
    <row r="1268" spans="2:4" ht="14" thickBot="1" x14ac:dyDescent="0.2">
      <c r="B1268" s="251">
        <v>44140</v>
      </c>
      <c r="C1268" s="451">
        <v>41340.160000000003</v>
      </c>
      <c r="D1268" s="261">
        <f t="shared" si="19"/>
        <v>-1.7513720314580428E-2</v>
      </c>
    </row>
    <row r="1269" spans="2:4" ht="14" thickBot="1" x14ac:dyDescent="0.2">
      <c r="B1269" s="251">
        <v>44141</v>
      </c>
      <c r="C1269" s="451">
        <v>41893.06</v>
      </c>
      <c r="D1269" s="261">
        <f t="shared" si="19"/>
        <v>-1.3197890056252604E-2</v>
      </c>
    </row>
    <row r="1270" spans="2:4" ht="14" thickBot="1" x14ac:dyDescent="0.2">
      <c r="B1270" s="251">
        <v>44144</v>
      </c>
      <c r="C1270" s="451">
        <v>42597.43</v>
      </c>
      <c r="D1270" s="261">
        <f t="shared" si="19"/>
        <v>-1.6535504606733364E-2</v>
      </c>
    </row>
    <row r="1271" spans="2:4" ht="14" thickBot="1" x14ac:dyDescent="0.2">
      <c r="B1271" s="251">
        <v>44145</v>
      </c>
      <c r="C1271" s="451">
        <v>43277.65</v>
      </c>
      <c r="D1271" s="261">
        <f t="shared" si="19"/>
        <v>-1.5717581707879291E-2</v>
      </c>
    </row>
    <row r="1272" spans="2:4" ht="14" thickBot="1" x14ac:dyDescent="0.2">
      <c r="B1272" s="251">
        <v>44146</v>
      </c>
      <c r="C1272" s="451">
        <v>43593.67</v>
      </c>
      <c r="D1272" s="261">
        <f t="shared" si="19"/>
        <v>-7.2492176042988632E-3</v>
      </c>
    </row>
    <row r="1273" spans="2:4" ht="14" thickBot="1" x14ac:dyDescent="0.2">
      <c r="B1273" s="251">
        <v>44147</v>
      </c>
      <c r="C1273" s="451">
        <v>43357.19</v>
      </c>
      <c r="D1273" s="261">
        <f t="shared" si="19"/>
        <v>5.454228006934958E-3</v>
      </c>
    </row>
    <row r="1274" spans="2:4" ht="14" thickBot="1" x14ac:dyDescent="0.2">
      <c r="B1274" s="251">
        <v>44148</v>
      </c>
      <c r="C1274" s="451">
        <v>43443</v>
      </c>
      <c r="D1274" s="261">
        <f t="shared" si="19"/>
        <v>-1.9752319130814655E-3</v>
      </c>
    </row>
    <row r="1275" spans="2:4" ht="14" thickBot="1" x14ac:dyDescent="0.2">
      <c r="B1275" s="251">
        <v>44149</v>
      </c>
      <c r="C1275" s="451">
        <v>43637.98</v>
      </c>
      <c r="D1275" s="261">
        <f t="shared" si="19"/>
        <v>-4.4681261598269462E-3</v>
      </c>
    </row>
    <row r="1276" spans="2:4" ht="14" thickBot="1" x14ac:dyDescent="0.2">
      <c r="B1276" s="251">
        <v>44152</v>
      </c>
      <c r="C1276" s="451">
        <v>43952.71</v>
      </c>
      <c r="D1276" s="261">
        <f t="shared" si="19"/>
        <v>-7.1606506174476392E-3</v>
      </c>
    </row>
    <row r="1277" spans="2:4" ht="14" thickBot="1" x14ac:dyDescent="0.2">
      <c r="B1277" s="251">
        <v>44153</v>
      </c>
      <c r="C1277" s="451">
        <v>44180.05</v>
      </c>
      <c r="D1277" s="261">
        <f t="shared" si="19"/>
        <v>-5.1457614918951622E-3</v>
      </c>
    </row>
    <row r="1278" spans="2:4" ht="14" thickBot="1" x14ac:dyDescent="0.2">
      <c r="B1278" s="251">
        <v>44154</v>
      </c>
      <c r="C1278" s="451">
        <v>43599.96</v>
      </c>
      <c r="D1278" s="261">
        <f t="shared" si="19"/>
        <v>1.3304828720026363E-2</v>
      </c>
    </row>
    <row r="1279" spans="2:4" ht="14" thickBot="1" x14ac:dyDescent="0.2">
      <c r="B1279" s="251">
        <v>44155</v>
      </c>
      <c r="C1279" s="451">
        <v>43882.25</v>
      </c>
      <c r="D1279" s="261">
        <f t="shared" si="19"/>
        <v>-6.4328971281099045E-3</v>
      </c>
    </row>
    <row r="1280" spans="2:4" ht="14" thickBot="1" x14ac:dyDescent="0.2">
      <c r="B1280" s="251">
        <v>44158</v>
      </c>
      <c r="C1280" s="451">
        <v>44077.15</v>
      </c>
      <c r="D1280" s="261">
        <f t="shared" si="19"/>
        <v>-4.4217922438271051E-3</v>
      </c>
    </row>
    <row r="1281" spans="2:4" ht="14" thickBot="1" x14ac:dyDescent="0.2">
      <c r="B1281" s="251">
        <v>44159</v>
      </c>
      <c r="C1281" s="451">
        <v>44523.02</v>
      </c>
      <c r="D1281" s="261">
        <f t="shared" si="19"/>
        <v>-1.0014370094391545E-2</v>
      </c>
    </row>
    <row r="1282" spans="2:4" ht="14" thickBot="1" x14ac:dyDescent="0.2">
      <c r="B1282" s="251">
        <v>44160</v>
      </c>
      <c r="C1282" s="451">
        <v>43828.1</v>
      </c>
      <c r="D1282" s="261">
        <f t="shared" si="19"/>
        <v>1.5855581236695171E-2</v>
      </c>
    </row>
    <row r="1283" spans="2:4" ht="14" thickBot="1" x14ac:dyDescent="0.2">
      <c r="B1283" s="251">
        <v>44161</v>
      </c>
      <c r="C1283" s="451">
        <v>44259.74</v>
      </c>
      <c r="D1283" s="261">
        <f t="shared" si="19"/>
        <v>-9.7524296346973571E-3</v>
      </c>
    </row>
    <row r="1284" spans="2:4" ht="14" thickBot="1" x14ac:dyDescent="0.2">
      <c r="B1284" s="251">
        <v>44162</v>
      </c>
      <c r="C1284" s="451">
        <v>44149.72</v>
      </c>
      <c r="D1284" s="261">
        <f t="shared" si="19"/>
        <v>2.4919750340430813E-3</v>
      </c>
    </row>
    <row r="1285" spans="2:4" ht="14" thickBot="1" x14ac:dyDescent="0.2">
      <c r="B1285" s="251">
        <v>44166</v>
      </c>
      <c r="C1285" s="451">
        <v>44655.44</v>
      </c>
      <c r="D1285" s="261">
        <f t="shared" si="19"/>
        <v>-1.1324935998839103E-2</v>
      </c>
    </row>
    <row r="1286" spans="2:4" ht="14" thickBot="1" x14ac:dyDescent="0.2">
      <c r="B1286" s="251">
        <v>44167</v>
      </c>
      <c r="C1286" s="451">
        <v>44618.04</v>
      </c>
      <c r="D1286" s="261">
        <f t="shared" si="19"/>
        <v>8.3822597317140257E-4</v>
      </c>
    </row>
    <row r="1287" spans="2:4" ht="14" thickBot="1" x14ac:dyDescent="0.2">
      <c r="B1287" s="251">
        <v>44168</v>
      </c>
      <c r="C1287" s="451">
        <v>44632.65</v>
      </c>
      <c r="D1287" s="261">
        <f t="shared" si="19"/>
        <v>-3.2733884275304437E-4</v>
      </c>
    </row>
    <row r="1288" spans="2:4" ht="14" thickBot="1" x14ac:dyDescent="0.2">
      <c r="B1288" s="251">
        <v>44169</v>
      </c>
      <c r="C1288" s="451">
        <v>45079.55</v>
      </c>
      <c r="D1288" s="261">
        <f t="shared" si="19"/>
        <v>-9.9135860939162379E-3</v>
      </c>
    </row>
    <row r="1289" spans="2:4" ht="14" thickBot="1" x14ac:dyDescent="0.2">
      <c r="B1289" s="251">
        <v>44172</v>
      </c>
      <c r="C1289" s="451">
        <v>45426.97</v>
      </c>
      <c r="D1289" s="261">
        <f t="shared" si="19"/>
        <v>-7.6478796626761048E-3</v>
      </c>
    </row>
    <row r="1290" spans="2:4" ht="14" thickBot="1" x14ac:dyDescent="0.2">
      <c r="B1290" s="251">
        <v>44173</v>
      </c>
      <c r="C1290" s="451">
        <v>45608.51</v>
      </c>
      <c r="D1290" s="261">
        <f t="shared" ref="D1290:D1353" si="20">C1289/C1290-1</f>
        <v>-3.9803975179193429E-3</v>
      </c>
    </row>
    <row r="1291" spans="2:4" ht="14" thickBot="1" x14ac:dyDescent="0.2">
      <c r="B1291" s="251">
        <v>44174</v>
      </c>
      <c r="C1291" s="451">
        <v>46103.5</v>
      </c>
      <c r="D1291" s="261">
        <f t="shared" si="20"/>
        <v>-1.073649506002794E-2</v>
      </c>
    </row>
    <row r="1292" spans="2:4" ht="14" thickBot="1" x14ac:dyDescent="0.2">
      <c r="B1292" s="251">
        <v>44175</v>
      </c>
      <c r="C1292" s="451">
        <v>45959.88</v>
      </c>
      <c r="D1292" s="261">
        <f t="shared" si="20"/>
        <v>3.1248993687538196E-3</v>
      </c>
    </row>
    <row r="1293" spans="2:4" ht="14" thickBot="1" x14ac:dyDescent="0.2">
      <c r="B1293" s="251">
        <v>44176</v>
      </c>
      <c r="C1293" s="451">
        <v>46099.01</v>
      </c>
      <c r="D1293" s="261">
        <f t="shared" si="20"/>
        <v>-3.0180691515936386E-3</v>
      </c>
    </row>
    <row r="1294" spans="2:4" ht="14" thickBot="1" x14ac:dyDescent="0.2">
      <c r="B1294" s="251">
        <v>44179</v>
      </c>
      <c r="C1294" s="451">
        <v>46253.46</v>
      </c>
      <c r="D1294" s="261">
        <f t="shared" si="20"/>
        <v>-3.3392096504779589E-3</v>
      </c>
    </row>
    <row r="1295" spans="2:4" ht="14" thickBot="1" x14ac:dyDescent="0.2">
      <c r="B1295" s="251">
        <v>44180</v>
      </c>
      <c r="C1295" s="451">
        <v>46263.17</v>
      </c>
      <c r="D1295" s="261">
        <f t="shared" si="20"/>
        <v>-2.09886179438179E-4</v>
      </c>
    </row>
    <row r="1296" spans="2:4" ht="14" thickBot="1" x14ac:dyDescent="0.2">
      <c r="B1296" s="251">
        <v>44181</v>
      </c>
      <c r="C1296" s="451">
        <v>46666.46</v>
      </c>
      <c r="D1296" s="261">
        <f t="shared" si="20"/>
        <v>-8.6419668429960073E-3</v>
      </c>
    </row>
    <row r="1297" spans="2:4" ht="14" thickBot="1" x14ac:dyDescent="0.2">
      <c r="B1297" s="251">
        <v>44182</v>
      </c>
      <c r="C1297" s="451">
        <v>46890.34</v>
      </c>
      <c r="D1297" s="261">
        <f t="shared" si="20"/>
        <v>-4.7745441811681832E-3</v>
      </c>
    </row>
    <row r="1298" spans="2:4" ht="14" thickBot="1" x14ac:dyDescent="0.2">
      <c r="B1298" s="251">
        <v>44183</v>
      </c>
      <c r="C1298" s="451">
        <v>46960.69</v>
      </c>
      <c r="D1298" s="261">
        <f t="shared" si="20"/>
        <v>-1.4980614637477574E-3</v>
      </c>
    </row>
    <row r="1299" spans="2:4" ht="14" thickBot="1" x14ac:dyDescent="0.2">
      <c r="B1299" s="251">
        <v>44186</v>
      </c>
      <c r="C1299" s="451">
        <v>45553.96</v>
      </c>
      <c r="D1299" s="261">
        <f t="shared" si="20"/>
        <v>3.0880520595794492E-2</v>
      </c>
    </row>
    <row r="1300" spans="2:4" ht="14" thickBot="1" x14ac:dyDescent="0.2">
      <c r="B1300" s="251">
        <v>44187</v>
      </c>
      <c r="C1300" s="451">
        <v>46006.69</v>
      </c>
      <c r="D1300" s="261">
        <f t="shared" si="20"/>
        <v>-9.8405253670716952E-3</v>
      </c>
    </row>
    <row r="1301" spans="2:4" ht="14" thickBot="1" x14ac:dyDescent="0.2">
      <c r="B1301" s="251">
        <v>44188</v>
      </c>
      <c r="C1301" s="451">
        <v>46444.18</v>
      </c>
      <c r="D1301" s="261">
        <f t="shared" si="20"/>
        <v>-9.4196947819941146E-3</v>
      </c>
    </row>
    <row r="1302" spans="2:4" ht="14" thickBot="1" x14ac:dyDescent="0.2">
      <c r="B1302" s="251">
        <v>44189</v>
      </c>
      <c r="C1302" s="451">
        <v>46973.54</v>
      </c>
      <c r="D1302" s="261">
        <f t="shared" si="20"/>
        <v>-1.1269323112543805E-2</v>
      </c>
    </row>
    <row r="1303" spans="2:4" ht="14" thickBot="1" x14ac:dyDescent="0.2">
      <c r="B1303" s="251">
        <v>44193</v>
      </c>
      <c r="C1303" s="451">
        <v>47353.75</v>
      </c>
      <c r="D1303" s="261">
        <f t="shared" si="20"/>
        <v>-8.0291423593695788E-3</v>
      </c>
    </row>
    <row r="1304" spans="2:4" ht="14" thickBot="1" x14ac:dyDescent="0.2">
      <c r="B1304" s="251">
        <v>44194</v>
      </c>
      <c r="C1304" s="451">
        <v>47613.08</v>
      </c>
      <c r="D1304" s="261">
        <f t="shared" si="20"/>
        <v>-5.446612569487197E-3</v>
      </c>
    </row>
    <row r="1305" spans="2:4" ht="14" thickBot="1" x14ac:dyDescent="0.2">
      <c r="B1305" s="251">
        <v>44195</v>
      </c>
      <c r="C1305" s="451">
        <v>47746.22</v>
      </c>
      <c r="D1305" s="261">
        <f t="shared" si="20"/>
        <v>-2.7884929948380766E-3</v>
      </c>
    </row>
    <row r="1306" spans="2:4" ht="14" thickBot="1" x14ac:dyDescent="0.2">
      <c r="B1306" s="251">
        <v>44196</v>
      </c>
      <c r="C1306" s="451">
        <v>47751.33</v>
      </c>
      <c r="D1306" s="261">
        <f t="shared" si="20"/>
        <v>-1.0701272613766744E-4</v>
      </c>
    </row>
    <row r="1307" spans="2:4" ht="14" thickBot="1" x14ac:dyDescent="0.2">
      <c r="B1307" s="251">
        <v>44197</v>
      </c>
      <c r="C1307" s="451">
        <v>47868.98</v>
      </c>
      <c r="D1307" s="261">
        <f t="shared" si="20"/>
        <v>-2.457750300925543E-3</v>
      </c>
    </row>
    <row r="1308" spans="2:4" ht="14" thickBot="1" x14ac:dyDescent="0.2">
      <c r="B1308" s="251">
        <v>44200</v>
      </c>
      <c r="C1308" s="451">
        <v>48176.800000000003</v>
      </c>
      <c r="D1308" s="261">
        <f t="shared" si="20"/>
        <v>-6.3893824413410183E-3</v>
      </c>
    </row>
    <row r="1309" spans="2:4" ht="14" thickBot="1" x14ac:dyDescent="0.2">
      <c r="B1309" s="251">
        <v>44201</v>
      </c>
      <c r="C1309" s="451">
        <v>48437.78</v>
      </c>
      <c r="D1309" s="261">
        <f t="shared" si="20"/>
        <v>-5.3879430477613566E-3</v>
      </c>
    </row>
    <row r="1310" spans="2:4" ht="14" thickBot="1" x14ac:dyDescent="0.2">
      <c r="B1310" s="251">
        <v>44202</v>
      </c>
      <c r="C1310" s="451">
        <v>48174.06</v>
      </c>
      <c r="D1310" s="261">
        <f t="shared" si="20"/>
        <v>5.4743154303373842E-3</v>
      </c>
    </row>
    <row r="1311" spans="2:4" ht="14" thickBot="1" x14ac:dyDescent="0.2">
      <c r="B1311" s="251">
        <v>44203</v>
      </c>
      <c r="C1311" s="451">
        <v>48093.32</v>
      </c>
      <c r="D1311" s="261">
        <f t="shared" si="20"/>
        <v>1.6788194285608515E-3</v>
      </c>
    </row>
    <row r="1312" spans="2:4" ht="14" thickBot="1" x14ac:dyDescent="0.2">
      <c r="B1312" s="251">
        <v>44204</v>
      </c>
      <c r="C1312" s="451">
        <v>48782.51</v>
      </c>
      <c r="D1312" s="261">
        <f t="shared" si="20"/>
        <v>-1.4127809331664243E-2</v>
      </c>
    </row>
    <row r="1313" spans="2:4" ht="14" thickBot="1" x14ac:dyDescent="0.2">
      <c r="B1313" s="251">
        <v>44207</v>
      </c>
      <c r="C1313" s="451">
        <v>49269.32</v>
      </c>
      <c r="D1313" s="261">
        <f t="shared" si="20"/>
        <v>-9.880591004706285E-3</v>
      </c>
    </row>
    <row r="1314" spans="2:4" ht="14" thickBot="1" x14ac:dyDescent="0.2">
      <c r="B1314" s="251">
        <v>44208</v>
      </c>
      <c r="C1314" s="451">
        <v>49517.11</v>
      </c>
      <c r="D1314" s="261">
        <f t="shared" si="20"/>
        <v>-5.0041288758572167E-3</v>
      </c>
    </row>
    <row r="1315" spans="2:4" ht="14" thickBot="1" x14ac:dyDescent="0.2">
      <c r="B1315" s="251">
        <v>44209</v>
      </c>
      <c r="C1315" s="451">
        <v>49492.32</v>
      </c>
      <c r="D1315" s="261">
        <f t="shared" si="20"/>
        <v>5.0088579399787392E-4</v>
      </c>
    </row>
    <row r="1316" spans="2:4" ht="14" thickBot="1" x14ac:dyDescent="0.2">
      <c r="B1316" s="251">
        <v>44210</v>
      </c>
      <c r="C1316" s="451">
        <v>49584.160000000003</v>
      </c>
      <c r="D1316" s="261">
        <f t="shared" si="20"/>
        <v>-1.8522044136676241E-3</v>
      </c>
    </row>
    <row r="1317" spans="2:4" ht="14" thickBot="1" x14ac:dyDescent="0.2">
      <c r="B1317" s="251">
        <v>44211</v>
      </c>
      <c r="C1317" s="451">
        <v>49034.67</v>
      </c>
      <c r="D1317" s="261">
        <f t="shared" si="20"/>
        <v>1.1206152707869954E-2</v>
      </c>
    </row>
    <row r="1318" spans="2:4" ht="14" thickBot="1" x14ac:dyDescent="0.2">
      <c r="B1318" s="251">
        <v>44214</v>
      </c>
      <c r="C1318" s="451">
        <v>48564.27</v>
      </c>
      <c r="D1318" s="261">
        <f t="shared" si="20"/>
        <v>9.686133447491363E-3</v>
      </c>
    </row>
    <row r="1319" spans="2:4" ht="14" thickBot="1" x14ac:dyDescent="0.2">
      <c r="B1319" s="251">
        <v>44215</v>
      </c>
      <c r="C1319" s="451">
        <v>49398.29</v>
      </c>
      <c r="D1319" s="261">
        <f t="shared" si="20"/>
        <v>-1.6883580383045715E-2</v>
      </c>
    </row>
    <row r="1320" spans="2:4" ht="14" thickBot="1" x14ac:dyDescent="0.2">
      <c r="B1320" s="251">
        <v>44216</v>
      </c>
      <c r="C1320" s="451">
        <v>49792.12</v>
      </c>
      <c r="D1320" s="261">
        <f t="shared" si="20"/>
        <v>-7.9094844726435021E-3</v>
      </c>
    </row>
    <row r="1321" spans="2:4" ht="14" thickBot="1" x14ac:dyDescent="0.2">
      <c r="B1321" s="251">
        <v>44217</v>
      </c>
      <c r="C1321" s="451">
        <v>49624.76</v>
      </c>
      <c r="D1321" s="261">
        <f t="shared" si="20"/>
        <v>3.3725100131467567E-3</v>
      </c>
    </row>
    <row r="1322" spans="2:4" ht="14" thickBot="1" x14ac:dyDescent="0.2">
      <c r="B1322" s="251">
        <v>44218</v>
      </c>
      <c r="C1322" s="451">
        <v>48878.54</v>
      </c>
      <c r="D1322" s="261">
        <f t="shared" si="20"/>
        <v>1.5266822617860498E-2</v>
      </c>
    </row>
    <row r="1323" spans="2:4" ht="14" thickBot="1" x14ac:dyDescent="0.2">
      <c r="B1323" s="251">
        <v>44221</v>
      </c>
      <c r="C1323" s="451">
        <v>48347.59</v>
      </c>
      <c r="D1323" s="261">
        <f t="shared" si="20"/>
        <v>1.0981933122209409E-2</v>
      </c>
    </row>
    <row r="1324" spans="2:4" ht="14" thickBot="1" x14ac:dyDescent="0.2">
      <c r="B1324" s="251">
        <v>44223</v>
      </c>
      <c r="C1324" s="451">
        <v>47409.93</v>
      </c>
      <c r="D1324" s="261">
        <f t="shared" si="20"/>
        <v>1.977771323433708E-2</v>
      </c>
    </row>
    <row r="1325" spans="2:4" ht="14" thickBot="1" x14ac:dyDescent="0.2">
      <c r="B1325" s="251">
        <v>44224</v>
      </c>
      <c r="C1325" s="451">
        <v>46874.36</v>
      </c>
      <c r="D1325" s="261">
        <f t="shared" si="20"/>
        <v>1.1425649331532117E-2</v>
      </c>
    </row>
    <row r="1326" spans="2:4" ht="14" thickBot="1" x14ac:dyDescent="0.2">
      <c r="B1326" s="251">
        <v>44225</v>
      </c>
      <c r="C1326" s="451">
        <v>46285.77</v>
      </c>
      <c r="D1326" s="261">
        <f t="shared" si="20"/>
        <v>1.2716435310463847E-2</v>
      </c>
    </row>
    <row r="1327" spans="2:4" ht="14" thickBot="1" x14ac:dyDescent="0.2">
      <c r="B1327" s="251">
        <v>44228</v>
      </c>
      <c r="C1327" s="451">
        <v>48600.61</v>
      </c>
      <c r="D1327" s="261">
        <f t="shared" si="20"/>
        <v>-4.7629854851616082E-2</v>
      </c>
    </row>
    <row r="1328" spans="2:4" ht="14" thickBot="1" x14ac:dyDescent="0.2">
      <c r="B1328" s="251">
        <v>44229</v>
      </c>
      <c r="C1328" s="451">
        <v>49797.72</v>
      </c>
      <c r="D1328" s="261">
        <f t="shared" si="20"/>
        <v>-2.4039454015163719E-2</v>
      </c>
    </row>
    <row r="1329" spans="2:4" ht="14" thickBot="1" x14ac:dyDescent="0.2">
      <c r="B1329" s="251">
        <v>44230</v>
      </c>
      <c r="C1329" s="451">
        <v>50255.75</v>
      </c>
      <c r="D1329" s="261">
        <f t="shared" si="20"/>
        <v>-9.1139819821611789E-3</v>
      </c>
    </row>
    <row r="1330" spans="2:4" ht="14" thickBot="1" x14ac:dyDescent="0.2">
      <c r="B1330" s="251">
        <v>44231</v>
      </c>
      <c r="C1330" s="451">
        <v>50614.29</v>
      </c>
      <c r="D1330" s="261">
        <f t="shared" si="20"/>
        <v>-7.0837702158816906E-3</v>
      </c>
    </row>
    <row r="1331" spans="2:4" ht="14" thickBot="1" x14ac:dyDescent="0.2">
      <c r="B1331" s="251">
        <v>44232</v>
      </c>
      <c r="C1331" s="451">
        <v>50731.63</v>
      </c>
      <c r="D1331" s="261">
        <f t="shared" si="20"/>
        <v>-2.3129554481099435E-3</v>
      </c>
    </row>
    <row r="1332" spans="2:4" ht="14" thickBot="1" x14ac:dyDescent="0.2">
      <c r="B1332" s="251">
        <v>44235</v>
      </c>
      <c r="C1332" s="451">
        <v>51348.77</v>
      </c>
      <c r="D1332" s="261">
        <f t="shared" si="20"/>
        <v>-1.2018593629409269E-2</v>
      </c>
    </row>
    <row r="1333" spans="2:4" ht="14" thickBot="1" x14ac:dyDescent="0.2">
      <c r="B1333" s="251">
        <v>44236</v>
      </c>
      <c r="C1333" s="451">
        <v>51329.08</v>
      </c>
      <c r="D1333" s="261">
        <f t="shared" si="20"/>
        <v>3.8360321283748E-4</v>
      </c>
    </row>
    <row r="1334" spans="2:4" ht="14" thickBot="1" x14ac:dyDescent="0.2">
      <c r="B1334" s="251">
        <v>44237</v>
      </c>
      <c r="C1334" s="451">
        <v>51309.39</v>
      </c>
      <c r="D1334" s="261">
        <f t="shared" si="20"/>
        <v>3.8375042073202081E-4</v>
      </c>
    </row>
    <row r="1335" spans="2:4" ht="14" thickBot="1" x14ac:dyDescent="0.2">
      <c r="B1335" s="251">
        <v>44238</v>
      </c>
      <c r="C1335" s="451">
        <v>51531.519999999997</v>
      </c>
      <c r="D1335" s="261">
        <f t="shared" si="20"/>
        <v>-4.31056564991672E-3</v>
      </c>
    </row>
    <row r="1336" spans="2:4" ht="14" thickBot="1" x14ac:dyDescent="0.2">
      <c r="B1336" s="251">
        <v>44239</v>
      </c>
      <c r="C1336" s="451">
        <v>51544.3</v>
      </c>
      <c r="D1336" s="261">
        <f t="shared" si="20"/>
        <v>-2.4794206148892606E-4</v>
      </c>
    </row>
    <row r="1337" spans="2:4" ht="14" thickBot="1" x14ac:dyDescent="0.2">
      <c r="B1337" s="251">
        <v>44242</v>
      </c>
      <c r="C1337" s="451">
        <v>52154.13</v>
      </c>
      <c r="D1337" s="261">
        <f t="shared" si="20"/>
        <v>-1.1692841966685963E-2</v>
      </c>
    </row>
    <row r="1338" spans="2:4" ht="14" thickBot="1" x14ac:dyDescent="0.2">
      <c r="B1338" s="251">
        <v>44243</v>
      </c>
      <c r="C1338" s="451">
        <v>52104.17</v>
      </c>
      <c r="D1338" s="261">
        <f t="shared" si="20"/>
        <v>9.5884839927395937E-4</v>
      </c>
    </row>
    <row r="1339" spans="2:4" ht="14" thickBot="1" x14ac:dyDescent="0.2">
      <c r="B1339" s="251">
        <v>44244</v>
      </c>
      <c r="C1339" s="451">
        <v>51703.83</v>
      </c>
      <c r="D1339" s="261">
        <f t="shared" si="20"/>
        <v>7.7429467024008325E-3</v>
      </c>
    </row>
    <row r="1340" spans="2:4" ht="14" thickBot="1" x14ac:dyDescent="0.2">
      <c r="B1340" s="251">
        <v>44245</v>
      </c>
      <c r="C1340" s="451">
        <v>51324.69</v>
      </c>
      <c r="D1340" s="261">
        <f t="shared" si="20"/>
        <v>7.3870879687729651E-3</v>
      </c>
    </row>
    <row r="1341" spans="2:4" ht="14" thickBot="1" x14ac:dyDescent="0.2">
      <c r="B1341" s="251">
        <v>44246</v>
      </c>
      <c r="C1341" s="451">
        <v>50889.760000000002</v>
      </c>
      <c r="D1341" s="261">
        <f t="shared" si="20"/>
        <v>8.5465130902562247E-3</v>
      </c>
    </row>
    <row r="1342" spans="2:4" ht="14" thickBot="1" x14ac:dyDescent="0.2">
      <c r="B1342" s="251">
        <v>44249</v>
      </c>
      <c r="C1342" s="451">
        <v>49744.32</v>
      </c>
      <c r="D1342" s="261">
        <f t="shared" si="20"/>
        <v>2.3026548558709781E-2</v>
      </c>
    </row>
    <row r="1343" spans="2:4" ht="14" thickBot="1" x14ac:dyDescent="0.2">
      <c r="B1343" s="251">
        <v>44250</v>
      </c>
      <c r="C1343" s="451">
        <v>49751.41</v>
      </c>
      <c r="D1343" s="261">
        <f t="shared" si="20"/>
        <v>-1.4250852387909241E-4</v>
      </c>
    </row>
    <row r="1344" spans="2:4" ht="14" thickBot="1" x14ac:dyDescent="0.2">
      <c r="B1344" s="251">
        <v>44251</v>
      </c>
      <c r="C1344" s="451">
        <v>50781.69</v>
      </c>
      <c r="D1344" s="261">
        <f t="shared" si="20"/>
        <v>-2.0288414977918223E-2</v>
      </c>
    </row>
    <row r="1345" spans="2:4" ht="14" thickBot="1" x14ac:dyDescent="0.2">
      <c r="B1345" s="251">
        <v>44252</v>
      </c>
      <c r="C1345" s="451">
        <v>51039.31</v>
      </c>
      <c r="D1345" s="261">
        <f t="shared" si="20"/>
        <v>-5.0474820290477007E-3</v>
      </c>
    </row>
    <row r="1346" spans="2:4" ht="14" thickBot="1" x14ac:dyDescent="0.2">
      <c r="B1346" s="251">
        <v>44253</v>
      </c>
      <c r="C1346" s="451">
        <v>49099.99</v>
      </c>
      <c r="D1346" s="261">
        <f t="shared" si="20"/>
        <v>3.9497360386427705E-2</v>
      </c>
    </row>
    <row r="1347" spans="2:4" ht="14" thickBot="1" x14ac:dyDescent="0.2">
      <c r="B1347" s="251">
        <v>44256</v>
      </c>
      <c r="C1347" s="451">
        <v>49849.84</v>
      </c>
      <c r="D1347" s="261">
        <f t="shared" si="20"/>
        <v>-1.5042174658935648E-2</v>
      </c>
    </row>
    <row r="1348" spans="2:4" ht="14" thickBot="1" x14ac:dyDescent="0.2">
      <c r="B1348" s="251">
        <v>44257</v>
      </c>
      <c r="C1348" s="451">
        <v>50296.89</v>
      </c>
      <c r="D1348" s="261">
        <f t="shared" si="20"/>
        <v>-8.8882235064633441E-3</v>
      </c>
    </row>
    <row r="1349" spans="2:4" ht="14" thickBot="1" x14ac:dyDescent="0.2">
      <c r="B1349" s="251">
        <v>44258</v>
      </c>
      <c r="C1349" s="451">
        <v>51444.65</v>
      </c>
      <c r="D1349" s="261">
        <f t="shared" si="20"/>
        <v>-2.2310580400488722E-2</v>
      </c>
    </row>
    <row r="1350" spans="2:4" ht="14" thickBot="1" x14ac:dyDescent="0.2">
      <c r="B1350" s="251">
        <v>44259</v>
      </c>
      <c r="C1350" s="451">
        <v>50846.080000000002</v>
      </c>
      <c r="D1350" s="261">
        <f t="shared" si="20"/>
        <v>1.1772195614686565E-2</v>
      </c>
    </row>
    <row r="1351" spans="2:4" ht="14" thickBot="1" x14ac:dyDescent="0.2">
      <c r="B1351" s="251">
        <v>44260</v>
      </c>
      <c r="C1351" s="451">
        <v>50405.32</v>
      </c>
      <c r="D1351" s="261">
        <f t="shared" si="20"/>
        <v>8.7443150842014816E-3</v>
      </c>
    </row>
    <row r="1352" spans="2:4" ht="14" thickBot="1" x14ac:dyDescent="0.2">
      <c r="B1352" s="251">
        <v>44263</v>
      </c>
      <c r="C1352" s="451">
        <v>50441.07</v>
      </c>
      <c r="D1352" s="261">
        <f t="shared" si="20"/>
        <v>-7.0874785170105259E-4</v>
      </c>
    </row>
    <row r="1353" spans="2:4" ht="14" thickBot="1" x14ac:dyDescent="0.2">
      <c r="B1353" s="251">
        <v>44264</v>
      </c>
      <c r="C1353" s="451">
        <v>51025.48</v>
      </c>
      <c r="D1353" s="261">
        <f t="shared" si="20"/>
        <v>-1.1453297450607081E-2</v>
      </c>
    </row>
    <row r="1354" spans="2:4" ht="14" thickBot="1" x14ac:dyDescent="0.2">
      <c r="B1354" s="251">
        <v>44265</v>
      </c>
      <c r="C1354" s="451">
        <v>51279.51</v>
      </c>
      <c r="D1354" s="261">
        <f t="shared" ref="D1354:D1417" si="21">C1353/C1354-1</f>
        <v>-4.9538304870697658E-3</v>
      </c>
    </row>
    <row r="1355" spans="2:4" ht="14" thickBot="1" x14ac:dyDescent="0.2">
      <c r="B1355" s="251">
        <v>44267</v>
      </c>
      <c r="C1355" s="451">
        <v>50792.08</v>
      </c>
      <c r="D1355" s="261">
        <f t="shared" si="21"/>
        <v>9.5965748990787247E-3</v>
      </c>
    </row>
    <row r="1356" spans="2:4" ht="14" thickBot="1" x14ac:dyDescent="0.2">
      <c r="B1356" s="251">
        <v>44270</v>
      </c>
      <c r="C1356" s="451">
        <v>50395.08</v>
      </c>
      <c r="D1356" s="261">
        <f t="shared" si="21"/>
        <v>7.8777531457436822E-3</v>
      </c>
    </row>
    <row r="1357" spans="2:4" ht="14" thickBot="1" x14ac:dyDescent="0.2">
      <c r="B1357" s="251">
        <v>44271</v>
      </c>
      <c r="C1357" s="451">
        <v>50363.96</v>
      </c>
      <c r="D1357" s="261">
        <f t="shared" si="21"/>
        <v>6.1790216654933339E-4</v>
      </c>
    </row>
    <row r="1358" spans="2:4" ht="14" thickBot="1" x14ac:dyDescent="0.2">
      <c r="B1358" s="251">
        <v>44272</v>
      </c>
      <c r="C1358" s="451">
        <v>49801.62</v>
      </c>
      <c r="D1358" s="261">
        <f t="shared" si="21"/>
        <v>1.1291600554359515E-2</v>
      </c>
    </row>
    <row r="1359" spans="2:4" ht="14" thickBot="1" x14ac:dyDescent="0.2">
      <c r="B1359" s="251">
        <v>44273</v>
      </c>
      <c r="C1359" s="451">
        <v>49216.52</v>
      </c>
      <c r="D1359" s="261">
        <f t="shared" si="21"/>
        <v>1.1888284665392934E-2</v>
      </c>
    </row>
    <row r="1360" spans="2:4" ht="14" thickBot="1" x14ac:dyDescent="0.2">
      <c r="B1360" s="251">
        <v>44274</v>
      </c>
      <c r="C1360" s="451">
        <v>49858.239999999998</v>
      </c>
      <c r="D1360" s="261">
        <f t="shared" si="21"/>
        <v>-1.2870891551727492E-2</v>
      </c>
    </row>
    <row r="1361" spans="2:4" ht="14" thickBot="1" x14ac:dyDescent="0.2">
      <c r="B1361" s="251">
        <v>44277</v>
      </c>
      <c r="C1361" s="451">
        <v>49771.29</v>
      </c>
      <c r="D1361" s="261">
        <f t="shared" si="21"/>
        <v>1.7469910866283467E-3</v>
      </c>
    </row>
    <row r="1362" spans="2:4" ht="14" thickBot="1" x14ac:dyDescent="0.2">
      <c r="B1362" s="251">
        <v>44278</v>
      </c>
      <c r="C1362" s="451">
        <v>50051.44</v>
      </c>
      <c r="D1362" s="261">
        <f t="shared" si="21"/>
        <v>-5.5972415578853241E-3</v>
      </c>
    </row>
    <row r="1363" spans="2:4" ht="14" thickBot="1" x14ac:dyDescent="0.2">
      <c r="B1363" s="251">
        <v>44279</v>
      </c>
      <c r="C1363" s="451">
        <v>49180.31</v>
      </c>
      <c r="D1363" s="261">
        <f t="shared" si="21"/>
        <v>1.7712983102383895E-2</v>
      </c>
    </row>
    <row r="1364" spans="2:4" ht="14" thickBot="1" x14ac:dyDescent="0.2">
      <c r="B1364" s="251">
        <v>44280</v>
      </c>
      <c r="C1364" s="451">
        <v>48440.12</v>
      </c>
      <c r="D1364" s="261">
        <f t="shared" si="21"/>
        <v>1.5280515407476214E-2</v>
      </c>
    </row>
    <row r="1365" spans="2:4" ht="14" thickBot="1" x14ac:dyDescent="0.2">
      <c r="B1365" s="251">
        <v>44281</v>
      </c>
      <c r="C1365" s="451">
        <v>49008.5</v>
      </c>
      <c r="D1365" s="261">
        <f t="shared" si="21"/>
        <v>-1.1597580011630582E-2</v>
      </c>
    </row>
    <row r="1366" spans="2:4" ht="14" thickBot="1" x14ac:dyDescent="0.2">
      <c r="B1366" s="251">
        <v>44285</v>
      </c>
      <c r="C1366" s="451">
        <v>50136.58</v>
      </c>
      <c r="D1366" s="261">
        <f t="shared" si="21"/>
        <v>-2.2500138621341925E-2</v>
      </c>
    </row>
    <row r="1367" spans="2:4" ht="14" thickBot="1" x14ac:dyDescent="0.2">
      <c r="B1367" s="251">
        <v>44286</v>
      </c>
      <c r="C1367" s="451">
        <v>49509.15</v>
      </c>
      <c r="D1367" s="261">
        <f t="shared" si="21"/>
        <v>1.2673010948481167E-2</v>
      </c>
    </row>
    <row r="1368" spans="2:4" ht="14" thickBot="1" x14ac:dyDescent="0.2">
      <c r="B1368" s="251">
        <v>44287</v>
      </c>
      <c r="C1368" s="451">
        <v>50029.83</v>
      </c>
      <c r="D1368" s="261">
        <f t="shared" si="21"/>
        <v>-1.040739095055887E-2</v>
      </c>
    </row>
    <row r="1369" spans="2:4" ht="14" thickBot="1" x14ac:dyDescent="0.2">
      <c r="B1369" s="251">
        <v>44291</v>
      </c>
      <c r="C1369" s="451">
        <v>49159.32</v>
      </c>
      <c r="D1369" s="261">
        <f t="shared" si="21"/>
        <v>1.7707934121139246E-2</v>
      </c>
    </row>
    <row r="1370" spans="2:4" ht="14" thickBot="1" x14ac:dyDescent="0.2">
      <c r="B1370" s="251">
        <v>44292</v>
      </c>
      <c r="C1370" s="451">
        <v>49201.39</v>
      </c>
      <c r="D1370" s="261">
        <f t="shared" si="21"/>
        <v>-8.5505714371081343E-4</v>
      </c>
    </row>
    <row r="1371" spans="2:4" ht="14" thickBot="1" x14ac:dyDescent="0.2">
      <c r="B1371" s="251">
        <v>44293</v>
      </c>
      <c r="C1371" s="451">
        <v>49661.760000000002</v>
      </c>
      <c r="D1371" s="261">
        <f t="shared" si="21"/>
        <v>-9.2701104431257564E-3</v>
      </c>
    </row>
    <row r="1372" spans="2:4" ht="14" thickBot="1" x14ac:dyDescent="0.2">
      <c r="B1372" s="251">
        <v>44294</v>
      </c>
      <c r="C1372" s="451">
        <v>49746.21</v>
      </c>
      <c r="D1372" s="261">
        <f t="shared" si="21"/>
        <v>-1.6976167631663763E-3</v>
      </c>
    </row>
    <row r="1373" spans="2:4" ht="14" thickBot="1" x14ac:dyDescent="0.2">
      <c r="B1373" s="251">
        <v>44295</v>
      </c>
      <c r="C1373" s="451">
        <v>49591.32</v>
      </c>
      <c r="D1373" s="261">
        <f t="shared" si="21"/>
        <v>3.1233288406116166E-3</v>
      </c>
    </row>
    <row r="1374" spans="2:4" ht="14" thickBot="1" x14ac:dyDescent="0.2">
      <c r="B1374" s="251">
        <v>44298</v>
      </c>
      <c r="C1374" s="451">
        <v>47883.38</v>
      </c>
      <c r="D1374" s="261">
        <f t="shared" si="21"/>
        <v>3.5668743518106005E-2</v>
      </c>
    </row>
    <row r="1375" spans="2:4" ht="14" thickBot="1" x14ac:dyDescent="0.2">
      <c r="B1375" s="251">
        <v>44299</v>
      </c>
      <c r="C1375" s="451">
        <v>48544.06</v>
      </c>
      <c r="D1375" s="261">
        <f t="shared" si="21"/>
        <v>-1.3609904074772472E-2</v>
      </c>
    </row>
    <row r="1376" spans="2:4" ht="14" thickBot="1" x14ac:dyDescent="0.2">
      <c r="B1376" s="251">
        <v>44301</v>
      </c>
      <c r="C1376" s="451">
        <v>48803.68</v>
      </c>
      <c r="D1376" s="261">
        <f t="shared" si="21"/>
        <v>-5.3196808109552407E-3</v>
      </c>
    </row>
    <row r="1377" spans="2:4" ht="14" thickBot="1" x14ac:dyDescent="0.2">
      <c r="B1377" s="251">
        <v>44302</v>
      </c>
      <c r="C1377" s="451">
        <v>48832.03</v>
      </c>
      <c r="D1377" s="261">
        <f t="shared" si="21"/>
        <v>-5.8056156993679942E-4</v>
      </c>
    </row>
    <row r="1378" spans="2:4" ht="14" thickBot="1" x14ac:dyDescent="0.2">
      <c r="B1378" s="251">
        <v>44305</v>
      </c>
      <c r="C1378" s="451">
        <v>47949.42</v>
      </c>
      <c r="D1378" s="261">
        <f t="shared" si="21"/>
        <v>1.8407104820037379E-2</v>
      </c>
    </row>
    <row r="1379" spans="2:4" ht="14" thickBot="1" x14ac:dyDescent="0.2">
      <c r="B1379" s="251">
        <v>44306</v>
      </c>
      <c r="C1379" s="451">
        <v>47705.8</v>
      </c>
      <c r="D1379" s="261">
        <f t="shared" si="21"/>
        <v>5.106716583727744E-3</v>
      </c>
    </row>
    <row r="1380" spans="2:4" ht="14" thickBot="1" x14ac:dyDescent="0.2">
      <c r="B1380" s="251">
        <v>44308</v>
      </c>
      <c r="C1380" s="451">
        <v>48080.67</v>
      </c>
      <c r="D1380" s="261">
        <f t="shared" si="21"/>
        <v>-7.7966883572960777E-3</v>
      </c>
    </row>
    <row r="1381" spans="2:4" ht="14" thickBot="1" x14ac:dyDescent="0.2">
      <c r="B1381" s="251">
        <v>44309</v>
      </c>
      <c r="C1381" s="451">
        <v>47878.45</v>
      </c>
      <c r="D1381" s="261">
        <f t="shared" si="21"/>
        <v>4.2236120843510694E-3</v>
      </c>
    </row>
    <row r="1382" spans="2:4" ht="14" thickBot="1" x14ac:dyDescent="0.2">
      <c r="B1382" s="251">
        <v>44312</v>
      </c>
      <c r="C1382" s="451">
        <v>48386.51</v>
      </c>
      <c r="D1382" s="261">
        <f t="shared" si="21"/>
        <v>-1.0500033997078995E-2</v>
      </c>
    </row>
    <row r="1383" spans="2:4" ht="14" thickBot="1" x14ac:dyDescent="0.2">
      <c r="B1383" s="251">
        <v>44313</v>
      </c>
      <c r="C1383" s="451">
        <v>48944.14</v>
      </c>
      <c r="D1383" s="261">
        <f t="shared" si="21"/>
        <v>-1.1393192320878431E-2</v>
      </c>
    </row>
    <row r="1384" spans="2:4" ht="14" thickBot="1" x14ac:dyDescent="0.2">
      <c r="B1384" s="251">
        <v>44314</v>
      </c>
      <c r="C1384" s="451">
        <v>49733.84</v>
      </c>
      <c r="D1384" s="261">
        <f t="shared" si="21"/>
        <v>-1.587852456194816E-2</v>
      </c>
    </row>
    <row r="1385" spans="2:4" ht="14" thickBot="1" x14ac:dyDescent="0.2">
      <c r="B1385" s="251">
        <v>44315</v>
      </c>
      <c r="C1385" s="451">
        <v>49765.94</v>
      </c>
      <c r="D1385" s="261">
        <f t="shared" si="21"/>
        <v>-6.4501946512018904E-4</v>
      </c>
    </row>
    <row r="1386" spans="2:4" ht="14" thickBot="1" x14ac:dyDescent="0.2">
      <c r="B1386" s="251">
        <v>44316</v>
      </c>
      <c r="C1386" s="451">
        <v>48782.36</v>
      </c>
      <c r="D1386" s="261">
        <f t="shared" si="21"/>
        <v>2.016261615879178E-2</v>
      </c>
    </row>
    <row r="1387" spans="2:4" ht="14" thickBot="1" x14ac:dyDescent="0.2">
      <c r="B1387" s="251">
        <v>44319</v>
      </c>
      <c r="C1387" s="451">
        <v>48718.52</v>
      </c>
      <c r="D1387" s="261">
        <f t="shared" si="21"/>
        <v>1.3103846340161152E-3</v>
      </c>
    </row>
    <row r="1388" spans="2:4" ht="14" thickBot="1" x14ac:dyDescent="0.2">
      <c r="B1388" s="251">
        <v>44320</v>
      </c>
      <c r="C1388" s="451">
        <v>48253.51</v>
      </c>
      <c r="D1388" s="261">
        <f t="shared" si="21"/>
        <v>9.6368119127498986E-3</v>
      </c>
    </row>
    <row r="1389" spans="2:4" ht="14" thickBot="1" x14ac:dyDescent="0.2">
      <c r="B1389" s="251">
        <v>44321</v>
      </c>
      <c r="C1389" s="451">
        <v>48677.55</v>
      </c>
      <c r="D1389" s="261">
        <f t="shared" si="21"/>
        <v>-8.7112025975013552E-3</v>
      </c>
    </row>
    <row r="1390" spans="2:4" ht="14" thickBot="1" x14ac:dyDescent="0.2">
      <c r="B1390" s="251">
        <v>44322</v>
      </c>
      <c r="C1390" s="451">
        <v>48949.760000000002</v>
      </c>
      <c r="D1390" s="261">
        <f t="shared" si="21"/>
        <v>-5.561007857852629E-3</v>
      </c>
    </row>
    <row r="1391" spans="2:4" ht="14" thickBot="1" x14ac:dyDescent="0.2">
      <c r="B1391" s="251">
        <v>44323</v>
      </c>
      <c r="C1391" s="451">
        <v>49206.47</v>
      </c>
      <c r="D1391" s="261">
        <f t="shared" si="21"/>
        <v>-5.2169968705334524E-3</v>
      </c>
    </row>
    <row r="1392" spans="2:4" ht="14" thickBot="1" x14ac:dyDescent="0.2">
      <c r="B1392" s="251">
        <v>44326</v>
      </c>
      <c r="C1392" s="451">
        <v>49502.41</v>
      </c>
      <c r="D1392" s="261">
        <f t="shared" si="21"/>
        <v>-5.9782947941322551E-3</v>
      </c>
    </row>
    <row r="1393" spans="2:4" ht="14" thickBot="1" x14ac:dyDescent="0.2">
      <c r="B1393" s="251">
        <v>44327</v>
      </c>
      <c r="C1393" s="451">
        <v>49161.81</v>
      </c>
      <c r="D1393" s="261">
        <f t="shared" si="21"/>
        <v>6.9281419866356053E-3</v>
      </c>
    </row>
    <row r="1394" spans="2:4" ht="14" thickBot="1" x14ac:dyDescent="0.2">
      <c r="B1394" s="251">
        <v>44328</v>
      </c>
      <c r="C1394" s="451">
        <v>48690.8</v>
      </c>
      <c r="D1394" s="261">
        <f t="shared" si="21"/>
        <v>9.6734906799640363E-3</v>
      </c>
    </row>
    <row r="1395" spans="2:4" ht="14" thickBot="1" x14ac:dyDescent="0.2">
      <c r="B1395" s="251">
        <v>44330</v>
      </c>
      <c r="C1395" s="451">
        <v>48732.55</v>
      </c>
      <c r="D1395" s="261">
        <f t="shared" si="21"/>
        <v>-8.5671691713240516E-4</v>
      </c>
    </row>
    <row r="1396" spans="2:4" ht="14" thickBot="1" x14ac:dyDescent="0.2">
      <c r="B1396" s="251">
        <v>44333</v>
      </c>
      <c r="C1396" s="451">
        <v>49580.73</v>
      </c>
      <c r="D1396" s="261">
        <f t="shared" si="21"/>
        <v>-1.7107049452478873E-2</v>
      </c>
    </row>
    <row r="1397" spans="2:4" ht="14" thickBot="1" x14ac:dyDescent="0.2">
      <c r="B1397" s="251">
        <v>44334</v>
      </c>
      <c r="C1397" s="451">
        <v>50193.33</v>
      </c>
      <c r="D1397" s="261">
        <f t="shared" si="21"/>
        <v>-1.2204808885961538E-2</v>
      </c>
    </row>
    <row r="1398" spans="2:4" ht="14" thickBot="1" x14ac:dyDescent="0.2">
      <c r="B1398" s="251">
        <v>44335</v>
      </c>
      <c r="C1398" s="451">
        <v>49902.64</v>
      </c>
      <c r="D1398" s="261">
        <f t="shared" si="21"/>
        <v>5.8251427179003556E-3</v>
      </c>
    </row>
    <row r="1399" spans="2:4" ht="14" thickBot="1" x14ac:dyDescent="0.2">
      <c r="B1399" s="251">
        <v>44336</v>
      </c>
      <c r="C1399" s="451">
        <v>49564.86</v>
      </c>
      <c r="D1399" s="261">
        <f t="shared" si="21"/>
        <v>6.814908788201901E-3</v>
      </c>
    </row>
    <row r="1400" spans="2:4" ht="14" thickBot="1" x14ac:dyDescent="0.2">
      <c r="B1400" s="251">
        <v>44337</v>
      </c>
      <c r="C1400" s="451">
        <v>50540.480000000003</v>
      </c>
      <c r="D1400" s="261">
        <f t="shared" si="21"/>
        <v>-1.930373435313637E-2</v>
      </c>
    </row>
    <row r="1401" spans="2:4" ht="14" thickBot="1" x14ac:dyDescent="0.2">
      <c r="B1401" s="251">
        <v>44340</v>
      </c>
      <c r="C1401" s="451">
        <v>50651.9</v>
      </c>
      <c r="D1401" s="261">
        <f t="shared" si="21"/>
        <v>-2.1997200499882519E-3</v>
      </c>
    </row>
    <row r="1402" spans="2:4" ht="14" thickBot="1" x14ac:dyDescent="0.2">
      <c r="B1402" s="251">
        <v>44341</v>
      </c>
      <c r="C1402" s="451">
        <v>50637.53</v>
      </c>
      <c r="D1402" s="261">
        <f t="shared" si="21"/>
        <v>2.8378161415076875E-4</v>
      </c>
    </row>
    <row r="1403" spans="2:4" ht="14" thickBot="1" x14ac:dyDescent="0.2">
      <c r="B1403" s="251">
        <v>44342</v>
      </c>
      <c r="C1403" s="451">
        <v>51017.52</v>
      </c>
      <c r="D1403" s="261">
        <f t="shared" si="21"/>
        <v>-7.4482256291563687E-3</v>
      </c>
    </row>
    <row r="1404" spans="2:4" ht="14" thickBot="1" x14ac:dyDescent="0.2">
      <c r="B1404" s="251">
        <v>44343</v>
      </c>
      <c r="C1404" s="451">
        <v>51115.22</v>
      </c>
      <c r="D1404" s="261">
        <f t="shared" si="21"/>
        <v>-1.911368081757292E-3</v>
      </c>
    </row>
    <row r="1405" spans="2:4" ht="14" thickBot="1" x14ac:dyDescent="0.2">
      <c r="B1405" s="251">
        <v>44344</v>
      </c>
      <c r="C1405" s="451">
        <v>51422.879999999997</v>
      </c>
      <c r="D1405" s="261">
        <f t="shared" si="21"/>
        <v>-5.9829398897921493E-3</v>
      </c>
    </row>
    <row r="1406" spans="2:4" ht="14" thickBot="1" x14ac:dyDescent="0.2">
      <c r="B1406" s="251">
        <v>44347</v>
      </c>
      <c r="C1406" s="451">
        <v>51937.440000000002</v>
      </c>
      <c r="D1406" s="261">
        <f t="shared" si="21"/>
        <v>-9.9073038640334898E-3</v>
      </c>
    </row>
    <row r="1407" spans="2:4" ht="14" thickBot="1" x14ac:dyDescent="0.2">
      <c r="B1407" s="251">
        <v>44348</v>
      </c>
      <c r="C1407" s="451">
        <v>51934.879999999997</v>
      </c>
      <c r="D1407" s="261">
        <f t="shared" si="21"/>
        <v>4.9292498605968404E-5</v>
      </c>
    </row>
    <row r="1408" spans="2:4" ht="14" thickBot="1" x14ac:dyDescent="0.2">
      <c r="B1408" s="251">
        <v>44349</v>
      </c>
      <c r="C1408" s="451">
        <v>51849.48</v>
      </c>
      <c r="D1408" s="261">
        <f t="shared" si="21"/>
        <v>1.6470753419319806E-3</v>
      </c>
    </row>
    <row r="1409" spans="2:4" ht="14" thickBot="1" x14ac:dyDescent="0.2">
      <c r="B1409" s="252">
        <v>44350</v>
      </c>
      <c r="C1409" s="451">
        <v>52232.43</v>
      </c>
      <c r="D1409" s="261">
        <f t="shared" si="21"/>
        <v>-7.3316520024053755E-3</v>
      </c>
    </row>
    <row r="1410" spans="2:4" ht="14" thickBot="1" x14ac:dyDescent="0.2">
      <c r="B1410" s="251">
        <v>44351</v>
      </c>
      <c r="C1410" s="451">
        <v>52100.05</v>
      </c>
      <c r="D1410" s="261">
        <f t="shared" si="21"/>
        <v>2.5408804790014727E-3</v>
      </c>
    </row>
    <row r="1411" spans="2:4" ht="14" thickBot="1" x14ac:dyDescent="0.2">
      <c r="B1411" s="251">
        <v>44354</v>
      </c>
      <c r="C1411" s="451">
        <v>52328.51</v>
      </c>
      <c r="D1411" s="261">
        <f t="shared" si="21"/>
        <v>-4.3658800909867068E-3</v>
      </c>
    </row>
    <row r="1412" spans="2:4" ht="14" thickBot="1" x14ac:dyDescent="0.2">
      <c r="B1412" s="251">
        <v>44355</v>
      </c>
      <c r="C1412" s="451">
        <v>52275.57</v>
      </c>
      <c r="D1412" s="261">
        <f t="shared" si="21"/>
        <v>1.0127101435719599E-3</v>
      </c>
    </row>
    <row r="1413" spans="2:4" ht="14" thickBot="1" x14ac:dyDescent="0.2">
      <c r="B1413" s="251">
        <v>44356</v>
      </c>
      <c r="C1413" s="451">
        <v>51941.64</v>
      </c>
      <c r="D1413" s="261">
        <f t="shared" si="21"/>
        <v>6.4289460248079244E-3</v>
      </c>
    </row>
    <row r="1414" spans="2:4" ht="14" thickBot="1" x14ac:dyDescent="0.2">
      <c r="B1414" s="251">
        <v>44357</v>
      </c>
      <c r="C1414" s="451">
        <v>52300.47</v>
      </c>
      <c r="D1414" s="261">
        <f t="shared" si="21"/>
        <v>-6.8609326072978094E-3</v>
      </c>
    </row>
    <row r="1415" spans="2:4" ht="14" thickBot="1" x14ac:dyDescent="0.2">
      <c r="B1415" s="251">
        <v>44358</v>
      </c>
      <c r="C1415" s="451">
        <v>52474.76</v>
      </c>
      <c r="D1415" s="261">
        <f t="shared" si="21"/>
        <v>-3.3214063294429996E-3</v>
      </c>
    </row>
    <row r="1416" spans="2:4" ht="14" thickBot="1" x14ac:dyDescent="0.2">
      <c r="B1416" s="251">
        <v>44361</v>
      </c>
      <c r="C1416" s="451">
        <v>52551.53</v>
      </c>
      <c r="D1416" s="261">
        <f t="shared" si="21"/>
        <v>-1.4608518534093839E-3</v>
      </c>
    </row>
    <row r="1417" spans="2:4" ht="14" thickBot="1" x14ac:dyDescent="0.2">
      <c r="B1417" s="251">
        <v>44362</v>
      </c>
      <c r="C1417" s="451">
        <v>52773.05</v>
      </c>
      <c r="D1417" s="261">
        <f t="shared" si="21"/>
        <v>-4.197597068958614E-3</v>
      </c>
    </row>
    <row r="1418" spans="2:4" ht="14" thickBot="1" x14ac:dyDescent="0.2">
      <c r="B1418" s="251">
        <v>44363</v>
      </c>
      <c r="C1418" s="451">
        <v>52501.98</v>
      </c>
      <c r="D1418" s="261">
        <f t="shared" ref="D1418:D1481" si="22">C1417/C1418-1</f>
        <v>5.1630433747451576E-3</v>
      </c>
    </row>
    <row r="1419" spans="2:4" ht="14" thickBot="1" x14ac:dyDescent="0.2">
      <c r="B1419" s="251">
        <v>44364</v>
      </c>
      <c r="C1419" s="451">
        <v>52323.33</v>
      </c>
      <c r="D1419" s="261">
        <f t="shared" si="22"/>
        <v>3.4143469079663813E-3</v>
      </c>
    </row>
    <row r="1420" spans="2:4" ht="14" thickBot="1" x14ac:dyDescent="0.2">
      <c r="B1420" s="251">
        <v>44365</v>
      </c>
      <c r="C1420" s="451">
        <v>52344.45</v>
      </c>
      <c r="D1420" s="261">
        <f t="shared" si="22"/>
        <v>-4.0348117135613482E-4</v>
      </c>
    </row>
    <row r="1421" spans="2:4" ht="14" thickBot="1" x14ac:dyDescent="0.2">
      <c r="B1421" s="251">
        <v>44368</v>
      </c>
      <c r="C1421" s="451">
        <v>52574.46</v>
      </c>
      <c r="D1421" s="261">
        <f t="shared" si="22"/>
        <v>-4.3749379451544224E-3</v>
      </c>
    </row>
    <row r="1422" spans="2:4" ht="14" thickBot="1" x14ac:dyDescent="0.2">
      <c r="B1422" s="251">
        <v>44369</v>
      </c>
      <c r="C1422" s="451">
        <v>52588.71</v>
      </c>
      <c r="D1422" s="261">
        <f t="shared" si="22"/>
        <v>-2.7097070835169212E-4</v>
      </c>
    </row>
    <row r="1423" spans="2:4" ht="14" thickBot="1" x14ac:dyDescent="0.2">
      <c r="B1423" s="251">
        <v>44370</v>
      </c>
      <c r="C1423" s="451">
        <v>52306.080000000002</v>
      </c>
      <c r="D1423" s="261">
        <f t="shared" si="22"/>
        <v>5.4033871396976796E-3</v>
      </c>
    </row>
    <row r="1424" spans="2:4" ht="14" thickBot="1" x14ac:dyDescent="0.2">
      <c r="B1424" s="251">
        <v>44371</v>
      </c>
      <c r="C1424" s="451">
        <v>52699</v>
      </c>
      <c r="D1424" s="261">
        <f t="shared" si="22"/>
        <v>-7.4559289550085728E-3</v>
      </c>
    </row>
    <row r="1425" spans="2:4" ht="14" thickBot="1" x14ac:dyDescent="0.2">
      <c r="B1425" s="251">
        <v>44372</v>
      </c>
      <c r="C1425" s="451">
        <v>52925.04</v>
      </c>
      <c r="D1425" s="261">
        <f t="shared" si="22"/>
        <v>-4.2709462288550437E-3</v>
      </c>
    </row>
    <row r="1426" spans="2:4" ht="14" thickBot="1" x14ac:dyDescent="0.2">
      <c r="B1426" s="251">
        <v>44375</v>
      </c>
      <c r="C1426" s="451">
        <v>52735.59</v>
      </c>
      <c r="D1426" s="261">
        <f t="shared" si="22"/>
        <v>3.592450563272509E-3</v>
      </c>
    </row>
    <row r="1427" spans="2:4" ht="14" thickBot="1" x14ac:dyDescent="0.2">
      <c r="B1427" s="251">
        <v>44376</v>
      </c>
      <c r="C1427" s="451">
        <v>52549.66</v>
      </c>
      <c r="D1427" s="261">
        <f t="shared" si="22"/>
        <v>3.5381770310216609E-3</v>
      </c>
    </row>
    <row r="1428" spans="2:4" ht="14" thickBot="1" x14ac:dyDescent="0.2">
      <c r="B1428" s="251">
        <v>44377</v>
      </c>
      <c r="C1428" s="451">
        <v>52482.71</v>
      </c>
      <c r="D1428" s="261">
        <f t="shared" si="22"/>
        <v>1.2756582120092563E-3</v>
      </c>
    </row>
    <row r="1429" spans="2:4" ht="14" thickBot="1" x14ac:dyDescent="0.2">
      <c r="B1429" s="251">
        <v>44378</v>
      </c>
      <c r="C1429" s="451">
        <v>52318.6</v>
      </c>
      <c r="D1429" s="261">
        <f t="shared" si="22"/>
        <v>3.1367429556601323E-3</v>
      </c>
    </row>
    <row r="1430" spans="2:4" ht="14" thickBot="1" x14ac:dyDescent="0.2">
      <c r="B1430" s="251">
        <v>44379</v>
      </c>
      <c r="C1430" s="451">
        <v>52484.67</v>
      </c>
      <c r="D1430" s="261">
        <f t="shared" si="22"/>
        <v>-3.1641620305510321E-3</v>
      </c>
    </row>
    <row r="1431" spans="2:4" ht="14" thickBot="1" x14ac:dyDescent="0.2">
      <c r="B1431" s="251">
        <v>44382</v>
      </c>
      <c r="C1431" s="451">
        <v>52880</v>
      </c>
      <c r="D1431" s="261">
        <f t="shared" si="22"/>
        <v>-7.4759833585477109E-3</v>
      </c>
    </row>
    <row r="1432" spans="2:4" ht="14" thickBot="1" x14ac:dyDescent="0.2">
      <c r="B1432" s="251">
        <v>44383</v>
      </c>
      <c r="C1432" s="451">
        <v>52861.18</v>
      </c>
      <c r="D1432" s="261">
        <f t="shared" si="22"/>
        <v>3.56026861299652E-4</v>
      </c>
    </row>
    <row r="1433" spans="2:4" ht="14" thickBot="1" x14ac:dyDescent="0.2">
      <c r="B1433" s="251">
        <v>44384</v>
      </c>
      <c r="C1433" s="451">
        <v>53054.76</v>
      </c>
      <c r="D1433" s="261">
        <f t="shared" si="22"/>
        <v>-3.6486829833930479E-3</v>
      </c>
    </row>
    <row r="1434" spans="2:4" ht="14" thickBot="1" x14ac:dyDescent="0.2">
      <c r="B1434" s="251">
        <v>44385</v>
      </c>
      <c r="C1434" s="451">
        <v>52568.94</v>
      </c>
      <c r="D1434" s="261">
        <f t="shared" si="22"/>
        <v>9.2415787725603771E-3</v>
      </c>
    </row>
    <row r="1435" spans="2:4" ht="14" thickBot="1" x14ac:dyDescent="0.2">
      <c r="B1435" s="251">
        <v>44386</v>
      </c>
      <c r="C1435" s="451">
        <v>52386.19</v>
      </c>
      <c r="D1435" s="261">
        <f t="shared" si="22"/>
        <v>3.4885148165957336E-3</v>
      </c>
    </row>
    <row r="1436" spans="2:4" ht="14" thickBot="1" x14ac:dyDescent="0.2">
      <c r="B1436" s="251">
        <v>44389</v>
      </c>
      <c r="C1436" s="451">
        <v>52372.69</v>
      </c>
      <c r="D1436" s="261">
        <f t="shared" si="22"/>
        <v>2.5776793210363635E-4</v>
      </c>
    </row>
    <row r="1437" spans="2:4" ht="14" thickBot="1" x14ac:dyDescent="0.2">
      <c r="B1437" s="251">
        <v>44390</v>
      </c>
      <c r="C1437" s="451">
        <v>52769.73</v>
      </c>
      <c r="D1437" s="261">
        <f t="shared" si="22"/>
        <v>-7.5240104506882899E-3</v>
      </c>
    </row>
    <row r="1438" spans="2:4" ht="14" thickBot="1" x14ac:dyDescent="0.2">
      <c r="B1438" s="251">
        <v>44391</v>
      </c>
      <c r="C1438" s="451">
        <v>52904.05</v>
      </c>
      <c r="D1438" s="261">
        <f t="shared" si="22"/>
        <v>-2.5389360549901152E-3</v>
      </c>
    </row>
    <row r="1439" spans="2:4" ht="14" thickBot="1" x14ac:dyDescent="0.2">
      <c r="B1439" s="251">
        <v>44392</v>
      </c>
      <c r="C1439" s="451">
        <v>53158.85</v>
      </c>
      <c r="D1439" s="261">
        <f t="shared" si="22"/>
        <v>-4.7931811918429101E-3</v>
      </c>
    </row>
    <row r="1440" spans="2:4" ht="14" thickBot="1" x14ac:dyDescent="0.2">
      <c r="B1440" s="251">
        <v>44393</v>
      </c>
      <c r="C1440" s="451">
        <v>53140.06</v>
      </c>
      <c r="D1440" s="261">
        <f t="shared" si="22"/>
        <v>3.5359388002187409E-4</v>
      </c>
    </row>
    <row r="1441" spans="2:4" ht="14" thickBot="1" x14ac:dyDescent="0.2">
      <c r="B1441" s="251">
        <v>44396</v>
      </c>
      <c r="C1441" s="451">
        <v>52553.4</v>
      </c>
      <c r="D1441" s="261">
        <f t="shared" si="22"/>
        <v>1.1163121700974665E-2</v>
      </c>
    </row>
    <row r="1442" spans="2:4" ht="14" thickBot="1" x14ac:dyDescent="0.2">
      <c r="B1442" s="251">
        <v>44397</v>
      </c>
      <c r="C1442" s="451">
        <v>52198.51</v>
      </c>
      <c r="D1442" s="261">
        <f t="shared" si="22"/>
        <v>6.7988530707101535E-3</v>
      </c>
    </row>
    <row r="1443" spans="2:4" ht="14" thickBot="1" x14ac:dyDescent="0.2">
      <c r="B1443" s="251">
        <v>44399</v>
      </c>
      <c r="C1443" s="451">
        <v>52837.21</v>
      </c>
      <c r="D1443" s="261">
        <f t="shared" si="22"/>
        <v>-1.2088072023484941E-2</v>
      </c>
    </row>
    <row r="1444" spans="2:4" ht="14" thickBot="1" x14ac:dyDescent="0.2">
      <c r="B1444" s="251">
        <v>44400</v>
      </c>
      <c r="C1444" s="451">
        <v>52975.8</v>
      </c>
      <c r="D1444" s="261">
        <f t="shared" si="22"/>
        <v>-2.6161001815924179E-3</v>
      </c>
    </row>
    <row r="1445" spans="2:4" ht="14" thickBot="1" x14ac:dyDescent="0.2">
      <c r="B1445" s="251">
        <v>44403</v>
      </c>
      <c r="C1445" s="451">
        <v>52852.27</v>
      </c>
      <c r="D1445" s="261">
        <f t="shared" si="22"/>
        <v>2.3372695250365449E-3</v>
      </c>
    </row>
    <row r="1446" spans="2:4" ht="14" thickBot="1" x14ac:dyDescent="0.2">
      <c r="B1446" s="251">
        <v>44404</v>
      </c>
      <c r="C1446" s="451">
        <v>52578.76</v>
      </c>
      <c r="D1446" s="261">
        <f t="shared" si="22"/>
        <v>5.2019104292302387E-3</v>
      </c>
    </row>
    <row r="1447" spans="2:4" ht="14" thickBot="1" x14ac:dyDescent="0.2">
      <c r="B1447" s="251">
        <v>44405</v>
      </c>
      <c r="C1447" s="451">
        <v>52443.71</v>
      </c>
      <c r="D1447" s="261">
        <f t="shared" si="22"/>
        <v>2.575141995103003E-3</v>
      </c>
    </row>
    <row r="1448" spans="2:4" ht="14" thickBot="1" x14ac:dyDescent="0.2">
      <c r="B1448" s="251">
        <v>44406</v>
      </c>
      <c r="C1448" s="451">
        <v>52653.07</v>
      </c>
      <c r="D1448" s="261">
        <f t="shared" si="22"/>
        <v>-3.9762163915608717E-3</v>
      </c>
    </row>
    <row r="1449" spans="2:4" ht="14" thickBot="1" x14ac:dyDescent="0.2">
      <c r="B1449" s="251">
        <v>44407</v>
      </c>
      <c r="C1449" s="451">
        <v>52586.84</v>
      </c>
      <c r="D1449" s="261">
        <f t="shared" si="22"/>
        <v>1.2594405748662663E-3</v>
      </c>
    </row>
    <row r="1450" spans="2:4" ht="14" thickBot="1" x14ac:dyDescent="0.2">
      <c r="B1450" s="251">
        <v>44410</v>
      </c>
      <c r="C1450" s="451">
        <v>52950.63</v>
      </c>
      <c r="D1450" s="261">
        <f t="shared" si="22"/>
        <v>-6.8703620712350366E-3</v>
      </c>
    </row>
    <row r="1451" spans="2:4" ht="14" thickBot="1" x14ac:dyDescent="0.2">
      <c r="B1451" s="251">
        <v>44411</v>
      </c>
      <c r="C1451" s="451">
        <v>53823.360000000001</v>
      </c>
      <c r="D1451" s="261">
        <f t="shared" si="22"/>
        <v>-1.6214706774159038E-2</v>
      </c>
    </row>
    <row r="1452" spans="2:4" ht="14" thickBot="1" x14ac:dyDescent="0.2">
      <c r="B1452" s="251">
        <v>44412</v>
      </c>
      <c r="C1452" s="451">
        <v>54369.77</v>
      </c>
      <c r="D1452" s="261">
        <f t="shared" si="22"/>
        <v>-1.0049886177557754E-2</v>
      </c>
    </row>
    <row r="1453" spans="2:4" ht="14" thickBot="1" x14ac:dyDescent="0.2">
      <c r="B1453" s="251">
        <v>44413</v>
      </c>
      <c r="C1453" s="451">
        <v>54492.84</v>
      </c>
      <c r="D1453" s="261">
        <f t="shared" si="22"/>
        <v>-2.2584618456296113E-3</v>
      </c>
    </row>
    <row r="1454" spans="2:4" ht="14" thickBot="1" x14ac:dyDescent="0.2">
      <c r="B1454" s="251">
        <v>44414</v>
      </c>
      <c r="C1454" s="451">
        <v>54277.72</v>
      </c>
      <c r="D1454" s="261">
        <f t="shared" si="22"/>
        <v>3.9633204931968091E-3</v>
      </c>
    </row>
    <row r="1455" spans="2:4" ht="14" thickBot="1" x14ac:dyDescent="0.2">
      <c r="B1455" s="251">
        <v>44417</v>
      </c>
      <c r="C1455" s="451">
        <v>54402.85</v>
      </c>
      <c r="D1455" s="261">
        <f t="shared" si="22"/>
        <v>-2.3000633238883239E-3</v>
      </c>
    </row>
    <row r="1456" spans="2:4" ht="14" thickBot="1" x14ac:dyDescent="0.2">
      <c r="B1456" s="251">
        <v>44418</v>
      </c>
      <c r="C1456" s="451">
        <v>54554.66</v>
      </c>
      <c r="D1456" s="261">
        <f t="shared" si="22"/>
        <v>-2.7827137040172811E-3</v>
      </c>
    </row>
    <row r="1457" spans="2:4" ht="14" thickBot="1" x14ac:dyDescent="0.2">
      <c r="B1457" s="251">
        <v>44419</v>
      </c>
      <c r="C1457" s="451">
        <v>54525.93</v>
      </c>
      <c r="D1457" s="261">
        <f t="shared" si="22"/>
        <v>5.2690527240906171E-4</v>
      </c>
    </row>
    <row r="1458" spans="2:4" ht="14" thickBot="1" x14ac:dyDescent="0.2">
      <c r="B1458" s="251">
        <v>44420</v>
      </c>
      <c r="C1458" s="451">
        <v>54843.98</v>
      </c>
      <c r="D1458" s="261">
        <f t="shared" si="22"/>
        <v>-5.7991779590029768E-3</v>
      </c>
    </row>
    <row r="1459" spans="2:4" ht="14" thickBot="1" x14ac:dyDescent="0.2">
      <c r="B1459" s="251">
        <v>44421</v>
      </c>
      <c r="C1459" s="451">
        <v>55437.29</v>
      </c>
      <c r="D1459" s="261">
        <f t="shared" si="22"/>
        <v>-1.0702362976256596E-2</v>
      </c>
    </row>
    <row r="1460" spans="2:4" ht="14" thickBot="1" x14ac:dyDescent="0.2">
      <c r="B1460" s="251">
        <v>44424</v>
      </c>
      <c r="C1460" s="451">
        <v>55582.58</v>
      </c>
      <c r="D1460" s="261">
        <f t="shared" si="22"/>
        <v>-2.6139484709057914E-3</v>
      </c>
    </row>
    <row r="1461" spans="2:4" ht="14" thickBot="1" x14ac:dyDescent="0.2">
      <c r="B1461" s="251">
        <v>44425</v>
      </c>
      <c r="C1461" s="451">
        <v>55792.27</v>
      </c>
      <c r="D1461" s="261">
        <f t="shared" si="22"/>
        <v>-3.7584059583880558E-3</v>
      </c>
    </row>
    <row r="1462" spans="2:4" ht="14" thickBot="1" x14ac:dyDescent="0.2">
      <c r="B1462" s="251">
        <v>44426</v>
      </c>
      <c r="C1462" s="451">
        <v>55629.49</v>
      </c>
      <c r="D1462" s="261">
        <f t="shared" si="22"/>
        <v>2.926145826610993E-3</v>
      </c>
    </row>
    <row r="1463" spans="2:4" ht="14" thickBot="1" x14ac:dyDescent="0.2">
      <c r="B1463" s="251">
        <v>44428</v>
      </c>
      <c r="C1463" s="451">
        <v>55329.32</v>
      </c>
      <c r="D1463" s="261">
        <f t="shared" si="22"/>
        <v>5.425152523110599E-3</v>
      </c>
    </row>
    <row r="1464" spans="2:4" ht="14" thickBot="1" x14ac:dyDescent="0.2">
      <c r="B1464" s="251">
        <v>44431</v>
      </c>
      <c r="C1464" s="451">
        <v>55555.79</v>
      </c>
      <c r="D1464" s="261">
        <f t="shared" si="22"/>
        <v>-4.0764427974113726E-3</v>
      </c>
    </row>
    <row r="1465" spans="2:4" ht="14" thickBot="1" x14ac:dyDescent="0.2">
      <c r="B1465" s="251">
        <v>44432</v>
      </c>
      <c r="C1465" s="451">
        <v>55958.98</v>
      </c>
      <c r="D1465" s="261">
        <f t="shared" si="22"/>
        <v>-7.2050991637089279E-3</v>
      </c>
    </row>
    <row r="1466" spans="2:4" ht="14" thickBot="1" x14ac:dyDescent="0.2">
      <c r="B1466" s="251">
        <v>44433</v>
      </c>
      <c r="C1466" s="451">
        <v>55944.21</v>
      </c>
      <c r="D1466" s="261">
        <f t="shared" si="22"/>
        <v>2.6401302297429652E-4</v>
      </c>
    </row>
    <row r="1467" spans="2:4" ht="14" thickBot="1" x14ac:dyDescent="0.2">
      <c r="B1467" s="251">
        <v>44434</v>
      </c>
      <c r="C1467" s="451">
        <v>55949.1</v>
      </c>
      <c r="D1467" s="261">
        <f t="shared" si="22"/>
        <v>-8.7400869719034269E-5</v>
      </c>
    </row>
    <row r="1468" spans="2:4" ht="14" thickBot="1" x14ac:dyDescent="0.2">
      <c r="B1468" s="251">
        <v>44435</v>
      </c>
      <c r="C1468" s="451">
        <v>56124.72</v>
      </c>
      <c r="D1468" s="261">
        <f t="shared" si="22"/>
        <v>-3.1291024703553605E-3</v>
      </c>
    </row>
    <row r="1469" spans="2:4" ht="14" thickBot="1" x14ac:dyDescent="0.2">
      <c r="B1469" s="251">
        <v>44438</v>
      </c>
      <c r="C1469" s="451">
        <v>56889.760000000002</v>
      </c>
      <c r="D1469" s="261">
        <f t="shared" si="22"/>
        <v>-1.3447762831131693E-2</v>
      </c>
    </row>
    <row r="1470" spans="2:4" ht="14" thickBot="1" x14ac:dyDescent="0.2">
      <c r="B1470" s="251">
        <v>44439</v>
      </c>
      <c r="C1470" s="451">
        <v>57552.39</v>
      </c>
      <c r="D1470" s="261">
        <f t="shared" si="22"/>
        <v>-1.1513509690909363E-2</v>
      </c>
    </row>
    <row r="1471" spans="2:4" ht="14" thickBot="1" x14ac:dyDescent="0.2">
      <c r="B1471" s="251">
        <v>44440</v>
      </c>
      <c r="C1471" s="451">
        <v>57338.21</v>
      </c>
      <c r="D1471" s="261">
        <f t="shared" si="22"/>
        <v>3.7353799499495466E-3</v>
      </c>
    </row>
    <row r="1472" spans="2:4" ht="14" thickBot="1" x14ac:dyDescent="0.2">
      <c r="B1472" s="251">
        <v>44441</v>
      </c>
      <c r="C1472" s="451">
        <v>57852.54</v>
      </c>
      <c r="D1472" s="261">
        <f t="shared" si="22"/>
        <v>-8.890361598643759E-3</v>
      </c>
    </row>
    <row r="1473" spans="2:4" ht="14" thickBot="1" x14ac:dyDescent="0.2">
      <c r="B1473" s="251">
        <v>44442</v>
      </c>
      <c r="C1473" s="451">
        <v>58129.95</v>
      </c>
      <c r="D1473" s="261">
        <f t="shared" si="22"/>
        <v>-4.772238751280522E-3</v>
      </c>
    </row>
    <row r="1474" spans="2:4" ht="14" thickBot="1" x14ac:dyDescent="0.2">
      <c r="B1474" s="251">
        <v>44445</v>
      </c>
      <c r="C1474" s="451">
        <v>58296.91</v>
      </c>
      <c r="D1474" s="261">
        <f t="shared" si="22"/>
        <v>-2.8639596849988624E-3</v>
      </c>
    </row>
    <row r="1475" spans="2:4" ht="14" thickBot="1" x14ac:dyDescent="0.2">
      <c r="B1475" s="251">
        <v>44446</v>
      </c>
      <c r="C1475" s="451">
        <v>58279.48</v>
      </c>
      <c r="D1475" s="261">
        <f t="shared" si="22"/>
        <v>2.9907610706203513E-4</v>
      </c>
    </row>
    <row r="1476" spans="2:4" ht="14" thickBot="1" x14ac:dyDescent="0.2">
      <c r="B1476" s="251">
        <v>44447</v>
      </c>
      <c r="C1476" s="451">
        <v>58250.26</v>
      </c>
      <c r="D1476" s="261">
        <f t="shared" si="22"/>
        <v>5.0162866225833547E-4</v>
      </c>
    </row>
    <row r="1477" spans="2:4" ht="14" thickBot="1" x14ac:dyDescent="0.2">
      <c r="B1477" s="251">
        <v>44448</v>
      </c>
      <c r="C1477" s="451">
        <v>58305.07</v>
      </c>
      <c r="D1477" s="261">
        <f t="shared" si="22"/>
        <v>-9.400554703047348E-4</v>
      </c>
    </row>
    <row r="1478" spans="2:4" ht="14" thickBot="1" x14ac:dyDescent="0.2">
      <c r="B1478" s="251">
        <v>44452</v>
      </c>
      <c r="C1478" s="451">
        <v>58177.760000000002</v>
      </c>
      <c r="D1478" s="261">
        <f t="shared" si="22"/>
        <v>2.1882932584547099E-3</v>
      </c>
    </row>
    <row r="1479" spans="2:4" ht="14" thickBot="1" x14ac:dyDescent="0.2">
      <c r="B1479" s="251">
        <v>44453</v>
      </c>
      <c r="C1479" s="451">
        <v>58247.09</v>
      </c>
      <c r="D1479" s="261">
        <f t="shared" si="22"/>
        <v>-1.1902740548925816E-3</v>
      </c>
    </row>
    <row r="1480" spans="2:4" ht="14" thickBot="1" x14ac:dyDescent="0.2">
      <c r="B1480" s="251">
        <v>44454</v>
      </c>
      <c r="C1480" s="451">
        <v>58723.199999999997</v>
      </c>
      <c r="D1480" s="261">
        <f t="shared" si="22"/>
        <v>-8.1076984905454896E-3</v>
      </c>
    </row>
    <row r="1481" spans="2:4" ht="14" thickBot="1" x14ac:dyDescent="0.2">
      <c r="B1481" s="251">
        <v>44455</v>
      </c>
      <c r="C1481" s="451">
        <v>59141.16</v>
      </c>
      <c r="D1481" s="261">
        <f t="shared" si="22"/>
        <v>-7.0671593184848946E-3</v>
      </c>
    </row>
    <row r="1482" spans="2:4" ht="14" thickBot="1" x14ac:dyDescent="0.2">
      <c r="B1482" s="251">
        <v>44456</v>
      </c>
      <c r="C1482" s="451">
        <v>59015.89</v>
      </c>
      <c r="D1482" s="261">
        <f t="shared" ref="D1482:D1545" si="23">C1481/C1482-1</f>
        <v>2.122648662927995E-3</v>
      </c>
    </row>
    <row r="1483" spans="2:4" ht="14" thickBot="1" x14ac:dyDescent="0.2">
      <c r="B1483" s="251">
        <v>44459</v>
      </c>
      <c r="C1483" s="451">
        <v>58490.93</v>
      </c>
      <c r="D1483" s="261">
        <f t="shared" si="23"/>
        <v>8.9750667325685374E-3</v>
      </c>
    </row>
    <row r="1484" spans="2:4" ht="14" thickBot="1" x14ac:dyDescent="0.2">
      <c r="B1484" s="251">
        <v>44460</v>
      </c>
      <c r="C1484" s="451">
        <v>59005.27</v>
      </c>
      <c r="D1484" s="261">
        <f t="shared" si="23"/>
        <v>-8.7168485120057149E-3</v>
      </c>
    </row>
    <row r="1485" spans="2:4" ht="14" thickBot="1" x14ac:dyDescent="0.2">
      <c r="B1485" s="251">
        <v>44461</v>
      </c>
      <c r="C1485" s="451">
        <v>58927.33</v>
      </c>
      <c r="D1485" s="261">
        <f t="shared" si="23"/>
        <v>1.3226460455615374E-3</v>
      </c>
    </row>
    <row r="1486" spans="2:4" ht="14" thickBot="1" x14ac:dyDescent="0.2">
      <c r="B1486" s="251">
        <v>44462</v>
      </c>
      <c r="C1486" s="451">
        <v>59885.36</v>
      </c>
      <c r="D1486" s="261">
        <f t="shared" si="23"/>
        <v>-1.5997733001855474E-2</v>
      </c>
    </row>
    <row r="1487" spans="2:4" ht="14" thickBot="1" x14ac:dyDescent="0.2">
      <c r="B1487" s="251">
        <v>44463</v>
      </c>
      <c r="C1487" s="451">
        <v>60048.47</v>
      </c>
      <c r="D1487" s="261">
        <f t="shared" si="23"/>
        <v>-2.7163056777300687E-3</v>
      </c>
    </row>
    <row r="1488" spans="2:4" ht="14" thickBot="1" x14ac:dyDescent="0.2">
      <c r="B1488" s="251">
        <v>44466</v>
      </c>
      <c r="C1488" s="451">
        <v>60077.88</v>
      </c>
      <c r="D1488" s="261">
        <f t="shared" si="23"/>
        <v>-4.895312550975417E-4</v>
      </c>
    </row>
    <row r="1489" spans="2:4" ht="14" thickBot="1" x14ac:dyDescent="0.2">
      <c r="B1489" s="251">
        <v>44467</v>
      </c>
      <c r="C1489" s="451">
        <v>59667.6</v>
      </c>
      <c r="D1489" s="261">
        <f t="shared" si="23"/>
        <v>6.876093558312979E-3</v>
      </c>
    </row>
    <row r="1490" spans="2:4" ht="14" thickBot="1" x14ac:dyDescent="0.2">
      <c r="B1490" s="251">
        <v>44468</v>
      </c>
      <c r="C1490" s="451">
        <v>59413.27</v>
      </c>
      <c r="D1490" s="261">
        <f t="shared" si="23"/>
        <v>4.2806935218344666E-3</v>
      </c>
    </row>
    <row r="1491" spans="2:4" ht="14" thickBot="1" x14ac:dyDescent="0.2">
      <c r="B1491" s="251">
        <v>44469</v>
      </c>
      <c r="C1491" s="451">
        <v>59126.36</v>
      </c>
      <c r="D1491" s="261">
        <f t="shared" si="23"/>
        <v>4.8524888053314008E-3</v>
      </c>
    </row>
    <row r="1492" spans="2:4" ht="14" thickBot="1" x14ac:dyDescent="0.2">
      <c r="B1492" s="251">
        <v>44470</v>
      </c>
      <c r="C1492" s="451">
        <v>58765.58</v>
      </c>
      <c r="D1492" s="261">
        <f t="shared" si="23"/>
        <v>6.1393080779599263E-3</v>
      </c>
    </row>
    <row r="1493" spans="2:4" ht="14" thickBot="1" x14ac:dyDescent="0.2">
      <c r="B1493" s="251">
        <v>44473</v>
      </c>
      <c r="C1493" s="451">
        <v>59299.32</v>
      </c>
      <c r="D1493" s="261">
        <f t="shared" si="23"/>
        <v>-9.0007777492220331E-3</v>
      </c>
    </row>
    <row r="1494" spans="2:4" ht="14" thickBot="1" x14ac:dyDescent="0.2">
      <c r="B1494" s="251">
        <v>44474</v>
      </c>
      <c r="C1494" s="451">
        <v>59744.88</v>
      </c>
      <c r="D1494" s="261">
        <f t="shared" si="23"/>
        <v>-7.4577101837010051E-3</v>
      </c>
    </row>
    <row r="1495" spans="2:4" ht="14" thickBot="1" x14ac:dyDescent="0.2">
      <c r="B1495" s="251">
        <v>44475</v>
      </c>
      <c r="C1495" s="451">
        <v>59189.73</v>
      </c>
      <c r="D1495" s="261">
        <f t="shared" si="23"/>
        <v>9.3791608780779967E-3</v>
      </c>
    </row>
    <row r="1496" spans="2:4" ht="14" thickBot="1" x14ac:dyDescent="0.2">
      <c r="B1496" s="251">
        <v>44476</v>
      </c>
      <c r="C1496" s="451">
        <v>59677.83</v>
      </c>
      <c r="D1496" s="261">
        <f t="shared" si="23"/>
        <v>-8.1789166931840462E-3</v>
      </c>
    </row>
    <row r="1497" spans="2:4" ht="14" thickBot="1" x14ac:dyDescent="0.2">
      <c r="B1497" s="251">
        <v>44477</v>
      </c>
      <c r="C1497" s="451">
        <v>60059.06</v>
      </c>
      <c r="D1497" s="261">
        <f t="shared" si="23"/>
        <v>-6.3475851936409811E-3</v>
      </c>
    </row>
    <row r="1498" spans="2:4" ht="14" thickBot="1" x14ac:dyDescent="0.2">
      <c r="B1498" s="251">
        <v>44480</v>
      </c>
      <c r="C1498" s="451">
        <v>60135.78</v>
      </c>
      <c r="D1498" s="261">
        <f t="shared" si="23"/>
        <v>-1.2757795774828162E-3</v>
      </c>
    </row>
    <row r="1499" spans="2:4" ht="14" thickBot="1" x14ac:dyDescent="0.2">
      <c r="B1499" s="251">
        <v>44481</v>
      </c>
      <c r="C1499" s="451">
        <v>60284.31</v>
      </c>
      <c r="D1499" s="261">
        <f t="shared" si="23"/>
        <v>-2.4638251644581999E-3</v>
      </c>
    </row>
    <row r="1500" spans="2:4" ht="14" thickBot="1" x14ac:dyDescent="0.2">
      <c r="B1500" s="251">
        <v>44482</v>
      </c>
      <c r="C1500" s="451">
        <v>60737.05</v>
      </c>
      <c r="D1500" s="261">
        <f t="shared" si="23"/>
        <v>-7.4540992688977292E-3</v>
      </c>
    </row>
    <row r="1501" spans="2:4" ht="14" thickBot="1" x14ac:dyDescent="0.2">
      <c r="B1501" s="251">
        <v>44483</v>
      </c>
      <c r="C1501" s="451">
        <v>61305.95</v>
      </c>
      <c r="D1501" s="261">
        <f t="shared" si="23"/>
        <v>-9.2796865557094321E-3</v>
      </c>
    </row>
    <row r="1502" spans="2:4" ht="14" thickBot="1" x14ac:dyDescent="0.2">
      <c r="B1502" s="251">
        <v>44487</v>
      </c>
      <c r="C1502" s="451">
        <v>61765.59</v>
      </c>
      <c r="D1502" s="261">
        <f t="shared" si="23"/>
        <v>-7.4416839538001822E-3</v>
      </c>
    </row>
    <row r="1503" spans="2:4" ht="14" thickBot="1" x14ac:dyDescent="0.2">
      <c r="B1503" s="251">
        <v>44488</v>
      </c>
      <c r="C1503" s="451">
        <v>61716.05</v>
      </c>
      <c r="D1503" s="261">
        <f t="shared" si="23"/>
        <v>8.0270853367947481E-4</v>
      </c>
    </row>
    <row r="1504" spans="2:4" ht="14" thickBot="1" x14ac:dyDescent="0.2">
      <c r="B1504" s="251">
        <v>44489</v>
      </c>
      <c r="C1504" s="451">
        <v>61259.96</v>
      </c>
      <c r="D1504" s="261">
        <f t="shared" si="23"/>
        <v>7.4451566732984809E-3</v>
      </c>
    </row>
    <row r="1505" spans="2:4" ht="14" thickBot="1" x14ac:dyDescent="0.2">
      <c r="B1505" s="251">
        <v>44490</v>
      </c>
      <c r="C1505" s="451">
        <v>60923.5</v>
      </c>
      <c r="D1505" s="261">
        <f t="shared" si="23"/>
        <v>5.5226636683709529E-3</v>
      </c>
    </row>
    <row r="1506" spans="2:4" ht="14" thickBot="1" x14ac:dyDescent="0.2">
      <c r="B1506" s="251">
        <v>44491</v>
      </c>
      <c r="C1506" s="451">
        <v>60821.62</v>
      </c>
      <c r="D1506" s="261">
        <f t="shared" si="23"/>
        <v>1.6750622558228123E-3</v>
      </c>
    </row>
    <row r="1507" spans="2:4" ht="14" thickBot="1" x14ac:dyDescent="0.2">
      <c r="B1507" s="251">
        <v>44494</v>
      </c>
      <c r="C1507" s="451">
        <v>60967.05</v>
      </c>
      <c r="D1507" s="261">
        <f t="shared" si="23"/>
        <v>-2.385386860607519E-3</v>
      </c>
    </row>
    <row r="1508" spans="2:4" ht="14" thickBot="1" x14ac:dyDescent="0.2">
      <c r="B1508" s="251">
        <v>44495</v>
      </c>
      <c r="C1508" s="451">
        <v>61350.26</v>
      </c>
      <c r="D1508" s="261">
        <f t="shared" si="23"/>
        <v>-6.246265297001119E-3</v>
      </c>
    </row>
    <row r="1509" spans="2:4" ht="14" thickBot="1" x14ac:dyDescent="0.2">
      <c r="B1509" s="251">
        <v>44496</v>
      </c>
      <c r="C1509" s="451">
        <v>61143.33</v>
      </c>
      <c r="D1509" s="261">
        <f t="shared" si="23"/>
        <v>3.3843429855717755E-3</v>
      </c>
    </row>
    <row r="1510" spans="2:4" ht="14" thickBot="1" x14ac:dyDescent="0.2">
      <c r="B1510" s="251">
        <v>44497</v>
      </c>
      <c r="C1510" s="451">
        <v>59984.7</v>
      </c>
      <c r="D1510" s="261">
        <f t="shared" si="23"/>
        <v>1.9315425433485522E-2</v>
      </c>
    </row>
    <row r="1511" spans="2:4" ht="14" thickBot="1" x14ac:dyDescent="0.2">
      <c r="B1511" s="251">
        <v>44498</v>
      </c>
      <c r="C1511" s="451">
        <v>59306.93</v>
      </c>
      <c r="D1511" s="261">
        <f t="shared" si="23"/>
        <v>1.1428175425704845E-2</v>
      </c>
    </row>
    <row r="1512" spans="2:4" ht="14" thickBot="1" x14ac:dyDescent="0.2">
      <c r="B1512" s="251">
        <v>44501</v>
      </c>
      <c r="C1512" s="451">
        <v>60138.46</v>
      </c>
      <c r="D1512" s="261">
        <f t="shared" si="23"/>
        <v>-1.3826925398488732E-2</v>
      </c>
    </row>
    <row r="1513" spans="2:4" ht="14" thickBot="1" x14ac:dyDescent="0.2">
      <c r="B1513" s="251">
        <v>44502</v>
      </c>
      <c r="C1513" s="451">
        <v>60029.06</v>
      </c>
      <c r="D1513" s="261">
        <f t="shared" si="23"/>
        <v>1.8224506597304124E-3</v>
      </c>
    </row>
    <row r="1514" spans="2:4" ht="14" thickBot="1" x14ac:dyDescent="0.2">
      <c r="B1514" s="251">
        <v>44503</v>
      </c>
      <c r="C1514" s="451">
        <v>59771.92</v>
      </c>
      <c r="D1514" s="261">
        <f t="shared" si="23"/>
        <v>4.3020200789936069E-3</v>
      </c>
    </row>
    <row r="1515" spans="2:4" ht="14" thickBot="1" x14ac:dyDescent="0.2">
      <c r="B1515" s="251">
        <v>44504</v>
      </c>
      <c r="C1515" s="451">
        <v>60067.62</v>
      </c>
      <c r="D1515" s="261">
        <f t="shared" si="23"/>
        <v>-4.9227853542391786E-3</v>
      </c>
    </row>
    <row r="1516" spans="2:4" ht="14" thickBot="1" x14ac:dyDescent="0.2">
      <c r="B1516" s="251">
        <v>44508</v>
      </c>
      <c r="C1516" s="451">
        <v>60545.61</v>
      </c>
      <c r="D1516" s="261">
        <f t="shared" si="23"/>
        <v>-7.8947094595297473E-3</v>
      </c>
    </row>
    <row r="1517" spans="2:4" ht="14" thickBot="1" x14ac:dyDescent="0.2">
      <c r="B1517" s="251">
        <v>44509</v>
      </c>
      <c r="C1517" s="451">
        <v>60433.45</v>
      </c>
      <c r="D1517" s="261">
        <f t="shared" si="23"/>
        <v>1.8559258159183134E-3</v>
      </c>
    </row>
    <row r="1518" spans="2:4" ht="14" thickBot="1" x14ac:dyDescent="0.2">
      <c r="B1518" s="251">
        <v>44510</v>
      </c>
      <c r="C1518" s="451">
        <v>60352.82</v>
      </c>
      <c r="D1518" s="261">
        <f t="shared" si="23"/>
        <v>1.3359773412409126E-3</v>
      </c>
    </row>
    <row r="1519" spans="2:4" ht="14" thickBot="1" x14ac:dyDescent="0.2">
      <c r="B1519" s="251">
        <v>44511</v>
      </c>
      <c r="C1519" s="451">
        <v>59919.69</v>
      </c>
      <c r="D1519" s="261">
        <f t="shared" si="23"/>
        <v>7.2285086922179165E-3</v>
      </c>
    </row>
    <row r="1520" spans="2:4" ht="14" thickBot="1" x14ac:dyDescent="0.2">
      <c r="B1520" s="251">
        <v>44512</v>
      </c>
      <c r="C1520" s="451">
        <v>60686.69</v>
      </c>
      <c r="D1520" s="261">
        <f t="shared" si="23"/>
        <v>-1.2638685682148765E-2</v>
      </c>
    </row>
    <row r="1521" spans="2:4" ht="14" thickBot="1" x14ac:dyDescent="0.2">
      <c r="B1521" s="251">
        <v>44515</v>
      </c>
      <c r="C1521" s="451">
        <v>60718.71</v>
      </c>
      <c r="D1521" s="261">
        <f t="shared" si="23"/>
        <v>-5.2734980700341882E-4</v>
      </c>
    </row>
    <row r="1522" spans="2:4" ht="14" thickBot="1" x14ac:dyDescent="0.2">
      <c r="B1522" s="251">
        <v>44516</v>
      </c>
      <c r="C1522" s="451">
        <v>60322.37</v>
      </c>
      <c r="D1522" s="261">
        <f t="shared" si="23"/>
        <v>6.570365189563887E-3</v>
      </c>
    </row>
    <row r="1523" spans="2:4" ht="14" thickBot="1" x14ac:dyDescent="0.2">
      <c r="B1523" s="251">
        <v>44517</v>
      </c>
      <c r="C1523" s="451">
        <v>60008.33</v>
      </c>
      <c r="D1523" s="261">
        <f t="shared" si="23"/>
        <v>5.2332734472031461E-3</v>
      </c>
    </row>
    <row r="1524" spans="2:4" ht="14" thickBot="1" x14ac:dyDescent="0.2">
      <c r="B1524" s="251">
        <v>44518</v>
      </c>
      <c r="C1524" s="451">
        <v>59636.01</v>
      </c>
      <c r="D1524" s="261">
        <f t="shared" si="23"/>
        <v>6.2432077531680008E-3</v>
      </c>
    </row>
    <row r="1525" spans="2:4" ht="14" thickBot="1" x14ac:dyDescent="0.2">
      <c r="B1525" s="251">
        <v>44522</v>
      </c>
      <c r="C1525" s="451">
        <v>58465.89</v>
      </c>
      <c r="D1525" s="261">
        <f t="shared" si="23"/>
        <v>2.001372082080688E-2</v>
      </c>
    </row>
    <row r="1526" spans="2:4" ht="14" thickBot="1" x14ac:dyDescent="0.2">
      <c r="B1526" s="251">
        <v>44523</v>
      </c>
      <c r="C1526" s="451">
        <v>58664.33</v>
      </c>
      <c r="D1526" s="261">
        <f t="shared" si="23"/>
        <v>-3.3826347288037351E-3</v>
      </c>
    </row>
    <row r="1527" spans="2:4" ht="14" thickBot="1" x14ac:dyDescent="0.2">
      <c r="B1527" s="251">
        <v>44524</v>
      </c>
      <c r="C1527" s="451">
        <v>58340.99</v>
      </c>
      <c r="D1527" s="261">
        <f t="shared" si="23"/>
        <v>5.5422439694630121E-3</v>
      </c>
    </row>
    <row r="1528" spans="2:4" ht="14" thickBot="1" x14ac:dyDescent="0.2">
      <c r="B1528" s="251">
        <v>44525</v>
      </c>
      <c r="C1528" s="451">
        <v>58795.09</v>
      </c>
      <c r="D1528" s="261">
        <f t="shared" si="23"/>
        <v>-7.7234340486594943E-3</v>
      </c>
    </row>
    <row r="1529" spans="2:4" ht="14" thickBot="1" x14ac:dyDescent="0.2">
      <c r="B1529" s="251">
        <v>44526</v>
      </c>
      <c r="C1529" s="451">
        <v>57107.15</v>
      </c>
      <c r="D1529" s="261">
        <f t="shared" si="23"/>
        <v>2.955741969263026E-2</v>
      </c>
    </row>
    <row r="1530" spans="2:4" ht="14" thickBot="1" x14ac:dyDescent="0.2">
      <c r="B1530" s="251">
        <v>44529</v>
      </c>
      <c r="C1530" s="451">
        <v>57260.58</v>
      </c>
      <c r="D1530" s="261">
        <f t="shared" si="23"/>
        <v>-2.6795048181489367E-3</v>
      </c>
    </row>
    <row r="1531" spans="2:4" ht="14" thickBot="1" x14ac:dyDescent="0.2">
      <c r="B1531" s="251">
        <v>44530</v>
      </c>
      <c r="C1531" s="451">
        <v>57064.87</v>
      </c>
      <c r="D1531" s="261">
        <f t="shared" si="23"/>
        <v>3.4296056400373587E-3</v>
      </c>
    </row>
    <row r="1532" spans="2:4" ht="14" thickBot="1" x14ac:dyDescent="0.2">
      <c r="B1532" s="251">
        <v>44531</v>
      </c>
      <c r="C1532" s="451">
        <v>57684.79</v>
      </c>
      <c r="D1532" s="261">
        <f t="shared" si="23"/>
        <v>-1.0746680364095984E-2</v>
      </c>
    </row>
    <row r="1533" spans="2:4" ht="14" thickBot="1" x14ac:dyDescent="0.2">
      <c r="B1533" s="251">
        <v>44532</v>
      </c>
      <c r="C1533" s="451">
        <v>58461.29</v>
      </c>
      <c r="D1533" s="261">
        <f t="shared" si="23"/>
        <v>-1.328229329185171E-2</v>
      </c>
    </row>
    <row r="1534" spans="2:4" ht="14" thickBot="1" x14ac:dyDescent="0.2">
      <c r="B1534" s="251">
        <v>44533</v>
      </c>
      <c r="C1534" s="451">
        <v>57696.46</v>
      </c>
      <c r="D1534" s="261">
        <f t="shared" si="23"/>
        <v>1.3256099247683562E-2</v>
      </c>
    </row>
    <row r="1535" spans="2:4" ht="14" thickBot="1" x14ac:dyDescent="0.2">
      <c r="B1535" s="251">
        <v>44536</v>
      </c>
      <c r="C1535" s="451">
        <v>56747.14</v>
      </c>
      <c r="D1535" s="261">
        <f t="shared" si="23"/>
        <v>1.672894880693554E-2</v>
      </c>
    </row>
    <row r="1536" spans="2:4" ht="14" thickBot="1" x14ac:dyDescent="0.2">
      <c r="B1536" s="251">
        <v>44537</v>
      </c>
      <c r="C1536" s="451">
        <v>57633.65</v>
      </c>
      <c r="D1536" s="261">
        <f t="shared" si="23"/>
        <v>-1.5381812534864703E-2</v>
      </c>
    </row>
    <row r="1537" spans="2:4" ht="14" thickBot="1" x14ac:dyDescent="0.2">
      <c r="B1537" s="251">
        <v>44538</v>
      </c>
      <c r="C1537" s="451">
        <v>58649.68</v>
      </c>
      <c r="D1537" s="261">
        <f t="shared" si="23"/>
        <v>-1.7323709183068026E-2</v>
      </c>
    </row>
    <row r="1538" spans="2:4" ht="14" thickBot="1" x14ac:dyDescent="0.2">
      <c r="B1538" s="251">
        <v>44539</v>
      </c>
      <c r="C1538" s="451">
        <v>58807.13</v>
      </c>
      <c r="D1538" s="261">
        <f t="shared" si="23"/>
        <v>-2.677396431351009E-3</v>
      </c>
    </row>
    <row r="1539" spans="2:4" ht="14" thickBot="1" x14ac:dyDescent="0.2">
      <c r="B1539" s="251">
        <v>44540</v>
      </c>
      <c r="C1539" s="451">
        <v>58786.67</v>
      </c>
      <c r="D1539" s="261">
        <f t="shared" si="23"/>
        <v>3.4803808414385351E-4</v>
      </c>
    </row>
    <row r="1540" spans="2:4" ht="14" thickBot="1" x14ac:dyDescent="0.2">
      <c r="B1540" s="251">
        <v>44543</v>
      </c>
      <c r="C1540" s="451">
        <v>58283.42</v>
      </c>
      <c r="D1540" s="261">
        <f t="shared" si="23"/>
        <v>8.6345310553155308E-3</v>
      </c>
    </row>
    <row r="1541" spans="2:4" ht="14" thickBot="1" x14ac:dyDescent="0.2">
      <c r="B1541" s="251">
        <v>44544</v>
      </c>
      <c r="C1541" s="451">
        <v>58117.09</v>
      </c>
      <c r="D1541" s="261">
        <f t="shared" si="23"/>
        <v>2.8619808734402508E-3</v>
      </c>
    </row>
    <row r="1542" spans="2:4" ht="14" thickBot="1" x14ac:dyDescent="0.2">
      <c r="B1542" s="251">
        <v>44545</v>
      </c>
      <c r="C1542" s="451">
        <v>57788.03</v>
      </c>
      <c r="D1542" s="261">
        <f t="shared" si="23"/>
        <v>5.6942588283421802E-3</v>
      </c>
    </row>
    <row r="1543" spans="2:4" ht="14" thickBot="1" x14ac:dyDescent="0.2">
      <c r="B1543" s="251">
        <v>44546</v>
      </c>
      <c r="C1543" s="451">
        <v>57901.14</v>
      </c>
      <c r="D1543" s="261">
        <f t="shared" si="23"/>
        <v>-1.9535021244831974E-3</v>
      </c>
    </row>
    <row r="1544" spans="2:4" ht="14" thickBot="1" x14ac:dyDescent="0.2">
      <c r="B1544" s="251">
        <v>44547</v>
      </c>
      <c r="C1544" s="451">
        <v>57011.74</v>
      </c>
      <c r="D1544" s="261">
        <f t="shared" si="23"/>
        <v>1.560029565840293E-2</v>
      </c>
    </row>
    <row r="1545" spans="2:4" ht="14" thickBot="1" x14ac:dyDescent="0.2">
      <c r="B1545" s="251">
        <v>44550</v>
      </c>
      <c r="C1545" s="451">
        <v>55822.01</v>
      </c>
      <c r="D1545" s="261">
        <f t="shared" si="23"/>
        <v>2.1312919402221464E-2</v>
      </c>
    </row>
    <row r="1546" spans="2:4" ht="14" thickBot="1" x14ac:dyDescent="0.2">
      <c r="B1546" s="251">
        <v>44551</v>
      </c>
      <c r="C1546" s="451">
        <v>56319.01</v>
      </c>
      <c r="D1546" s="261">
        <f t="shared" ref="D1546:D1609" si="24">C1545/C1546-1</f>
        <v>-8.8247289858255362E-3</v>
      </c>
    </row>
    <row r="1547" spans="2:4" ht="14" thickBot="1" x14ac:dyDescent="0.2">
      <c r="B1547" s="251">
        <v>44552</v>
      </c>
      <c r="C1547" s="451">
        <v>56930.559999999998</v>
      </c>
      <c r="D1547" s="261">
        <f t="shared" si="24"/>
        <v>-1.0742033803988527E-2</v>
      </c>
    </row>
    <row r="1548" spans="2:4" ht="14" thickBot="1" x14ac:dyDescent="0.2">
      <c r="B1548" s="251">
        <v>44553</v>
      </c>
      <c r="C1548" s="451">
        <v>57315.28</v>
      </c>
      <c r="D1548" s="261">
        <f t="shared" si="24"/>
        <v>-6.7123461666767081E-3</v>
      </c>
    </row>
    <row r="1549" spans="2:4" ht="14" thickBot="1" x14ac:dyDescent="0.2">
      <c r="B1549" s="251">
        <v>44554</v>
      </c>
      <c r="C1549" s="451">
        <v>57124.31</v>
      </c>
      <c r="D1549" s="261">
        <f t="shared" si="24"/>
        <v>3.3430600737234251E-3</v>
      </c>
    </row>
    <row r="1550" spans="2:4" ht="14" thickBot="1" x14ac:dyDescent="0.2">
      <c r="B1550" s="251">
        <v>44557</v>
      </c>
      <c r="C1550" s="451">
        <v>57420.24</v>
      </c>
      <c r="D1550" s="261">
        <f t="shared" si="24"/>
        <v>-5.1537576297138177E-3</v>
      </c>
    </row>
    <row r="1551" spans="2:4" ht="14" thickBot="1" x14ac:dyDescent="0.2">
      <c r="B1551" s="251">
        <v>44558</v>
      </c>
      <c r="C1551" s="451">
        <v>57897.48</v>
      </c>
      <c r="D1551" s="261">
        <f t="shared" si="24"/>
        <v>-8.2428458026153617E-3</v>
      </c>
    </row>
    <row r="1552" spans="2:4" ht="14" thickBot="1" x14ac:dyDescent="0.2">
      <c r="B1552" s="251">
        <v>44559</v>
      </c>
      <c r="C1552" s="451">
        <v>57806.49</v>
      </c>
      <c r="D1552" s="261">
        <f t="shared" si="24"/>
        <v>1.574044713664513E-3</v>
      </c>
    </row>
    <row r="1553" spans="2:4" ht="14" thickBot="1" x14ac:dyDescent="0.2">
      <c r="B1553" s="251">
        <v>44560</v>
      </c>
      <c r="C1553" s="451">
        <v>57794.32</v>
      </c>
      <c r="D1553" s="261">
        <f t="shared" si="24"/>
        <v>2.1057432633520001E-4</v>
      </c>
    </row>
    <row r="1554" spans="2:4" ht="14" thickBot="1" x14ac:dyDescent="0.2">
      <c r="B1554" s="251">
        <v>44561</v>
      </c>
      <c r="C1554" s="451">
        <v>58253.82</v>
      </c>
      <c r="D1554" s="261">
        <f t="shared" si="24"/>
        <v>-7.8878947337702732E-3</v>
      </c>
    </row>
    <row r="1555" spans="2:4" ht="14" thickBot="1" x14ac:dyDescent="0.2">
      <c r="B1555" s="251">
        <v>44564</v>
      </c>
      <c r="C1555" s="451">
        <v>59183.22</v>
      </c>
      <c r="D1555" s="261">
        <f t="shared" si="24"/>
        <v>-1.570377549582469E-2</v>
      </c>
    </row>
    <row r="1556" spans="2:4" ht="14" thickBot="1" x14ac:dyDescent="0.2">
      <c r="B1556" s="251">
        <v>44565</v>
      </c>
      <c r="C1556" s="451">
        <v>59855.93</v>
      </c>
      <c r="D1556" s="261">
        <f t="shared" si="24"/>
        <v>-1.1238819612359174E-2</v>
      </c>
    </row>
    <row r="1557" spans="2:4" ht="14" thickBot="1" x14ac:dyDescent="0.2">
      <c r="B1557" s="251">
        <v>44566</v>
      </c>
      <c r="C1557" s="451">
        <v>60223.15</v>
      </c>
      <c r="D1557" s="261">
        <f t="shared" si="24"/>
        <v>-6.0976551376007437E-3</v>
      </c>
    </row>
    <row r="1558" spans="2:4" ht="14" thickBot="1" x14ac:dyDescent="0.2">
      <c r="B1558" s="251">
        <v>44567</v>
      </c>
      <c r="C1558" s="451">
        <v>59601.84</v>
      </c>
      <c r="D1558" s="261">
        <f t="shared" si="24"/>
        <v>1.0424342604188119E-2</v>
      </c>
    </row>
    <row r="1559" spans="2:4" ht="14" thickBot="1" x14ac:dyDescent="0.2">
      <c r="B1559" s="251">
        <v>44568</v>
      </c>
      <c r="C1559" s="451">
        <v>59744.65</v>
      </c>
      <c r="D1559" s="261">
        <f t="shared" si="24"/>
        <v>-2.3903395534161653E-3</v>
      </c>
    </row>
    <row r="1560" spans="2:4" ht="14" thickBot="1" x14ac:dyDescent="0.2">
      <c r="B1560" s="251">
        <v>44571</v>
      </c>
      <c r="C1560" s="451">
        <v>60395.63</v>
      </c>
      <c r="D1560" s="261">
        <f t="shared" si="24"/>
        <v>-1.0778594411549269E-2</v>
      </c>
    </row>
    <row r="1561" spans="2:4" ht="14" thickBot="1" x14ac:dyDescent="0.2">
      <c r="B1561" s="251">
        <v>44572</v>
      </c>
      <c r="C1561" s="451">
        <v>60616.89</v>
      </c>
      <c r="D1561" s="261">
        <f t="shared" si="24"/>
        <v>-3.6501377751316788E-3</v>
      </c>
    </row>
    <row r="1562" spans="2:4" ht="14" thickBot="1" x14ac:dyDescent="0.2">
      <c r="B1562" s="251">
        <v>44573</v>
      </c>
      <c r="C1562" s="451">
        <v>61150.04</v>
      </c>
      <c r="D1562" s="261">
        <f t="shared" si="24"/>
        <v>-8.7187187449100367E-3</v>
      </c>
    </row>
    <row r="1563" spans="2:4" ht="14" thickBot="1" x14ac:dyDescent="0.2">
      <c r="B1563" s="251">
        <v>44574</v>
      </c>
      <c r="C1563" s="451">
        <v>61235.3</v>
      </c>
      <c r="D1563" s="261">
        <f t="shared" si="24"/>
        <v>-1.3923341601984607E-3</v>
      </c>
    </row>
    <row r="1564" spans="2:4" ht="14" thickBot="1" x14ac:dyDescent="0.2">
      <c r="B1564" s="251">
        <v>44575</v>
      </c>
      <c r="C1564" s="451">
        <v>61223.03</v>
      </c>
      <c r="D1564" s="261">
        <f t="shared" si="24"/>
        <v>2.0041477855636813E-4</v>
      </c>
    </row>
    <row r="1565" spans="2:4" ht="14" thickBot="1" x14ac:dyDescent="0.2">
      <c r="B1565" s="251">
        <v>44578</v>
      </c>
      <c r="C1565" s="451">
        <v>61308.91</v>
      </c>
      <c r="D1565" s="261">
        <f t="shared" si="24"/>
        <v>-1.4007751891201847E-3</v>
      </c>
    </row>
    <row r="1566" spans="2:4" ht="14" thickBot="1" x14ac:dyDescent="0.2">
      <c r="B1566" s="251">
        <v>44579</v>
      </c>
      <c r="C1566" s="451">
        <v>60754.86</v>
      </c>
      <c r="D1566" s="261">
        <f t="shared" si="24"/>
        <v>9.1194350542491698E-3</v>
      </c>
    </row>
    <row r="1567" spans="2:4" ht="14" thickBot="1" x14ac:dyDescent="0.2">
      <c r="B1567" s="251">
        <v>44580</v>
      </c>
      <c r="C1567" s="451">
        <v>60098.82</v>
      </c>
      <c r="D1567" s="261">
        <f t="shared" si="24"/>
        <v>1.0916021312897595E-2</v>
      </c>
    </row>
    <row r="1568" spans="2:4" ht="14" thickBot="1" x14ac:dyDescent="0.2">
      <c r="B1568" s="251">
        <v>44581</v>
      </c>
      <c r="C1568" s="451">
        <v>59464.62</v>
      </c>
      <c r="D1568" s="261">
        <f t="shared" si="24"/>
        <v>1.0665165269701404E-2</v>
      </c>
    </row>
    <row r="1569" spans="2:4" ht="14" thickBot="1" x14ac:dyDescent="0.2">
      <c r="B1569" s="251">
        <v>44582</v>
      </c>
      <c r="C1569" s="451">
        <v>59037.18</v>
      </c>
      <c r="D1569" s="261">
        <f t="shared" si="24"/>
        <v>7.2401832201334226E-3</v>
      </c>
    </row>
    <row r="1570" spans="2:4" ht="14" thickBot="1" x14ac:dyDescent="0.2">
      <c r="B1570" s="251">
        <v>44585</v>
      </c>
      <c r="C1570" s="451">
        <v>57491.51</v>
      </c>
      <c r="D1570" s="261">
        <f t="shared" si="24"/>
        <v>2.6885187047617887E-2</v>
      </c>
    </row>
    <row r="1571" spans="2:4" ht="14" thickBot="1" x14ac:dyDescent="0.2">
      <c r="B1571" s="251">
        <v>44586</v>
      </c>
      <c r="C1571" s="451">
        <v>57858.15</v>
      </c>
      <c r="D1571" s="261">
        <f t="shared" si="24"/>
        <v>-6.3368773457153083E-3</v>
      </c>
    </row>
    <row r="1572" spans="2:4" ht="14" thickBot="1" x14ac:dyDescent="0.2">
      <c r="B1572" s="251">
        <v>44588</v>
      </c>
      <c r="C1572" s="451">
        <v>57276.94</v>
      </c>
      <c r="D1572" s="261">
        <f t="shared" si="24"/>
        <v>1.0147364716061924E-2</v>
      </c>
    </row>
    <row r="1573" spans="2:4" ht="14" thickBot="1" x14ac:dyDescent="0.2">
      <c r="B1573" s="251">
        <v>44589</v>
      </c>
      <c r="C1573" s="451">
        <v>57200.23</v>
      </c>
      <c r="D1573" s="261">
        <f t="shared" si="24"/>
        <v>1.3410785236351863E-3</v>
      </c>
    </row>
    <row r="1574" spans="2:4" ht="14" thickBot="1" x14ac:dyDescent="0.2">
      <c r="B1574" s="251">
        <v>44592</v>
      </c>
      <c r="C1574" s="451">
        <v>58014.17</v>
      </c>
      <c r="D1574" s="261">
        <f t="shared" si="24"/>
        <v>-1.4030020596692117E-2</v>
      </c>
    </row>
    <row r="1575" spans="2:4" ht="14" thickBot="1" x14ac:dyDescent="0.2">
      <c r="B1575" s="251">
        <v>44593</v>
      </c>
      <c r="C1575" s="451">
        <v>58862.57</v>
      </c>
      <c r="D1575" s="261">
        <f t="shared" si="24"/>
        <v>-1.4413234080673076E-2</v>
      </c>
    </row>
    <row r="1576" spans="2:4" ht="14" thickBot="1" x14ac:dyDescent="0.2">
      <c r="B1576" s="251">
        <v>44594</v>
      </c>
      <c r="C1576" s="451">
        <v>59558.33</v>
      </c>
      <c r="D1576" s="261">
        <f t="shared" si="24"/>
        <v>-1.1681993098194732E-2</v>
      </c>
    </row>
    <row r="1577" spans="2:4" ht="14" thickBot="1" x14ac:dyDescent="0.2">
      <c r="B1577" s="251">
        <v>44595</v>
      </c>
      <c r="C1577" s="451">
        <v>58788.02</v>
      </c>
      <c r="D1577" s="261">
        <f t="shared" si="24"/>
        <v>1.3103179865557646E-2</v>
      </c>
    </row>
    <row r="1578" spans="2:4" ht="14" thickBot="1" x14ac:dyDescent="0.2">
      <c r="B1578" s="251">
        <v>44596</v>
      </c>
      <c r="C1578" s="451">
        <v>58644.82</v>
      </c>
      <c r="D1578" s="261">
        <f t="shared" si="24"/>
        <v>2.4418183907801705E-3</v>
      </c>
    </row>
    <row r="1579" spans="2:4" ht="14" thickBot="1" x14ac:dyDescent="0.2">
      <c r="B1579" s="251">
        <v>44599</v>
      </c>
      <c r="C1579" s="451">
        <v>57621.19</v>
      </c>
      <c r="D1579" s="261">
        <f t="shared" si="24"/>
        <v>1.7764818810579897E-2</v>
      </c>
    </row>
    <row r="1580" spans="2:4" ht="14" thickBot="1" x14ac:dyDescent="0.2">
      <c r="B1580" s="251">
        <v>44600</v>
      </c>
      <c r="C1580" s="451">
        <v>57808.58</v>
      </c>
      <c r="D1580" s="261">
        <f t="shared" si="24"/>
        <v>-3.2415603358532108E-3</v>
      </c>
    </row>
    <row r="1581" spans="2:4" ht="14" thickBot="1" x14ac:dyDescent="0.2">
      <c r="B1581" s="251">
        <v>44601</v>
      </c>
      <c r="C1581" s="451">
        <v>58465.97</v>
      </c>
      <c r="D1581" s="261">
        <f t="shared" si="24"/>
        <v>-1.1243976624350838E-2</v>
      </c>
    </row>
    <row r="1582" spans="2:4" ht="14" thickBot="1" x14ac:dyDescent="0.2">
      <c r="B1582" s="251">
        <v>44602</v>
      </c>
      <c r="C1582" s="451">
        <v>58926.03</v>
      </c>
      <c r="D1582" s="261">
        <f t="shared" si="24"/>
        <v>-7.8074155004163037E-3</v>
      </c>
    </row>
    <row r="1583" spans="2:4" ht="14" thickBot="1" x14ac:dyDescent="0.2">
      <c r="B1583" s="251">
        <v>44603</v>
      </c>
      <c r="C1583" s="451">
        <v>58152.92</v>
      </c>
      <c r="D1583" s="261">
        <f t="shared" si="24"/>
        <v>1.3294431302847798E-2</v>
      </c>
    </row>
    <row r="1584" spans="2:4" ht="14" thickBot="1" x14ac:dyDescent="0.2">
      <c r="B1584" s="251">
        <v>44606</v>
      </c>
      <c r="C1584" s="451">
        <v>56405.84</v>
      </c>
      <c r="D1584" s="261">
        <f t="shared" si="24"/>
        <v>3.0973388571112537E-2</v>
      </c>
    </row>
    <row r="1585" spans="2:4" ht="14" thickBot="1" x14ac:dyDescent="0.2">
      <c r="B1585" s="251">
        <v>44607</v>
      </c>
      <c r="C1585" s="451">
        <v>58142.05</v>
      </c>
      <c r="D1585" s="261">
        <f t="shared" si="24"/>
        <v>-2.9861520190636703E-2</v>
      </c>
    </row>
    <row r="1586" spans="2:4" ht="14" thickBot="1" x14ac:dyDescent="0.2">
      <c r="B1586" s="251">
        <v>44608</v>
      </c>
      <c r="C1586" s="451">
        <v>57996.68</v>
      </c>
      <c r="D1586" s="261">
        <f t="shared" si="24"/>
        <v>2.5065227871665652E-3</v>
      </c>
    </row>
    <row r="1587" spans="2:4" ht="14" thickBot="1" x14ac:dyDescent="0.2">
      <c r="B1587" s="251">
        <v>44609</v>
      </c>
      <c r="C1587" s="451">
        <v>57892.01</v>
      </c>
      <c r="D1587" s="261">
        <f t="shared" si="24"/>
        <v>1.8080215214499873E-3</v>
      </c>
    </row>
    <row r="1588" spans="2:4" ht="14" thickBot="1" x14ac:dyDescent="0.2">
      <c r="B1588" s="251">
        <v>44610</v>
      </c>
      <c r="C1588" s="451">
        <v>57832.97</v>
      </c>
      <c r="D1588" s="261">
        <f t="shared" si="24"/>
        <v>1.020870966855103E-3</v>
      </c>
    </row>
    <row r="1589" spans="2:4" ht="14" thickBot="1" x14ac:dyDescent="0.2">
      <c r="B1589" s="251">
        <v>44613</v>
      </c>
      <c r="C1589" s="451">
        <v>57683.59</v>
      </c>
      <c r="D1589" s="261">
        <f t="shared" si="24"/>
        <v>2.5896446459037215E-3</v>
      </c>
    </row>
    <row r="1590" spans="2:4" ht="14" thickBot="1" x14ac:dyDescent="0.2">
      <c r="B1590" s="251">
        <v>44614</v>
      </c>
      <c r="C1590" s="451">
        <v>57300.68</v>
      </c>
      <c r="D1590" s="261">
        <f t="shared" si="24"/>
        <v>6.6824686897257735E-3</v>
      </c>
    </row>
    <row r="1591" spans="2:4" ht="14" thickBot="1" x14ac:dyDescent="0.2">
      <c r="B1591" s="251">
        <v>44615</v>
      </c>
      <c r="C1591" s="451">
        <v>57232.06</v>
      </c>
      <c r="D1591" s="261">
        <f t="shared" si="24"/>
        <v>1.1989783348704819E-3</v>
      </c>
    </row>
    <row r="1592" spans="2:4" ht="14" thickBot="1" x14ac:dyDescent="0.2">
      <c r="B1592" s="251">
        <v>44616</v>
      </c>
      <c r="C1592" s="451">
        <v>54529.91</v>
      </c>
      <c r="D1592" s="261">
        <f t="shared" si="24"/>
        <v>4.9553538599275138E-2</v>
      </c>
    </row>
    <row r="1593" spans="2:4" ht="14" thickBot="1" x14ac:dyDescent="0.2">
      <c r="B1593" s="251">
        <v>44617</v>
      </c>
      <c r="C1593" s="451">
        <v>55858.52</v>
      </c>
      <c r="D1593" s="261">
        <f t="shared" si="24"/>
        <v>-2.3785270358040123E-2</v>
      </c>
    </row>
    <row r="1594" spans="2:4" ht="14" thickBot="1" x14ac:dyDescent="0.2">
      <c r="B1594" s="251">
        <v>44620</v>
      </c>
      <c r="C1594" s="451">
        <v>56247.28</v>
      </c>
      <c r="D1594" s="261">
        <f t="shared" si="24"/>
        <v>-6.9116231042639642E-3</v>
      </c>
    </row>
    <row r="1595" spans="2:4" ht="14" thickBot="1" x14ac:dyDescent="0.2">
      <c r="B1595" s="251">
        <v>44622</v>
      </c>
      <c r="C1595" s="451">
        <v>55468.9</v>
      </c>
      <c r="D1595" s="261">
        <f t="shared" si="24"/>
        <v>1.4032728249523618E-2</v>
      </c>
    </row>
    <row r="1596" spans="2:4" ht="14" thickBot="1" x14ac:dyDescent="0.2">
      <c r="B1596" s="251">
        <v>44623</v>
      </c>
      <c r="C1596" s="451">
        <v>55102.68</v>
      </c>
      <c r="D1596" s="261">
        <f t="shared" si="24"/>
        <v>6.6461377196171956E-3</v>
      </c>
    </row>
    <row r="1597" spans="2:4" ht="14" thickBot="1" x14ac:dyDescent="0.2">
      <c r="B1597" s="251">
        <v>44624</v>
      </c>
      <c r="C1597" s="451">
        <v>54333.81</v>
      </c>
      <c r="D1597" s="261">
        <f t="shared" si="24"/>
        <v>1.4150857449532817E-2</v>
      </c>
    </row>
    <row r="1598" spans="2:4" ht="14" thickBot="1" x14ac:dyDescent="0.2">
      <c r="B1598" s="251">
        <v>44627</v>
      </c>
      <c r="C1598" s="451">
        <v>52842.75</v>
      </c>
      <c r="D1598" s="261">
        <f t="shared" si="24"/>
        <v>2.8216926636104311E-2</v>
      </c>
    </row>
    <row r="1599" spans="2:4" ht="14" thickBot="1" x14ac:dyDescent="0.2">
      <c r="B1599" s="251">
        <v>44628</v>
      </c>
      <c r="C1599" s="451">
        <v>53424.09</v>
      </c>
      <c r="D1599" s="261">
        <f t="shared" si="24"/>
        <v>-1.0881607903850066E-2</v>
      </c>
    </row>
    <row r="1600" spans="2:4" ht="14" thickBot="1" x14ac:dyDescent="0.2">
      <c r="B1600" s="251">
        <v>44629</v>
      </c>
      <c r="C1600" s="451">
        <v>54647.33</v>
      </c>
      <c r="D1600" s="261">
        <f t="shared" si="24"/>
        <v>-2.2384259212664293E-2</v>
      </c>
    </row>
    <row r="1601" spans="2:4" ht="14" thickBot="1" x14ac:dyDescent="0.2">
      <c r="B1601" s="251">
        <v>44630</v>
      </c>
      <c r="C1601" s="451">
        <v>55464.39</v>
      </c>
      <c r="D1601" s="261">
        <f t="shared" si="24"/>
        <v>-1.4731253692684576E-2</v>
      </c>
    </row>
    <row r="1602" spans="2:4" ht="14" thickBot="1" x14ac:dyDescent="0.2">
      <c r="B1602" s="251">
        <v>44631</v>
      </c>
      <c r="C1602" s="451">
        <v>55550.3</v>
      </c>
      <c r="D1602" s="261">
        <f t="shared" si="24"/>
        <v>-1.5465263013881847E-3</v>
      </c>
    </row>
    <row r="1603" spans="2:4" ht="14" thickBot="1" x14ac:dyDescent="0.2">
      <c r="B1603" s="251">
        <v>44634</v>
      </c>
      <c r="C1603" s="451">
        <v>56486.02</v>
      </c>
      <c r="D1603" s="261">
        <f t="shared" si="24"/>
        <v>-1.6565514794634084E-2</v>
      </c>
    </row>
    <row r="1604" spans="2:4" ht="14" thickBot="1" x14ac:dyDescent="0.2">
      <c r="B1604" s="251">
        <v>44635</v>
      </c>
      <c r="C1604" s="451">
        <v>55776.85</v>
      </c>
      <c r="D1604" s="261">
        <f t="shared" si="24"/>
        <v>1.2714414672036822E-2</v>
      </c>
    </row>
    <row r="1605" spans="2:4" ht="14" thickBot="1" x14ac:dyDescent="0.2">
      <c r="B1605" s="251">
        <v>44636</v>
      </c>
      <c r="C1605" s="451">
        <v>56816.65</v>
      </c>
      <c r="D1605" s="261">
        <f t="shared" si="24"/>
        <v>-1.8300973394242748E-2</v>
      </c>
    </row>
    <row r="1606" spans="2:4" ht="14" thickBot="1" x14ac:dyDescent="0.2">
      <c r="B1606" s="251">
        <v>44637</v>
      </c>
      <c r="C1606" s="451">
        <v>57863.93</v>
      </c>
      <c r="D1606" s="261">
        <f t="shared" si="24"/>
        <v>-1.8099012631876188E-2</v>
      </c>
    </row>
    <row r="1607" spans="2:4" ht="14" thickBot="1" x14ac:dyDescent="0.2">
      <c r="B1607" s="251">
        <v>44641</v>
      </c>
      <c r="C1607" s="451">
        <v>57292.49</v>
      </c>
      <c r="D1607" s="261">
        <f t="shared" si="24"/>
        <v>9.9740821179181705E-3</v>
      </c>
    </row>
    <row r="1608" spans="2:4" ht="14" thickBot="1" x14ac:dyDescent="0.2">
      <c r="B1608" s="251">
        <v>44642</v>
      </c>
      <c r="C1608" s="451">
        <v>57989.3</v>
      </c>
      <c r="D1608" s="261">
        <f t="shared" si="24"/>
        <v>-1.2016182295699451E-2</v>
      </c>
    </row>
    <row r="1609" spans="2:4" ht="14" thickBot="1" x14ac:dyDescent="0.2">
      <c r="B1609" s="251">
        <v>44643</v>
      </c>
      <c r="C1609" s="451">
        <v>57684.82</v>
      </c>
      <c r="D1609" s="261">
        <f t="shared" si="24"/>
        <v>5.2783383912786697E-3</v>
      </c>
    </row>
    <row r="1610" spans="2:4" ht="14" thickBot="1" x14ac:dyDescent="0.2">
      <c r="B1610" s="251">
        <v>44644</v>
      </c>
      <c r="C1610" s="451">
        <v>57595.68</v>
      </c>
      <c r="D1610" s="261">
        <f t="shared" ref="D1610:D1673" si="25">C1609/C1610-1</f>
        <v>1.5476855208584883E-3</v>
      </c>
    </row>
    <row r="1611" spans="2:4" ht="14" thickBot="1" x14ac:dyDescent="0.2">
      <c r="B1611" s="251">
        <v>44645</v>
      </c>
      <c r="C1611" s="451">
        <v>57362.2</v>
      </c>
      <c r="D1611" s="261">
        <f t="shared" si="25"/>
        <v>4.0702762446349627E-3</v>
      </c>
    </row>
    <row r="1612" spans="2:4" ht="14" thickBot="1" x14ac:dyDescent="0.2">
      <c r="B1612" s="251">
        <v>44648</v>
      </c>
      <c r="C1612" s="451">
        <v>57593.49</v>
      </c>
      <c r="D1612" s="261">
        <f t="shared" si="25"/>
        <v>-4.0159052698490738E-3</v>
      </c>
    </row>
    <row r="1613" spans="2:4" ht="14" thickBot="1" x14ac:dyDescent="0.2">
      <c r="B1613" s="251">
        <v>44649</v>
      </c>
      <c r="C1613" s="451">
        <v>57943.65</v>
      </c>
      <c r="D1613" s="261">
        <f t="shared" si="25"/>
        <v>-6.0431125757525184E-3</v>
      </c>
    </row>
    <row r="1614" spans="2:4" ht="14" thickBot="1" x14ac:dyDescent="0.2">
      <c r="B1614" s="251">
        <v>44650</v>
      </c>
      <c r="C1614" s="451">
        <v>58683.99</v>
      </c>
      <c r="D1614" s="261">
        <f t="shared" si="25"/>
        <v>-1.2615706600726972E-2</v>
      </c>
    </row>
    <row r="1615" spans="2:4" ht="14" thickBot="1" x14ac:dyDescent="0.2">
      <c r="B1615" s="251">
        <v>44651</v>
      </c>
      <c r="C1615" s="451">
        <v>58568.51</v>
      </c>
      <c r="D1615" s="261">
        <f t="shared" si="25"/>
        <v>1.9717080048646807E-3</v>
      </c>
    </row>
    <row r="1616" spans="2:4" ht="14" thickBot="1" x14ac:dyDescent="0.2">
      <c r="B1616" s="251">
        <v>44652</v>
      </c>
      <c r="C1616" s="451">
        <v>59276.69</v>
      </c>
      <c r="D1616" s="261">
        <f t="shared" si="25"/>
        <v>-1.1947023357748221E-2</v>
      </c>
    </row>
    <row r="1617" spans="2:4" ht="14" thickBot="1" x14ac:dyDescent="0.2">
      <c r="B1617" s="251">
        <v>44655</v>
      </c>
      <c r="C1617" s="451">
        <v>60611.74</v>
      </c>
      <c r="D1617" s="261">
        <f t="shared" si="25"/>
        <v>-2.2026260919089213E-2</v>
      </c>
    </row>
    <row r="1618" spans="2:4" ht="14" thickBot="1" x14ac:dyDescent="0.2">
      <c r="B1618" s="251">
        <v>44656</v>
      </c>
      <c r="C1618" s="451">
        <v>60176.5</v>
      </c>
      <c r="D1618" s="261">
        <f t="shared" si="25"/>
        <v>7.232723737671698E-3</v>
      </c>
    </row>
    <row r="1619" spans="2:4" ht="14" thickBot="1" x14ac:dyDescent="0.2">
      <c r="B1619" s="251">
        <v>44657</v>
      </c>
      <c r="C1619" s="451">
        <v>59610.41</v>
      </c>
      <c r="D1619" s="261">
        <f t="shared" si="25"/>
        <v>9.4964956624186136E-3</v>
      </c>
    </row>
    <row r="1620" spans="2:4" ht="14" thickBot="1" x14ac:dyDescent="0.2">
      <c r="B1620" s="251">
        <v>44658</v>
      </c>
      <c r="C1620" s="451">
        <v>59034.95</v>
      </c>
      <c r="D1620" s="261">
        <f t="shared" si="25"/>
        <v>9.7477849985476706E-3</v>
      </c>
    </row>
    <row r="1621" spans="2:4" ht="14" thickBot="1" x14ac:dyDescent="0.2">
      <c r="B1621" s="251">
        <v>44659</v>
      </c>
      <c r="C1621" s="451">
        <v>59447.18</v>
      </c>
      <c r="D1621" s="261">
        <f t="shared" si="25"/>
        <v>-6.9343911687653748E-3</v>
      </c>
    </row>
    <row r="1622" spans="2:4" ht="14" thickBot="1" x14ac:dyDescent="0.2">
      <c r="B1622" s="251">
        <v>44662</v>
      </c>
      <c r="C1622" s="451">
        <v>58964.57</v>
      </c>
      <c r="D1622" s="261">
        <f t="shared" si="25"/>
        <v>8.1847455175201311E-3</v>
      </c>
    </row>
    <row r="1623" spans="2:4" ht="14" thickBot="1" x14ac:dyDescent="0.2">
      <c r="B1623" s="251">
        <v>44663</v>
      </c>
      <c r="C1623" s="451">
        <v>58576.37</v>
      </c>
      <c r="D1623" s="261">
        <f t="shared" si="25"/>
        <v>6.6272457648024474E-3</v>
      </c>
    </row>
    <row r="1624" spans="2:4" ht="14" thickBot="1" x14ac:dyDescent="0.2">
      <c r="B1624" s="251">
        <v>44664</v>
      </c>
      <c r="C1624" s="451">
        <v>58338.93</v>
      </c>
      <c r="D1624" s="261">
        <f t="shared" si="25"/>
        <v>4.070009511658812E-3</v>
      </c>
    </row>
    <row r="1625" spans="2:4" ht="14" thickBot="1" x14ac:dyDescent="0.2">
      <c r="B1625" s="251">
        <v>44669</v>
      </c>
      <c r="C1625" s="451">
        <v>57166.74</v>
      </c>
      <c r="D1625" s="261">
        <f t="shared" si="25"/>
        <v>2.050475503763205E-2</v>
      </c>
    </row>
    <row r="1626" spans="2:4" ht="14" thickBot="1" x14ac:dyDescent="0.2">
      <c r="B1626" s="251">
        <v>44670</v>
      </c>
      <c r="C1626" s="451">
        <v>56463.15</v>
      </c>
      <c r="D1626" s="261">
        <f t="shared" si="25"/>
        <v>1.2461047603613995E-2</v>
      </c>
    </row>
    <row r="1627" spans="2:4" ht="14" thickBot="1" x14ac:dyDescent="0.2">
      <c r="B1627" s="251">
        <v>44671</v>
      </c>
      <c r="C1627" s="451">
        <v>57037.5</v>
      </c>
      <c r="D1627" s="261">
        <f t="shared" si="25"/>
        <v>-1.0069690992767888E-2</v>
      </c>
    </row>
    <row r="1628" spans="2:4" ht="14" thickBot="1" x14ac:dyDescent="0.2">
      <c r="B1628" s="251">
        <v>44672</v>
      </c>
      <c r="C1628" s="451">
        <v>57911.68</v>
      </c>
      <c r="D1628" s="261">
        <f t="shared" si="25"/>
        <v>-1.5095055090786569E-2</v>
      </c>
    </row>
    <row r="1629" spans="2:4" ht="14" thickBot="1" x14ac:dyDescent="0.2">
      <c r="B1629" s="251">
        <v>44673</v>
      </c>
      <c r="C1629" s="451">
        <v>57197.15</v>
      </c>
      <c r="D1629" s="261">
        <f t="shared" si="25"/>
        <v>1.2492405653078853E-2</v>
      </c>
    </row>
    <row r="1630" spans="2:4" ht="14" thickBot="1" x14ac:dyDescent="0.2">
      <c r="B1630" s="251">
        <v>44676</v>
      </c>
      <c r="C1630" s="451">
        <v>56579.89</v>
      </c>
      <c r="D1630" s="261">
        <f t="shared" si="25"/>
        <v>1.0909529870065215E-2</v>
      </c>
    </row>
    <row r="1631" spans="2:4" ht="14" thickBot="1" x14ac:dyDescent="0.2">
      <c r="B1631" s="251">
        <v>44677</v>
      </c>
      <c r="C1631" s="451">
        <v>57356.61</v>
      </c>
      <c r="D1631" s="261">
        <f t="shared" si="25"/>
        <v>-1.3541943988670146E-2</v>
      </c>
    </row>
    <row r="1632" spans="2:4" ht="14" thickBot="1" x14ac:dyDescent="0.2">
      <c r="B1632" s="251">
        <v>44678</v>
      </c>
      <c r="C1632" s="451">
        <v>56819.39</v>
      </c>
      <c r="D1632" s="261">
        <f t="shared" si="25"/>
        <v>9.4548709516240059E-3</v>
      </c>
    </row>
    <row r="1633" spans="2:4" ht="14" thickBot="1" x14ac:dyDescent="0.2">
      <c r="B1633" s="251">
        <v>44679</v>
      </c>
      <c r="C1633" s="451">
        <v>57521.06</v>
      </c>
      <c r="D1633" s="261">
        <f t="shared" si="25"/>
        <v>-1.2198488692663156E-2</v>
      </c>
    </row>
    <row r="1634" spans="2:4" ht="14" thickBot="1" x14ac:dyDescent="0.2">
      <c r="B1634" s="251">
        <v>44680</v>
      </c>
      <c r="C1634" s="451">
        <v>57060.87</v>
      </c>
      <c r="D1634" s="261">
        <f t="shared" si="25"/>
        <v>8.0648963116054517E-3</v>
      </c>
    </row>
    <row r="1635" spans="2:4" ht="14" thickBot="1" x14ac:dyDescent="0.2">
      <c r="B1635" s="251">
        <v>44683</v>
      </c>
      <c r="C1635" s="451">
        <v>56975.99</v>
      </c>
      <c r="D1635" s="261">
        <f t="shared" si="25"/>
        <v>1.4897503316748661E-3</v>
      </c>
    </row>
    <row r="1636" spans="2:4" ht="14" thickBot="1" x14ac:dyDescent="0.2">
      <c r="B1636" s="251">
        <v>44685</v>
      </c>
      <c r="C1636" s="451">
        <v>55669.03</v>
      </c>
      <c r="D1636" s="261">
        <f t="shared" si="25"/>
        <v>2.3477326621282879E-2</v>
      </c>
    </row>
    <row r="1637" spans="2:4" ht="14" thickBot="1" x14ac:dyDescent="0.2">
      <c r="B1637" s="251">
        <v>44686</v>
      </c>
      <c r="C1637" s="451">
        <v>55702.23</v>
      </c>
      <c r="D1637" s="261">
        <f t="shared" si="25"/>
        <v>-5.9602640684230934E-4</v>
      </c>
    </row>
    <row r="1638" spans="2:4" ht="14" thickBot="1" x14ac:dyDescent="0.2">
      <c r="B1638" s="251">
        <v>44687</v>
      </c>
      <c r="C1638" s="451">
        <v>54835.58</v>
      </c>
      <c r="D1638" s="261">
        <f t="shared" si="25"/>
        <v>1.580451962029028E-2</v>
      </c>
    </row>
    <row r="1639" spans="2:4" ht="14" thickBot="1" x14ac:dyDescent="0.2">
      <c r="B1639" s="251">
        <v>44690</v>
      </c>
      <c r="C1639" s="451">
        <v>54470.67</v>
      </c>
      <c r="D1639" s="261">
        <f t="shared" si="25"/>
        <v>6.6992016070299698E-3</v>
      </c>
    </row>
    <row r="1640" spans="2:4" ht="14" thickBot="1" x14ac:dyDescent="0.2">
      <c r="B1640" s="251">
        <v>44691</v>
      </c>
      <c r="C1640" s="451">
        <v>54364.85</v>
      </c>
      <c r="D1640" s="261">
        <f t="shared" si="25"/>
        <v>1.9464782851419393E-3</v>
      </c>
    </row>
    <row r="1641" spans="2:4" ht="14" thickBot="1" x14ac:dyDescent="0.2">
      <c r="B1641" s="251">
        <v>44692</v>
      </c>
      <c r="C1641" s="451">
        <v>54088.39</v>
      </c>
      <c r="D1641" s="261">
        <f t="shared" si="25"/>
        <v>5.1112632489154208E-3</v>
      </c>
    </row>
    <row r="1642" spans="2:4" ht="14" thickBot="1" x14ac:dyDescent="0.2">
      <c r="B1642" s="251">
        <v>44693</v>
      </c>
      <c r="C1642" s="451">
        <v>52930.31</v>
      </c>
      <c r="D1642" s="261">
        <f t="shared" si="25"/>
        <v>2.1879335299566538E-2</v>
      </c>
    </row>
    <row r="1643" spans="2:4" ht="14" thickBot="1" x14ac:dyDescent="0.2">
      <c r="B1643" s="251">
        <v>44694</v>
      </c>
      <c r="C1643" s="451">
        <v>52793.62</v>
      </c>
      <c r="D1643" s="261">
        <f t="shared" si="25"/>
        <v>2.5891386118246373E-3</v>
      </c>
    </row>
    <row r="1644" spans="2:4" ht="14" thickBot="1" x14ac:dyDescent="0.2">
      <c r="B1644" s="251">
        <v>44697</v>
      </c>
      <c r="C1644" s="451">
        <v>52973.84</v>
      </c>
      <c r="D1644" s="261">
        <f t="shared" si="25"/>
        <v>-3.4020565622577825E-3</v>
      </c>
    </row>
    <row r="1645" spans="2:4" ht="14" thickBot="1" x14ac:dyDescent="0.2">
      <c r="B1645" s="251">
        <v>44698</v>
      </c>
      <c r="C1645" s="451">
        <v>54318.47</v>
      </c>
      <c r="D1645" s="261">
        <f t="shared" si="25"/>
        <v>-2.4754563226836224E-2</v>
      </c>
    </row>
    <row r="1646" spans="2:4" ht="14" thickBot="1" x14ac:dyDescent="0.2">
      <c r="B1646" s="251">
        <v>44699</v>
      </c>
      <c r="C1646" s="451">
        <v>54208.53</v>
      </c>
      <c r="D1646" s="261">
        <f t="shared" si="25"/>
        <v>2.028094102533462E-3</v>
      </c>
    </row>
    <row r="1647" spans="2:4" ht="14" thickBot="1" x14ac:dyDescent="0.2">
      <c r="B1647" s="251">
        <v>44700</v>
      </c>
      <c r="C1647" s="451">
        <v>52792.23</v>
      </c>
      <c r="D1647" s="261">
        <f t="shared" si="25"/>
        <v>2.6827811592728512E-2</v>
      </c>
    </row>
    <row r="1648" spans="2:4" ht="14" thickBot="1" x14ac:dyDescent="0.2">
      <c r="B1648" s="251">
        <v>44701</v>
      </c>
      <c r="C1648" s="451">
        <v>54326.39</v>
      </c>
      <c r="D1648" s="261">
        <f t="shared" si="25"/>
        <v>-2.8239682408494171E-2</v>
      </c>
    </row>
    <row r="1649" spans="2:4" ht="14" thickBot="1" x14ac:dyDescent="0.2">
      <c r="B1649" s="251">
        <v>44704</v>
      </c>
      <c r="C1649" s="451">
        <v>54288.61</v>
      </c>
      <c r="D1649" s="261">
        <f t="shared" si="25"/>
        <v>6.9591024710335958E-4</v>
      </c>
    </row>
    <row r="1650" spans="2:4" ht="14" thickBot="1" x14ac:dyDescent="0.2">
      <c r="B1650" s="251">
        <v>44705</v>
      </c>
      <c r="C1650" s="451">
        <v>54052.61</v>
      </c>
      <c r="D1650" s="261">
        <f t="shared" si="25"/>
        <v>4.3661166408059948E-3</v>
      </c>
    </row>
    <row r="1651" spans="2:4" ht="14" thickBot="1" x14ac:dyDescent="0.2">
      <c r="B1651" s="251">
        <v>44706</v>
      </c>
      <c r="C1651" s="451">
        <v>53749.26</v>
      </c>
      <c r="D1651" s="261">
        <f t="shared" si="25"/>
        <v>5.6437986309021415E-3</v>
      </c>
    </row>
    <row r="1652" spans="2:4" ht="14" thickBot="1" x14ac:dyDescent="0.2">
      <c r="B1652" s="251">
        <v>44707</v>
      </c>
      <c r="C1652" s="451">
        <v>54252.53</v>
      </c>
      <c r="D1652" s="261">
        <f t="shared" si="25"/>
        <v>-9.2764337441958444E-3</v>
      </c>
    </row>
    <row r="1653" spans="2:4" ht="14" thickBot="1" x14ac:dyDescent="0.2">
      <c r="B1653" s="251">
        <v>44708</v>
      </c>
      <c r="C1653" s="451">
        <v>54884.66</v>
      </c>
      <c r="D1653" s="261">
        <f t="shared" si="25"/>
        <v>-1.151742581624815E-2</v>
      </c>
    </row>
    <row r="1654" spans="2:4" ht="14" thickBot="1" x14ac:dyDescent="0.2">
      <c r="B1654" s="251">
        <v>44711</v>
      </c>
      <c r="C1654" s="451">
        <v>55925.74</v>
      </c>
      <c r="D1654" s="261">
        <f t="shared" si="25"/>
        <v>-1.861539963530201E-2</v>
      </c>
    </row>
    <row r="1655" spans="2:4" ht="14" thickBot="1" x14ac:dyDescent="0.2">
      <c r="B1655" s="251">
        <v>44712</v>
      </c>
      <c r="C1655" s="451">
        <v>55566.41</v>
      </c>
      <c r="D1655" s="261">
        <f t="shared" si="25"/>
        <v>6.4666765407372928E-3</v>
      </c>
    </row>
    <row r="1656" spans="2:4" ht="14" thickBot="1" x14ac:dyDescent="0.2">
      <c r="B1656" s="251">
        <v>44713</v>
      </c>
      <c r="C1656" s="451">
        <v>55381.17</v>
      </c>
      <c r="D1656" s="261">
        <f t="shared" si="25"/>
        <v>3.3448191867380128E-3</v>
      </c>
    </row>
    <row r="1657" spans="2:4" ht="14" thickBot="1" x14ac:dyDescent="0.2">
      <c r="B1657" s="251">
        <v>44714</v>
      </c>
      <c r="C1657" s="451">
        <v>55818.11</v>
      </c>
      <c r="D1657" s="261">
        <f t="shared" si="25"/>
        <v>-7.8279253812069127E-3</v>
      </c>
    </row>
    <row r="1658" spans="2:4" ht="14" thickBot="1" x14ac:dyDescent="0.2">
      <c r="B1658" s="251">
        <v>44715</v>
      </c>
      <c r="C1658" s="451">
        <v>55769.23</v>
      </c>
      <c r="D1658" s="261">
        <f t="shared" si="25"/>
        <v>8.7646897760640385E-4</v>
      </c>
    </row>
    <row r="1659" spans="2:4" ht="14" thickBot="1" x14ac:dyDescent="0.2">
      <c r="B1659" s="251">
        <v>44718</v>
      </c>
      <c r="C1659" s="451">
        <v>55675.32</v>
      </c>
      <c r="D1659" s="261">
        <f t="shared" si="25"/>
        <v>1.6867437852177147E-3</v>
      </c>
    </row>
    <row r="1660" spans="2:4" ht="14" thickBot="1" x14ac:dyDescent="0.2">
      <c r="B1660" s="251">
        <v>44719</v>
      </c>
      <c r="C1660" s="451">
        <v>55107.34</v>
      </c>
      <c r="D1660" s="261">
        <f t="shared" si="25"/>
        <v>1.0306793976991191E-2</v>
      </c>
    </row>
    <row r="1661" spans="2:4" ht="14" thickBot="1" x14ac:dyDescent="0.2">
      <c r="B1661" s="251">
        <v>44720</v>
      </c>
      <c r="C1661" s="451">
        <v>54892.49</v>
      </c>
      <c r="D1661" s="261">
        <f t="shared" si="25"/>
        <v>3.9140144671885313E-3</v>
      </c>
    </row>
    <row r="1662" spans="2:4" ht="14" thickBot="1" x14ac:dyDescent="0.2">
      <c r="B1662" s="251">
        <v>44721</v>
      </c>
      <c r="C1662" s="451">
        <v>55320.28</v>
      </c>
      <c r="D1662" s="261">
        <f t="shared" si="25"/>
        <v>-7.7329688136068553E-3</v>
      </c>
    </row>
    <row r="1663" spans="2:4" ht="14" thickBot="1" x14ac:dyDescent="0.2">
      <c r="B1663" s="251">
        <v>44722</v>
      </c>
      <c r="C1663" s="451">
        <v>54303.44</v>
      </c>
      <c r="D1663" s="261">
        <f t="shared" si="25"/>
        <v>1.8725148904010336E-2</v>
      </c>
    </row>
    <row r="1664" spans="2:4" ht="14" thickBot="1" x14ac:dyDescent="0.2">
      <c r="B1664" s="251">
        <v>44725</v>
      </c>
      <c r="C1664" s="451">
        <v>52846.7</v>
      </c>
      <c r="D1664" s="261">
        <f t="shared" si="25"/>
        <v>2.7565391973387365E-2</v>
      </c>
    </row>
    <row r="1665" spans="2:4" ht="14" thickBot="1" x14ac:dyDescent="0.2">
      <c r="B1665" s="251">
        <v>44726</v>
      </c>
      <c r="C1665" s="451">
        <v>52693.57</v>
      </c>
      <c r="D1665" s="261">
        <f t="shared" si="25"/>
        <v>2.9060471704611679E-3</v>
      </c>
    </row>
    <row r="1666" spans="2:4" ht="14" thickBot="1" x14ac:dyDescent="0.2">
      <c r="B1666" s="251">
        <v>44727</v>
      </c>
      <c r="C1666" s="451">
        <v>52541.39</v>
      </c>
      <c r="D1666" s="261">
        <f t="shared" si="25"/>
        <v>2.8963832133104273E-3</v>
      </c>
    </row>
    <row r="1667" spans="2:4" ht="14" thickBot="1" x14ac:dyDescent="0.2">
      <c r="B1667" s="251">
        <v>44728</v>
      </c>
      <c r="C1667" s="451">
        <v>51495.79</v>
      </c>
      <c r="D1667" s="261">
        <f t="shared" si="25"/>
        <v>2.0304572470875693E-2</v>
      </c>
    </row>
    <row r="1668" spans="2:4" ht="14" thickBot="1" x14ac:dyDescent="0.2">
      <c r="B1668" s="251">
        <v>44729</v>
      </c>
      <c r="C1668" s="451">
        <v>51360.42</v>
      </c>
      <c r="D1668" s="261">
        <f t="shared" si="25"/>
        <v>2.6356871692250206E-3</v>
      </c>
    </row>
    <row r="1669" spans="2:4" ht="14" thickBot="1" x14ac:dyDescent="0.2">
      <c r="B1669" s="251">
        <v>44732</v>
      </c>
      <c r="C1669" s="451">
        <v>51597.84</v>
      </c>
      <c r="D1669" s="261">
        <f t="shared" si="25"/>
        <v>-4.6013554055750472E-3</v>
      </c>
    </row>
    <row r="1670" spans="2:4" ht="14" thickBot="1" x14ac:dyDescent="0.2">
      <c r="B1670" s="251">
        <v>44733</v>
      </c>
      <c r="C1670" s="451">
        <v>52532.07</v>
      </c>
      <c r="D1670" s="261">
        <f t="shared" si="25"/>
        <v>-1.7783993663299413E-2</v>
      </c>
    </row>
    <row r="1671" spans="2:4" ht="14" thickBot="1" x14ac:dyDescent="0.2">
      <c r="B1671" s="251">
        <v>44734</v>
      </c>
      <c r="C1671" s="451">
        <v>51822.53</v>
      </c>
      <c r="D1671" s="261">
        <f t="shared" si="25"/>
        <v>1.3691728288834915E-2</v>
      </c>
    </row>
    <row r="1672" spans="2:4" ht="14" thickBot="1" x14ac:dyDescent="0.2">
      <c r="B1672" s="251">
        <v>44735</v>
      </c>
      <c r="C1672" s="451">
        <v>52265.72</v>
      </c>
      <c r="D1672" s="261">
        <f t="shared" si="25"/>
        <v>-8.4795540939645031E-3</v>
      </c>
    </row>
    <row r="1673" spans="2:4" ht="14" thickBot="1" x14ac:dyDescent="0.2">
      <c r="B1673" s="251">
        <v>44736</v>
      </c>
      <c r="C1673" s="451">
        <v>52727.98</v>
      </c>
      <c r="D1673" s="261">
        <f t="shared" si="25"/>
        <v>-8.7668824028532821E-3</v>
      </c>
    </row>
    <row r="1674" spans="2:4" ht="14" thickBot="1" x14ac:dyDescent="0.2">
      <c r="B1674" s="251">
        <v>44739</v>
      </c>
      <c r="C1674" s="451">
        <v>53161.279999999999</v>
      </c>
      <c r="D1674" s="261">
        <f t="shared" ref="D1674:D1737" si="26">C1673/C1674-1</f>
        <v>-8.1506690583822428E-3</v>
      </c>
    </row>
    <row r="1675" spans="2:4" ht="14" thickBot="1" x14ac:dyDescent="0.2">
      <c r="B1675" s="251">
        <v>44740</v>
      </c>
      <c r="C1675" s="451">
        <v>53177.45</v>
      </c>
      <c r="D1675" s="261">
        <f t="shared" si="26"/>
        <v>-3.040762578874201E-4</v>
      </c>
    </row>
    <row r="1676" spans="2:4" ht="14" thickBot="1" x14ac:dyDescent="0.2">
      <c r="B1676" s="251">
        <v>44741</v>
      </c>
      <c r="C1676" s="451">
        <v>53026.97</v>
      </c>
      <c r="D1676" s="261">
        <f t="shared" si="26"/>
        <v>2.8378012170031663E-3</v>
      </c>
    </row>
    <row r="1677" spans="2:4" ht="14" thickBot="1" x14ac:dyDescent="0.2">
      <c r="B1677" s="251">
        <v>44742</v>
      </c>
      <c r="C1677" s="451">
        <v>53018.94</v>
      </c>
      <c r="D1677" s="261">
        <f t="shared" si="26"/>
        <v>1.5145531012117353E-4</v>
      </c>
    </row>
    <row r="1678" spans="2:4" ht="14" thickBot="1" x14ac:dyDescent="0.2">
      <c r="B1678" s="251">
        <v>44743</v>
      </c>
      <c r="C1678" s="451">
        <v>52907.93</v>
      </c>
      <c r="D1678" s="261">
        <f t="shared" si="26"/>
        <v>2.0981731850027163E-3</v>
      </c>
    </row>
    <row r="1679" spans="2:4" ht="14" thickBot="1" x14ac:dyDescent="0.2">
      <c r="B1679" s="251">
        <v>44746</v>
      </c>
      <c r="C1679" s="451">
        <v>53234.77</v>
      </c>
      <c r="D1679" s="261">
        <f t="shared" si="26"/>
        <v>-6.1395963577939305E-3</v>
      </c>
    </row>
    <row r="1680" spans="2:4" ht="14" thickBot="1" x14ac:dyDescent="0.2">
      <c r="B1680" s="251">
        <v>44747</v>
      </c>
      <c r="C1680" s="451">
        <v>53134.35</v>
      </c>
      <c r="D1680" s="261">
        <f t="shared" si="26"/>
        <v>1.889926196518843E-3</v>
      </c>
    </row>
    <row r="1681" spans="2:4" ht="14" thickBot="1" x14ac:dyDescent="0.2">
      <c r="B1681" s="251">
        <v>44748</v>
      </c>
      <c r="C1681" s="451">
        <v>53750.97</v>
      </c>
      <c r="D1681" s="261">
        <f t="shared" si="26"/>
        <v>-1.1471792974154793E-2</v>
      </c>
    </row>
    <row r="1682" spans="2:4" ht="14" thickBot="1" x14ac:dyDescent="0.2">
      <c r="B1682" s="251">
        <v>44749</v>
      </c>
      <c r="C1682" s="451">
        <v>54178.46</v>
      </c>
      <c r="D1682" s="261">
        <f t="shared" si="26"/>
        <v>-7.8904051536348163E-3</v>
      </c>
    </row>
    <row r="1683" spans="2:4" ht="14" thickBot="1" x14ac:dyDescent="0.2">
      <c r="B1683" s="251">
        <v>44750</v>
      </c>
      <c r="C1683" s="451">
        <v>54481.84</v>
      </c>
      <c r="D1683" s="261">
        <f t="shared" si="26"/>
        <v>-5.5684609770888516E-3</v>
      </c>
    </row>
    <row r="1684" spans="2:4" ht="14" thickBot="1" x14ac:dyDescent="0.2">
      <c r="B1684" s="251">
        <v>44753</v>
      </c>
      <c r="C1684" s="451">
        <v>54395.23</v>
      </c>
      <c r="D1684" s="261">
        <f t="shared" si="26"/>
        <v>1.5922352015056429E-3</v>
      </c>
    </row>
    <row r="1685" spans="2:4" ht="14" thickBot="1" x14ac:dyDescent="0.2">
      <c r="B1685" s="251">
        <v>44754</v>
      </c>
      <c r="C1685" s="451">
        <v>53886.61</v>
      </c>
      <c r="D1685" s="261">
        <f t="shared" si="26"/>
        <v>9.4387084286802203E-3</v>
      </c>
    </row>
    <row r="1686" spans="2:4" ht="14" thickBot="1" x14ac:dyDescent="0.2">
      <c r="B1686" s="251">
        <v>44755</v>
      </c>
      <c r="C1686" s="451">
        <v>53514.15</v>
      </c>
      <c r="D1686" s="261">
        <f t="shared" si="26"/>
        <v>6.960028328955925E-3</v>
      </c>
    </row>
    <row r="1687" spans="2:4" ht="14" thickBot="1" x14ac:dyDescent="0.2">
      <c r="B1687" s="251">
        <v>44756</v>
      </c>
      <c r="C1687" s="451">
        <v>53416.15</v>
      </c>
      <c r="D1687" s="261">
        <f t="shared" si="26"/>
        <v>1.8346511307909541E-3</v>
      </c>
    </row>
    <row r="1688" spans="2:4" ht="14" thickBot="1" x14ac:dyDescent="0.2">
      <c r="B1688" s="251">
        <v>44757</v>
      </c>
      <c r="C1688" s="451">
        <v>53760.78</v>
      </c>
      <c r="D1688" s="261">
        <f t="shared" si="26"/>
        <v>-6.4104352652620822E-3</v>
      </c>
    </row>
    <row r="1689" spans="2:4" ht="14" thickBot="1" x14ac:dyDescent="0.2">
      <c r="B1689" s="251">
        <v>44760</v>
      </c>
      <c r="C1689" s="451">
        <v>54521.15</v>
      </c>
      <c r="D1689" s="261">
        <f t="shared" si="26"/>
        <v>-1.3946330919285543E-2</v>
      </c>
    </row>
    <row r="1690" spans="2:4" ht="14" thickBot="1" x14ac:dyDescent="0.2">
      <c r="B1690" s="251">
        <v>44761</v>
      </c>
      <c r="C1690" s="451">
        <v>54767.62</v>
      </c>
      <c r="D1690" s="261">
        <f t="shared" si="26"/>
        <v>-4.5002868483239311E-3</v>
      </c>
    </row>
    <row r="1691" spans="2:4" ht="14" thickBot="1" x14ac:dyDescent="0.2">
      <c r="B1691" s="251">
        <v>44762</v>
      </c>
      <c r="C1691" s="451">
        <v>55397.53</v>
      </c>
      <c r="D1691" s="261">
        <f t="shared" si="26"/>
        <v>-1.1370723568361218E-2</v>
      </c>
    </row>
    <row r="1692" spans="2:4" ht="14" thickBot="1" x14ac:dyDescent="0.2">
      <c r="B1692" s="251">
        <v>44763</v>
      </c>
      <c r="C1692" s="451">
        <v>55681.95</v>
      </c>
      <c r="D1692" s="261">
        <f t="shared" si="26"/>
        <v>-5.1079389281445398E-3</v>
      </c>
    </row>
    <row r="1693" spans="2:4" ht="14" thickBot="1" x14ac:dyDescent="0.2">
      <c r="B1693" s="251">
        <v>44764</v>
      </c>
      <c r="C1693" s="451">
        <v>56072.23</v>
      </c>
      <c r="D1693" s="261">
        <f t="shared" si="26"/>
        <v>-6.9603081596719685E-3</v>
      </c>
    </row>
    <row r="1694" spans="2:4" ht="14" thickBot="1" x14ac:dyDescent="0.2">
      <c r="B1694" s="251">
        <v>44767</v>
      </c>
      <c r="C1694" s="451">
        <v>55766.22</v>
      </c>
      <c r="D1694" s="261">
        <f t="shared" si="26"/>
        <v>5.4873721044748081E-3</v>
      </c>
    </row>
    <row r="1695" spans="2:4" ht="14" thickBot="1" x14ac:dyDescent="0.2">
      <c r="B1695" s="251">
        <v>44768</v>
      </c>
      <c r="C1695" s="451">
        <v>55268.49</v>
      </c>
      <c r="D1695" s="261">
        <f t="shared" si="26"/>
        <v>9.0056739382604611E-3</v>
      </c>
    </row>
    <row r="1696" spans="2:4" ht="14" thickBot="1" x14ac:dyDescent="0.2">
      <c r="B1696" s="251">
        <v>44769</v>
      </c>
      <c r="C1696" s="451">
        <v>55816.32</v>
      </c>
      <c r="D1696" s="261">
        <f t="shared" si="26"/>
        <v>-9.8148713494548012E-3</v>
      </c>
    </row>
    <row r="1697" spans="2:4" ht="14" thickBot="1" x14ac:dyDescent="0.2">
      <c r="B1697" s="251">
        <v>44770</v>
      </c>
      <c r="C1697" s="451">
        <v>56857.79</v>
      </c>
      <c r="D1697" s="261">
        <f t="shared" si="26"/>
        <v>-1.8317103074178553E-2</v>
      </c>
    </row>
    <row r="1698" spans="2:4" ht="14" thickBot="1" x14ac:dyDescent="0.2">
      <c r="B1698" s="251">
        <v>44771</v>
      </c>
      <c r="C1698" s="451">
        <v>57570.25</v>
      </c>
      <c r="D1698" s="261">
        <f t="shared" si="26"/>
        <v>-1.2375489076389301E-2</v>
      </c>
    </row>
    <row r="1699" spans="2:4" ht="14" thickBot="1" x14ac:dyDescent="0.2">
      <c r="B1699" s="251">
        <v>44774</v>
      </c>
      <c r="C1699" s="451">
        <v>58115.5</v>
      </c>
      <c r="D1699" s="261">
        <f t="shared" si="26"/>
        <v>-9.3821785926302415E-3</v>
      </c>
    </row>
    <row r="1700" spans="2:4" ht="14" thickBot="1" x14ac:dyDescent="0.2">
      <c r="B1700" s="251">
        <v>44775</v>
      </c>
      <c r="C1700" s="451">
        <v>58136.36</v>
      </c>
      <c r="D1700" s="261">
        <f t="shared" si="26"/>
        <v>-3.5881159398354345E-4</v>
      </c>
    </row>
    <row r="1701" spans="2:4" ht="14" thickBot="1" x14ac:dyDescent="0.2">
      <c r="B1701" s="251">
        <v>44776</v>
      </c>
      <c r="C1701" s="451">
        <v>58350.53</v>
      </c>
      <c r="D1701" s="261">
        <f t="shared" si="26"/>
        <v>-3.6704036792810646E-3</v>
      </c>
    </row>
    <row r="1702" spans="2:4" ht="14" thickBot="1" x14ac:dyDescent="0.2">
      <c r="B1702" s="251">
        <v>44777</v>
      </c>
      <c r="C1702" s="451">
        <v>58298.8</v>
      </c>
      <c r="D1702" s="261">
        <f t="shared" si="26"/>
        <v>8.8732529657553627E-4</v>
      </c>
    </row>
    <row r="1703" spans="2:4" ht="14" thickBot="1" x14ac:dyDescent="0.2">
      <c r="B1703" s="251">
        <v>44778</v>
      </c>
      <c r="C1703" s="451">
        <v>58387.93</v>
      </c>
      <c r="D1703" s="261">
        <f t="shared" si="26"/>
        <v>-1.5265141271492144E-3</v>
      </c>
    </row>
    <row r="1704" spans="2:4" ht="14" thickBot="1" x14ac:dyDescent="0.2">
      <c r="B1704" s="251">
        <v>44781</v>
      </c>
      <c r="C1704" s="451">
        <v>58853.07</v>
      </c>
      <c r="D1704" s="261">
        <f t="shared" si="26"/>
        <v>-7.9034109860368629E-3</v>
      </c>
    </row>
    <row r="1705" spans="2:4" ht="14" thickBot="1" x14ac:dyDescent="0.2">
      <c r="B1705" s="251">
        <v>44783</v>
      </c>
      <c r="C1705" s="451">
        <v>58817.29</v>
      </c>
      <c r="D1705" s="261">
        <f t="shared" si="26"/>
        <v>6.0832452498238432E-4</v>
      </c>
    </row>
    <row r="1706" spans="2:4" ht="14" thickBot="1" x14ac:dyDescent="0.2">
      <c r="B1706" s="251">
        <v>44784</v>
      </c>
      <c r="C1706" s="451">
        <v>59332.6</v>
      </c>
      <c r="D1706" s="261">
        <f t="shared" si="26"/>
        <v>-8.6851073440232796E-3</v>
      </c>
    </row>
    <row r="1707" spans="2:4" ht="14" thickBot="1" x14ac:dyDescent="0.2">
      <c r="B1707" s="251">
        <v>44785</v>
      </c>
      <c r="C1707" s="451">
        <v>59462.78</v>
      </c>
      <c r="D1707" s="261">
        <f t="shared" si="26"/>
        <v>-2.1892686483880874E-3</v>
      </c>
    </row>
    <row r="1708" spans="2:4" ht="14" thickBot="1" x14ac:dyDescent="0.2">
      <c r="B1708" s="251">
        <v>44789</v>
      </c>
      <c r="C1708" s="451">
        <v>59842.21</v>
      </c>
      <c r="D1708" s="261">
        <f t="shared" si="26"/>
        <v>-6.3405078121279157E-3</v>
      </c>
    </row>
    <row r="1709" spans="2:4" ht="14" thickBot="1" x14ac:dyDescent="0.2">
      <c r="B1709" s="251">
        <v>44790</v>
      </c>
      <c r="C1709" s="451">
        <v>60260.13</v>
      </c>
      <c r="D1709" s="261">
        <f t="shared" si="26"/>
        <v>-6.9352654898022781E-3</v>
      </c>
    </row>
    <row r="1710" spans="2:4" ht="14" thickBot="1" x14ac:dyDescent="0.2">
      <c r="B1710" s="251">
        <v>44791</v>
      </c>
      <c r="C1710" s="451">
        <v>60298</v>
      </c>
      <c r="D1710" s="261">
        <f t="shared" si="26"/>
        <v>-6.2804736475507994E-4</v>
      </c>
    </row>
    <row r="1711" spans="2:4" ht="14" thickBot="1" x14ac:dyDescent="0.2">
      <c r="B1711" s="251">
        <v>44792</v>
      </c>
      <c r="C1711" s="451">
        <v>59646.15</v>
      </c>
      <c r="D1711" s="261">
        <f t="shared" si="26"/>
        <v>1.0928618192456607E-2</v>
      </c>
    </row>
    <row r="1712" spans="2:4" ht="14" thickBot="1" x14ac:dyDescent="0.2">
      <c r="B1712" s="251">
        <v>44795</v>
      </c>
      <c r="C1712" s="451">
        <v>58773.87</v>
      </c>
      <c r="D1712" s="261">
        <f t="shared" si="26"/>
        <v>1.4841289164725824E-2</v>
      </c>
    </row>
    <row r="1713" spans="2:4" ht="14" thickBot="1" x14ac:dyDescent="0.2">
      <c r="B1713" s="251">
        <v>44796</v>
      </c>
      <c r="C1713" s="451">
        <v>59031.3</v>
      </c>
      <c r="D1713" s="261">
        <f t="shared" si="26"/>
        <v>-4.360906840947143E-3</v>
      </c>
    </row>
    <row r="1714" spans="2:4" ht="14" thickBot="1" x14ac:dyDescent="0.2">
      <c r="B1714" s="251">
        <v>44797</v>
      </c>
      <c r="C1714" s="451">
        <v>59085.43</v>
      </c>
      <c r="D1714" s="261">
        <f t="shared" si="26"/>
        <v>-9.161311003406114E-4</v>
      </c>
    </row>
    <row r="1715" spans="2:4" ht="14" thickBot="1" x14ac:dyDescent="0.2">
      <c r="B1715" s="251">
        <v>44798</v>
      </c>
      <c r="C1715" s="451">
        <v>58774.720000000001</v>
      </c>
      <c r="D1715" s="261">
        <f t="shared" si="26"/>
        <v>5.286456490137148E-3</v>
      </c>
    </row>
    <row r="1716" spans="2:4" ht="14" thickBot="1" x14ac:dyDescent="0.2">
      <c r="B1716" s="251">
        <v>44799</v>
      </c>
      <c r="C1716" s="451">
        <v>58833.87</v>
      </c>
      <c r="D1716" s="261">
        <f t="shared" si="26"/>
        <v>-1.0053732654337066E-3</v>
      </c>
    </row>
    <row r="1717" spans="2:4" ht="14" thickBot="1" x14ac:dyDescent="0.2">
      <c r="B1717" s="251">
        <v>44802</v>
      </c>
      <c r="C1717" s="451">
        <v>57972.62</v>
      </c>
      <c r="D1717" s="261">
        <f t="shared" si="26"/>
        <v>1.4856151058896483E-2</v>
      </c>
    </row>
    <row r="1718" spans="2:4" ht="14" thickBot="1" x14ac:dyDescent="0.2">
      <c r="B1718" s="251">
        <v>44803</v>
      </c>
      <c r="C1718" s="451">
        <v>59537.07</v>
      </c>
      <c r="D1718" s="261">
        <f t="shared" si="26"/>
        <v>-2.6276906135958567E-2</v>
      </c>
    </row>
    <row r="1719" spans="2:4" ht="14" thickBot="1" x14ac:dyDescent="0.2">
      <c r="B1719" s="251">
        <v>44805</v>
      </c>
      <c r="C1719" s="451">
        <v>58766.59</v>
      </c>
      <c r="D1719" s="261">
        <f t="shared" si="26"/>
        <v>1.3110850910355687E-2</v>
      </c>
    </row>
    <row r="1720" spans="2:4" ht="14" thickBot="1" x14ac:dyDescent="0.2">
      <c r="B1720" s="251">
        <v>44806</v>
      </c>
      <c r="C1720" s="451">
        <v>58803.33</v>
      </c>
      <c r="D1720" s="261">
        <f t="shared" si="26"/>
        <v>-6.2479454819996949E-4</v>
      </c>
    </row>
    <row r="1721" spans="2:4" ht="14" thickBot="1" x14ac:dyDescent="0.2">
      <c r="B1721" s="251">
        <v>44809</v>
      </c>
      <c r="C1721" s="451">
        <v>59245.98</v>
      </c>
      <c r="D1721" s="261">
        <f t="shared" si="26"/>
        <v>-7.4713929957779257E-3</v>
      </c>
    </row>
    <row r="1722" spans="2:4" ht="14" thickBot="1" x14ac:dyDescent="0.2">
      <c r="B1722" s="251">
        <v>44810</v>
      </c>
      <c r="C1722" s="451">
        <v>59196.99</v>
      </c>
      <c r="D1722" s="261">
        <f t="shared" si="26"/>
        <v>8.2757586154302842E-4</v>
      </c>
    </row>
    <row r="1723" spans="2:4" ht="14" thickBot="1" x14ac:dyDescent="0.2">
      <c r="B1723" s="251">
        <v>44811</v>
      </c>
      <c r="C1723" s="451">
        <v>59028.91</v>
      </c>
      <c r="D1723" s="261">
        <f t="shared" si="26"/>
        <v>2.8474183243429874E-3</v>
      </c>
    </row>
    <row r="1724" spans="2:4" ht="14" thickBot="1" x14ac:dyDescent="0.2">
      <c r="B1724" s="251">
        <v>44812</v>
      </c>
      <c r="C1724" s="451">
        <v>59688.22</v>
      </c>
      <c r="D1724" s="261">
        <f t="shared" si="26"/>
        <v>-1.1045898168851376E-2</v>
      </c>
    </row>
    <row r="1725" spans="2:4" ht="14" thickBot="1" x14ac:dyDescent="0.2">
      <c r="B1725" s="251">
        <v>44813</v>
      </c>
      <c r="C1725" s="451">
        <v>59793.14</v>
      </c>
      <c r="D1725" s="261">
        <f t="shared" si="26"/>
        <v>-1.7547163437142688E-3</v>
      </c>
    </row>
    <row r="1726" spans="2:4" ht="14" thickBot="1" x14ac:dyDescent="0.2">
      <c r="B1726" s="251">
        <v>44816</v>
      </c>
      <c r="C1726" s="451">
        <v>60115.13</v>
      </c>
      <c r="D1726" s="261">
        <f t="shared" si="26"/>
        <v>-5.3562223021059729E-3</v>
      </c>
    </row>
    <row r="1727" spans="2:4" ht="14" thickBot="1" x14ac:dyDescent="0.2">
      <c r="B1727" s="251">
        <v>44817</v>
      </c>
      <c r="C1727" s="451">
        <v>60571.08</v>
      </c>
      <c r="D1727" s="261">
        <f t="shared" si="26"/>
        <v>-7.5275197338400268E-3</v>
      </c>
    </row>
    <row r="1728" spans="2:4" ht="14" thickBot="1" x14ac:dyDescent="0.2">
      <c r="B1728" s="251">
        <v>44818</v>
      </c>
      <c r="C1728" s="451">
        <v>60346.97</v>
      </c>
      <c r="D1728" s="261">
        <f t="shared" si="26"/>
        <v>3.713691010501341E-3</v>
      </c>
    </row>
    <row r="1729" spans="2:4" ht="14" thickBot="1" x14ac:dyDescent="0.2">
      <c r="B1729" s="251">
        <v>44819</v>
      </c>
      <c r="C1729" s="451">
        <v>59934.01</v>
      </c>
      <c r="D1729" s="261">
        <f t="shared" si="26"/>
        <v>6.8902447875587303E-3</v>
      </c>
    </row>
    <row r="1730" spans="2:4" ht="14" thickBot="1" x14ac:dyDescent="0.2">
      <c r="B1730" s="251">
        <v>44820</v>
      </c>
      <c r="C1730" s="451">
        <v>58840.79</v>
      </c>
      <c r="D1730" s="261">
        <f t="shared" si="26"/>
        <v>1.857928827944022E-2</v>
      </c>
    </row>
    <row r="1731" spans="2:4" ht="14" thickBot="1" x14ac:dyDescent="0.2">
      <c r="B1731" s="251">
        <v>44823</v>
      </c>
      <c r="C1731" s="451">
        <v>59141.23</v>
      </c>
      <c r="D1731" s="261">
        <f t="shared" si="26"/>
        <v>-5.0800431441822003E-3</v>
      </c>
    </row>
    <row r="1732" spans="2:4" ht="14" thickBot="1" x14ac:dyDescent="0.2">
      <c r="B1732" s="251">
        <v>44824</v>
      </c>
      <c r="C1732" s="451">
        <v>59719.74</v>
      </c>
      <c r="D1732" s="261">
        <f t="shared" si="26"/>
        <v>-9.6870816919162328E-3</v>
      </c>
    </row>
    <row r="1733" spans="2:4" ht="14" thickBot="1" x14ac:dyDescent="0.2">
      <c r="B1733" s="251">
        <v>44825</v>
      </c>
      <c r="C1733" s="451">
        <v>59456.78</v>
      </c>
      <c r="D1733" s="261">
        <f t="shared" si="26"/>
        <v>4.4227083942318668E-3</v>
      </c>
    </row>
    <row r="1734" spans="2:4" ht="14" thickBot="1" x14ac:dyDescent="0.2">
      <c r="B1734" s="251">
        <v>44826</v>
      </c>
      <c r="C1734" s="451">
        <v>59119.72</v>
      </c>
      <c r="D1734" s="261">
        <f t="shared" si="26"/>
        <v>5.7013125231308859E-3</v>
      </c>
    </row>
    <row r="1735" spans="2:4" ht="14" thickBot="1" x14ac:dyDescent="0.2">
      <c r="B1735" s="251">
        <v>44827</v>
      </c>
      <c r="C1735" s="451">
        <v>58098.92</v>
      </c>
      <c r="D1735" s="261">
        <f t="shared" si="26"/>
        <v>1.7570034004074531E-2</v>
      </c>
    </row>
    <row r="1736" spans="2:4" ht="14" thickBot="1" x14ac:dyDescent="0.2">
      <c r="B1736" s="251">
        <v>44830</v>
      </c>
      <c r="C1736" s="451">
        <v>57145.22</v>
      </c>
      <c r="D1736" s="261">
        <f t="shared" si="26"/>
        <v>1.6689059907372794E-2</v>
      </c>
    </row>
    <row r="1737" spans="2:4" ht="14" thickBot="1" x14ac:dyDescent="0.2">
      <c r="B1737" s="251">
        <v>44831</v>
      </c>
      <c r="C1737" s="451">
        <v>57107.519999999997</v>
      </c>
      <c r="D1737" s="261">
        <f t="shared" si="26"/>
        <v>6.6015824185683414E-4</v>
      </c>
    </row>
    <row r="1738" spans="2:4" ht="14" thickBot="1" x14ac:dyDescent="0.2">
      <c r="B1738" s="251">
        <v>44832</v>
      </c>
      <c r="C1738" s="451">
        <v>56598.28</v>
      </c>
      <c r="D1738" s="261">
        <f t="shared" ref="D1738:D1801" si="27">C1737/C1738-1</f>
        <v>8.9974465655140445E-3</v>
      </c>
    </row>
    <row r="1739" spans="2:4" ht="14" thickBot="1" x14ac:dyDescent="0.2">
      <c r="B1739" s="251">
        <v>44833</v>
      </c>
      <c r="C1739" s="451">
        <v>56409.96</v>
      </c>
      <c r="D1739" s="261">
        <f t="shared" si="27"/>
        <v>3.3384175418667006E-3</v>
      </c>
    </row>
    <row r="1740" spans="2:4" ht="14" thickBot="1" x14ac:dyDescent="0.2">
      <c r="B1740" s="251">
        <v>44834</v>
      </c>
      <c r="C1740" s="451">
        <v>57426.92</v>
      </c>
      <c r="D1740" s="261">
        <f t="shared" si="27"/>
        <v>-1.7708767943675152E-2</v>
      </c>
    </row>
    <row r="1741" spans="2:4" ht="14" thickBot="1" x14ac:dyDescent="0.2">
      <c r="B1741" s="251">
        <v>44837</v>
      </c>
      <c r="C1741" s="451">
        <v>56788.81</v>
      </c>
      <c r="D1741" s="261">
        <f t="shared" si="27"/>
        <v>1.1236544664344983E-2</v>
      </c>
    </row>
    <row r="1742" spans="2:4" ht="14" thickBot="1" x14ac:dyDescent="0.2">
      <c r="B1742" s="251">
        <v>44838</v>
      </c>
      <c r="C1742" s="451">
        <v>58065.47</v>
      </c>
      <c r="D1742" s="261">
        <f t="shared" si="27"/>
        <v>-2.1986561031883567E-2</v>
      </c>
    </row>
    <row r="1743" spans="2:4" ht="14" thickBot="1" x14ac:dyDescent="0.2">
      <c r="B1743" s="251">
        <v>44840</v>
      </c>
      <c r="C1743" s="451">
        <v>58222.1</v>
      </c>
      <c r="D1743" s="261">
        <f t="shared" si="27"/>
        <v>-2.6902155710631925E-3</v>
      </c>
    </row>
    <row r="1744" spans="2:4" ht="14" thickBot="1" x14ac:dyDescent="0.2">
      <c r="B1744" s="251">
        <v>44841</v>
      </c>
      <c r="C1744" s="451">
        <v>58191.29</v>
      </c>
      <c r="D1744" s="261">
        <f t="shared" si="27"/>
        <v>5.2946068045578443E-4</v>
      </c>
    </row>
    <row r="1745" spans="2:4" ht="14" thickBot="1" x14ac:dyDescent="0.2">
      <c r="B1745" s="251">
        <v>44844</v>
      </c>
      <c r="C1745" s="451">
        <v>57991.11</v>
      </c>
      <c r="D1745" s="261">
        <f t="shared" si="27"/>
        <v>3.4519084045814274E-3</v>
      </c>
    </row>
    <row r="1746" spans="2:4" ht="14" thickBot="1" x14ac:dyDescent="0.2">
      <c r="B1746" s="251">
        <v>44845</v>
      </c>
      <c r="C1746" s="451">
        <v>57147.32</v>
      </c>
      <c r="D1746" s="261">
        <f t="shared" si="27"/>
        <v>1.4765171840079194E-2</v>
      </c>
    </row>
    <row r="1747" spans="2:4" ht="14" thickBot="1" x14ac:dyDescent="0.2">
      <c r="B1747" s="251">
        <v>44846</v>
      </c>
      <c r="C1747" s="451">
        <v>57625.91</v>
      </c>
      <c r="D1747" s="261">
        <f t="shared" si="27"/>
        <v>-8.3051183052901267E-3</v>
      </c>
    </row>
    <row r="1748" spans="2:4" ht="14" thickBot="1" x14ac:dyDescent="0.2">
      <c r="B1748" s="251">
        <v>44847</v>
      </c>
      <c r="C1748" s="451">
        <v>57235.33</v>
      </c>
      <c r="D1748" s="261">
        <f t="shared" si="27"/>
        <v>6.8241067186998183E-3</v>
      </c>
    </row>
    <row r="1749" spans="2:4" ht="14" thickBot="1" x14ac:dyDescent="0.2">
      <c r="B1749" s="251">
        <v>44848</v>
      </c>
      <c r="C1749" s="451">
        <v>57919.97</v>
      </c>
      <c r="D1749" s="261">
        <f t="shared" si="27"/>
        <v>-1.1820448111419912E-2</v>
      </c>
    </row>
    <row r="1750" spans="2:4" ht="14" thickBot="1" x14ac:dyDescent="0.2">
      <c r="B1750" s="251">
        <v>44851</v>
      </c>
      <c r="C1750" s="451">
        <v>58410.98</v>
      </c>
      <c r="D1750" s="261">
        <f t="shared" si="27"/>
        <v>-8.4061250127972498E-3</v>
      </c>
    </row>
    <row r="1751" spans="2:4" ht="14" thickBot="1" x14ac:dyDescent="0.2">
      <c r="B1751" s="251">
        <v>44852</v>
      </c>
      <c r="C1751" s="451">
        <v>58960.6</v>
      </c>
      <c r="D1751" s="261">
        <f t="shared" si="27"/>
        <v>-9.3218182989995846E-3</v>
      </c>
    </row>
    <row r="1752" spans="2:4" ht="14" thickBot="1" x14ac:dyDescent="0.2">
      <c r="B1752" s="251">
        <v>44853</v>
      </c>
      <c r="C1752" s="451">
        <v>59107.19</v>
      </c>
      <c r="D1752" s="261">
        <f t="shared" si="27"/>
        <v>-2.4800705294906189E-3</v>
      </c>
    </row>
    <row r="1753" spans="2:4" ht="14" thickBot="1" x14ac:dyDescent="0.2">
      <c r="B1753" s="251">
        <v>44854</v>
      </c>
      <c r="C1753" s="451">
        <v>59202.9</v>
      </c>
      <c r="D1753" s="261">
        <f t="shared" si="27"/>
        <v>-1.6166437792742849E-3</v>
      </c>
    </row>
    <row r="1754" spans="2:4" ht="14" thickBot="1" x14ac:dyDescent="0.2">
      <c r="B1754" s="251">
        <v>44855</v>
      </c>
      <c r="C1754" s="451">
        <v>59307.15</v>
      </c>
      <c r="D1754" s="261">
        <f t="shared" si="27"/>
        <v>-1.7577981744191229E-3</v>
      </c>
    </row>
    <row r="1755" spans="2:4" ht="14" thickBot="1" x14ac:dyDescent="0.2">
      <c r="B1755" s="251">
        <v>44858</v>
      </c>
      <c r="C1755" s="451">
        <v>59831.66</v>
      </c>
      <c r="D1755" s="261">
        <f t="shared" si="27"/>
        <v>-8.7664290109952248E-3</v>
      </c>
    </row>
    <row r="1756" spans="2:4" ht="14" thickBot="1" x14ac:dyDescent="0.2">
      <c r="B1756" s="251">
        <v>44859</v>
      </c>
      <c r="C1756" s="451">
        <v>59543.96</v>
      </c>
      <c r="D1756" s="261">
        <f t="shared" si="27"/>
        <v>4.831724326027409E-3</v>
      </c>
    </row>
    <row r="1757" spans="2:4" ht="14" thickBot="1" x14ac:dyDescent="0.2">
      <c r="B1757" s="251">
        <v>44861</v>
      </c>
      <c r="C1757" s="451">
        <v>59756.84</v>
      </c>
      <c r="D1757" s="261">
        <f t="shared" si="27"/>
        <v>-3.5624373711862223E-3</v>
      </c>
    </row>
    <row r="1758" spans="2:4" ht="14" thickBot="1" x14ac:dyDescent="0.2">
      <c r="B1758" s="251">
        <v>44862</v>
      </c>
      <c r="C1758" s="451">
        <v>59959.85</v>
      </c>
      <c r="D1758" s="261">
        <f t="shared" si="27"/>
        <v>-3.385765641508498E-3</v>
      </c>
    </row>
    <row r="1759" spans="2:4" ht="14" thickBot="1" x14ac:dyDescent="0.2">
      <c r="B1759" s="251">
        <v>44865</v>
      </c>
      <c r="C1759" s="451">
        <v>60746.59</v>
      </c>
      <c r="D1759" s="261">
        <f t="shared" si="27"/>
        <v>-1.2951179646462418E-2</v>
      </c>
    </row>
    <row r="1760" spans="2:4" ht="14" thickBot="1" x14ac:dyDescent="0.2">
      <c r="B1760" s="251">
        <v>44866</v>
      </c>
      <c r="C1760" s="451">
        <v>61121.35</v>
      </c>
      <c r="D1760" s="261">
        <f t="shared" si="27"/>
        <v>-6.131409073916072E-3</v>
      </c>
    </row>
    <row r="1761" spans="2:4" ht="14" thickBot="1" x14ac:dyDescent="0.2">
      <c r="B1761" s="251">
        <v>44867</v>
      </c>
      <c r="C1761" s="451">
        <v>60906.09</v>
      </c>
      <c r="D1761" s="261">
        <f t="shared" si="27"/>
        <v>3.5342935328799285E-3</v>
      </c>
    </row>
    <row r="1762" spans="2:4" ht="14" thickBot="1" x14ac:dyDescent="0.2">
      <c r="B1762" s="251">
        <v>44868</v>
      </c>
      <c r="C1762" s="451">
        <v>60836.41</v>
      </c>
      <c r="D1762" s="261">
        <f t="shared" si="27"/>
        <v>1.145366730219477E-3</v>
      </c>
    </row>
    <row r="1763" spans="2:4" ht="14" thickBot="1" x14ac:dyDescent="0.2">
      <c r="B1763" s="251">
        <v>44869</v>
      </c>
      <c r="C1763" s="451">
        <v>60950.36</v>
      </c>
      <c r="D1763" s="261">
        <f t="shared" si="27"/>
        <v>-1.86955417490553E-3</v>
      </c>
    </row>
    <row r="1764" spans="2:4" ht="14" thickBot="1" x14ac:dyDescent="0.2">
      <c r="B1764" s="251">
        <v>44872</v>
      </c>
      <c r="C1764" s="451">
        <v>61185.15</v>
      </c>
      <c r="D1764" s="261">
        <f t="shared" si="27"/>
        <v>-3.8373690348066924E-3</v>
      </c>
    </row>
    <row r="1765" spans="2:4" ht="14" thickBot="1" x14ac:dyDescent="0.2">
      <c r="B1765" s="251">
        <v>44874</v>
      </c>
      <c r="C1765" s="451">
        <v>61033.55</v>
      </c>
      <c r="D1765" s="261">
        <f t="shared" si="27"/>
        <v>2.4838797677670943E-3</v>
      </c>
    </row>
    <row r="1766" spans="2:4" ht="14" thickBot="1" x14ac:dyDescent="0.2">
      <c r="B1766" s="251">
        <v>44875</v>
      </c>
      <c r="C1766" s="451">
        <v>60613.7</v>
      </c>
      <c r="D1766" s="261">
        <f t="shared" si="27"/>
        <v>6.9266518955286571E-3</v>
      </c>
    </row>
    <row r="1767" spans="2:4" ht="14" thickBot="1" x14ac:dyDescent="0.2">
      <c r="B1767" s="251">
        <v>44876</v>
      </c>
      <c r="C1767" s="451">
        <v>61795.040000000001</v>
      </c>
      <c r="D1767" s="261">
        <f t="shared" si="27"/>
        <v>-1.9117068295449013E-2</v>
      </c>
    </row>
    <row r="1768" spans="2:4" ht="14" thickBot="1" x14ac:dyDescent="0.2">
      <c r="B1768" s="251">
        <v>44879</v>
      </c>
      <c r="C1768" s="451">
        <v>61624.15</v>
      </c>
      <c r="D1768" s="261">
        <f t="shared" si="27"/>
        <v>2.7731011299954034E-3</v>
      </c>
    </row>
    <row r="1769" spans="2:4" ht="14" thickBot="1" x14ac:dyDescent="0.2">
      <c r="B1769" s="251">
        <v>44880</v>
      </c>
      <c r="C1769" s="451">
        <v>61872.99</v>
      </c>
      <c r="D1769" s="261">
        <f t="shared" si="27"/>
        <v>-4.0217872128047727E-3</v>
      </c>
    </row>
    <row r="1770" spans="2:4" ht="14" thickBot="1" x14ac:dyDescent="0.2">
      <c r="B1770" s="251">
        <v>44881</v>
      </c>
      <c r="C1770" s="451">
        <v>61980.72</v>
      </c>
      <c r="D1770" s="261">
        <f t="shared" si="27"/>
        <v>-1.7381211447689005E-3</v>
      </c>
    </row>
    <row r="1771" spans="2:4" ht="14" thickBot="1" x14ac:dyDescent="0.2">
      <c r="B1771" s="251">
        <v>44882</v>
      </c>
      <c r="C1771" s="451">
        <v>61750.6</v>
      </c>
      <c r="D1771" s="261">
        <f t="shared" si="27"/>
        <v>3.7266034662011283E-3</v>
      </c>
    </row>
    <row r="1772" spans="2:4" ht="14" thickBot="1" x14ac:dyDescent="0.2">
      <c r="B1772" s="251">
        <v>44883</v>
      </c>
      <c r="C1772" s="451">
        <v>61663.48</v>
      </c>
      <c r="D1772" s="261">
        <f t="shared" si="27"/>
        <v>1.4128297656894606E-3</v>
      </c>
    </row>
    <row r="1773" spans="2:4" ht="14" thickBot="1" x14ac:dyDescent="0.2">
      <c r="B1773" s="251">
        <v>44886</v>
      </c>
      <c r="C1773" s="451">
        <v>61144.84</v>
      </c>
      <c r="D1773" s="261">
        <f t="shared" si="27"/>
        <v>8.4821548310536343E-3</v>
      </c>
    </row>
    <row r="1774" spans="2:4" ht="14" thickBot="1" x14ac:dyDescent="0.2">
      <c r="B1774" s="251">
        <v>44887</v>
      </c>
      <c r="C1774" s="451">
        <v>61418.96</v>
      </c>
      <c r="D1774" s="261">
        <f t="shared" si="27"/>
        <v>-4.4631169267601578E-3</v>
      </c>
    </row>
    <row r="1775" spans="2:4" ht="14" thickBot="1" x14ac:dyDescent="0.2">
      <c r="B1775" s="251">
        <v>44888</v>
      </c>
      <c r="C1775" s="451">
        <v>61510.58</v>
      </c>
      <c r="D1775" s="261">
        <f t="shared" si="27"/>
        <v>-1.489499855146903E-3</v>
      </c>
    </row>
    <row r="1776" spans="2:4" ht="14" thickBot="1" x14ac:dyDescent="0.2">
      <c r="B1776" s="251">
        <v>44889</v>
      </c>
      <c r="C1776" s="451">
        <v>62272.68</v>
      </c>
      <c r="D1776" s="261">
        <f t="shared" si="27"/>
        <v>-1.2238111480026181E-2</v>
      </c>
    </row>
    <row r="1777" spans="2:4" ht="14" thickBot="1" x14ac:dyDescent="0.2">
      <c r="B1777" s="251">
        <v>44890</v>
      </c>
      <c r="C1777" s="451">
        <v>62293.64</v>
      </c>
      <c r="D1777" s="261">
        <f t="shared" si="27"/>
        <v>-3.364709463117288E-4</v>
      </c>
    </row>
    <row r="1778" spans="2:4" ht="14" thickBot="1" x14ac:dyDescent="0.2">
      <c r="B1778" s="251">
        <v>44893</v>
      </c>
      <c r="C1778" s="451">
        <v>62504.800000000003</v>
      </c>
      <c r="D1778" s="261">
        <f t="shared" si="27"/>
        <v>-3.3783005465181093E-3</v>
      </c>
    </row>
    <row r="1779" spans="2:4" ht="14" thickBot="1" x14ac:dyDescent="0.2">
      <c r="B1779" s="251">
        <v>44894</v>
      </c>
      <c r="C1779" s="451">
        <v>62681.84</v>
      </c>
      <c r="D1779" s="261">
        <f t="shared" si="27"/>
        <v>-2.8244225121660804E-3</v>
      </c>
    </row>
    <row r="1780" spans="2:4" ht="14" thickBot="1" x14ac:dyDescent="0.2">
      <c r="B1780" s="251">
        <v>44895</v>
      </c>
      <c r="C1780" s="451">
        <v>63099.65</v>
      </c>
      <c r="D1780" s="261">
        <f t="shared" si="27"/>
        <v>-6.6214313391596002E-3</v>
      </c>
    </row>
    <row r="1781" spans="2:4" ht="14" thickBot="1" x14ac:dyDescent="0.2">
      <c r="B1781" s="251">
        <v>44896</v>
      </c>
      <c r="C1781" s="451">
        <v>63284.19</v>
      </c>
      <c r="D1781" s="261">
        <f t="shared" si="27"/>
        <v>-2.9160521766968817E-3</v>
      </c>
    </row>
    <row r="1782" spans="2:4" ht="14" thickBot="1" x14ac:dyDescent="0.2">
      <c r="B1782" s="251">
        <v>44897</v>
      </c>
      <c r="C1782" s="451">
        <v>62868.5</v>
      </c>
      <c r="D1782" s="261">
        <f t="shared" si="27"/>
        <v>6.6120553218225186E-3</v>
      </c>
    </row>
    <row r="1783" spans="2:4" ht="14" thickBot="1" x14ac:dyDescent="0.2">
      <c r="B1783" s="251">
        <v>44900</v>
      </c>
      <c r="C1783" s="451">
        <v>62834.6</v>
      </c>
      <c r="D1783" s="261">
        <f t="shared" si="27"/>
        <v>5.3951167032173508E-4</v>
      </c>
    </row>
    <row r="1784" spans="2:4" ht="14" thickBot="1" x14ac:dyDescent="0.2">
      <c r="B1784" s="251">
        <v>44901</v>
      </c>
      <c r="C1784" s="451">
        <v>62626.36</v>
      </c>
      <c r="D1784" s="261">
        <f t="shared" si="27"/>
        <v>3.3251174106239123E-3</v>
      </c>
    </row>
    <row r="1785" spans="2:4" ht="14" thickBot="1" x14ac:dyDescent="0.2">
      <c r="B1785" s="251">
        <v>44902</v>
      </c>
      <c r="C1785" s="451">
        <v>62410.68</v>
      </c>
      <c r="D1785" s="261">
        <f t="shared" si="27"/>
        <v>3.4558187797344431E-3</v>
      </c>
    </row>
    <row r="1786" spans="2:4" ht="14" thickBot="1" x14ac:dyDescent="0.2">
      <c r="B1786" s="251">
        <v>44903</v>
      </c>
      <c r="C1786" s="451">
        <v>62570.68</v>
      </c>
      <c r="D1786" s="261">
        <f t="shared" si="27"/>
        <v>-2.5571082174590254E-3</v>
      </c>
    </row>
    <row r="1787" spans="2:4" ht="14" thickBot="1" x14ac:dyDescent="0.2">
      <c r="B1787" s="251">
        <v>44904</v>
      </c>
      <c r="C1787" s="451">
        <v>62181.67</v>
      </c>
      <c r="D1787" s="261">
        <f t="shared" si="27"/>
        <v>6.2560236802904345E-3</v>
      </c>
    </row>
    <row r="1788" spans="2:4" ht="14" thickBot="1" x14ac:dyDescent="0.2">
      <c r="B1788" s="251">
        <v>44907</v>
      </c>
      <c r="C1788" s="451">
        <v>62130.57</v>
      </c>
      <c r="D1788" s="261">
        <f t="shared" si="27"/>
        <v>8.224614710601319E-4</v>
      </c>
    </row>
    <row r="1789" spans="2:4" ht="14" thickBot="1" x14ac:dyDescent="0.2">
      <c r="B1789" s="251">
        <v>44908</v>
      </c>
      <c r="C1789" s="451">
        <v>62533.3</v>
      </c>
      <c r="D1789" s="261">
        <f t="shared" si="27"/>
        <v>-6.4402486355270572E-3</v>
      </c>
    </row>
    <row r="1790" spans="2:4" ht="14" thickBot="1" x14ac:dyDescent="0.2">
      <c r="B1790" s="251">
        <v>44909</v>
      </c>
      <c r="C1790" s="451">
        <v>62677.91</v>
      </c>
      <c r="D1790" s="261">
        <f t="shared" si="27"/>
        <v>-2.3071924382929154E-3</v>
      </c>
    </row>
    <row r="1791" spans="2:4" ht="14" thickBot="1" x14ac:dyDescent="0.2">
      <c r="B1791" s="251">
        <v>44910</v>
      </c>
      <c r="C1791" s="451">
        <v>61799.03</v>
      </c>
      <c r="D1791" s="261">
        <f t="shared" si="27"/>
        <v>1.422158244231353E-2</v>
      </c>
    </row>
    <row r="1792" spans="2:4" ht="14" thickBot="1" x14ac:dyDescent="0.2">
      <c r="B1792" s="251">
        <v>44911</v>
      </c>
      <c r="C1792" s="451">
        <v>61337.81</v>
      </c>
      <c r="D1792" s="261">
        <f t="shared" si="27"/>
        <v>7.5193424740791492E-3</v>
      </c>
    </row>
    <row r="1793" spans="2:4" ht="14" thickBot="1" x14ac:dyDescent="0.2">
      <c r="B1793" s="251">
        <v>44914</v>
      </c>
      <c r="C1793" s="451">
        <v>61806.19</v>
      </c>
      <c r="D1793" s="261">
        <f t="shared" si="27"/>
        <v>-7.5782053545122574E-3</v>
      </c>
    </row>
    <row r="1794" spans="2:4" ht="14" thickBot="1" x14ac:dyDescent="0.2">
      <c r="B1794" s="251">
        <v>44915</v>
      </c>
      <c r="C1794" s="451">
        <v>61702.29</v>
      </c>
      <c r="D1794" s="261">
        <f t="shared" si="27"/>
        <v>1.683892121346009E-3</v>
      </c>
    </row>
    <row r="1795" spans="2:4" ht="14" thickBot="1" x14ac:dyDescent="0.2">
      <c r="B1795" s="251">
        <v>44916</v>
      </c>
      <c r="C1795" s="451">
        <v>61067.24</v>
      </c>
      <c r="D1795" s="261">
        <f t="shared" si="27"/>
        <v>1.0399192758670628E-2</v>
      </c>
    </row>
    <row r="1796" spans="2:4" ht="14" thickBot="1" x14ac:dyDescent="0.2">
      <c r="B1796" s="251">
        <v>44917</v>
      </c>
      <c r="C1796" s="451">
        <v>60826.22</v>
      </c>
      <c r="D1796" s="261">
        <f t="shared" si="27"/>
        <v>3.9624359363445993E-3</v>
      </c>
    </row>
    <row r="1797" spans="2:4" ht="14" thickBot="1" x14ac:dyDescent="0.2">
      <c r="B1797" s="251">
        <v>44918</v>
      </c>
      <c r="C1797" s="451">
        <v>59845.29</v>
      </c>
      <c r="D1797" s="261">
        <f t="shared" si="27"/>
        <v>1.6391097778956309E-2</v>
      </c>
    </row>
    <row r="1798" spans="2:4" ht="14" thickBot="1" x14ac:dyDescent="0.2">
      <c r="B1798" s="251">
        <v>44921</v>
      </c>
      <c r="C1798" s="451">
        <v>60566.42</v>
      </c>
      <c r="D1798" s="261">
        <f t="shared" si="27"/>
        <v>-1.1906432640397036E-2</v>
      </c>
    </row>
    <row r="1799" spans="2:4" ht="14" thickBot="1" x14ac:dyDescent="0.2">
      <c r="B1799" s="251">
        <v>44922</v>
      </c>
      <c r="C1799" s="451">
        <v>60927.43</v>
      </c>
      <c r="D1799" s="261">
        <f t="shared" si="27"/>
        <v>-5.9252458211350723E-3</v>
      </c>
    </row>
    <row r="1800" spans="2:4" ht="14" thickBot="1" x14ac:dyDescent="0.2">
      <c r="B1800" s="251">
        <v>44923</v>
      </c>
      <c r="C1800" s="451">
        <v>60910.28</v>
      </c>
      <c r="D1800" s="261">
        <f t="shared" si="27"/>
        <v>2.8156166742299149E-4</v>
      </c>
    </row>
    <row r="1801" spans="2:4" ht="14" thickBot="1" x14ac:dyDescent="0.2">
      <c r="B1801" s="251">
        <v>44924</v>
      </c>
      <c r="C1801" s="451">
        <v>61133.88</v>
      </c>
      <c r="D1801" s="261">
        <f t="shared" si="27"/>
        <v>-3.657546355637753E-3</v>
      </c>
    </row>
    <row r="1802" spans="2:4" ht="14" thickBot="1" x14ac:dyDescent="0.2">
      <c r="B1802" s="251">
        <v>44925</v>
      </c>
      <c r="C1802" s="451">
        <v>60840.74</v>
      </c>
      <c r="D1802" s="261">
        <f t="shared" ref="D1802:D1865" si="28">C1801/C1802-1</f>
        <v>4.8181530993869348E-3</v>
      </c>
    </row>
    <row r="1803" spans="2:4" ht="14" thickBot="1" x14ac:dyDescent="0.2">
      <c r="B1803" s="251">
        <v>44928</v>
      </c>
      <c r="C1803" s="451">
        <v>61167.79</v>
      </c>
      <c r="D1803" s="261">
        <f t="shared" si="28"/>
        <v>-5.3467682909583703E-3</v>
      </c>
    </row>
    <row r="1804" spans="2:4" ht="14" thickBot="1" x14ac:dyDescent="0.2">
      <c r="B1804" s="251">
        <v>44929</v>
      </c>
      <c r="C1804" s="451">
        <v>61294.2</v>
      </c>
      <c r="D1804" s="261">
        <f t="shared" si="28"/>
        <v>-2.0623484766910671E-3</v>
      </c>
    </row>
    <row r="1805" spans="2:4" ht="14" thickBot="1" x14ac:dyDescent="0.2">
      <c r="B1805" s="251">
        <v>44930</v>
      </c>
      <c r="C1805" s="451">
        <v>60657.45</v>
      </c>
      <c r="D1805" s="261">
        <f t="shared" si="28"/>
        <v>1.0497473929418355E-2</v>
      </c>
    </row>
    <row r="1806" spans="2:4" ht="14" thickBot="1" x14ac:dyDescent="0.2">
      <c r="B1806" s="251">
        <v>44931</v>
      </c>
      <c r="C1806" s="451">
        <v>60353.27</v>
      </c>
      <c r="D1806" s="261">
        <f t="shared" si="28"/>
        <v>5.0399920335717496E-3</v>
      </c>
    </row>
    <row r="1807" spans="2:4" ht="14" thickBot="1" x14ac:dyDescent="0.2">
      <c r="B1807" s="251">
        <v>44932</v>
      </c>
      <c r="C1807" s="451">
        <v>59900.37</v>
      </c>
      <c r="D1807" s="261">
        <f t="shared" si="28"/>
        <v>7.5608881881696899E-3</v>
      </c>
    </row>
    <row r="1808" spans="2:4" ht="14" thickBot="1" x14ac:dyDescent="0.2">
      <c r="B1808" s="251">
        <v>44935</v>
      </c>
      <c r="C1808" s="451">
        <v>60747.31</v>
      </c>
      <c r="D1808" s="261">
        <f t="shared" si="28"/>
        <v>-1.3942016527151546E-2</v>
      </c>
    </row>
    <row r="1809" spans="2:4" ht="14" thickBot="1" x14ac:dyDescent="0.2">
      <c r="B1809" s="251">
        <v>44936</v>
      </c>
      <c r="C1809" s="451">
        <v>60115.48</v>
      </c>
      <c r="D1809" s="261">
        <f t="shared" si="28"/>
        <v>1.0510271231303436E-2</v>
      </c>
    </row>
    <row r="1810" spans="2:4" ht="14" thickBot="1" x14ac:dyDescent="0.2">
      <c r="B1810" s="251">
        <v>44937</v>
      </c>
      <c r="C1810" s="451">
        <v>60105.5</v>
      </c>
      <c r="D1810" s="261">
        <f t="shared" si="28"/>
        <v>1.6604137724507417E-4</v>
      </c>
    </row>
    <row r="1811" spans="2:4" ht="14" thickBot="1" x14ac:dyDescent="0.2">
      <c r="B1811" s="251">
        <v>44938</v>
      </c>
      <c r="C1811" s="451">
        <v>59958.03</v>
      </c>
      <c r="D1811" s="261">
        <f t="shared" si="28"/>
        <v>2.4595537912102117E-3</v>
      </c>
    </row>
    <row r="1812" spans="2:4" ht="14" thickBot="1" x14ac:dyDescent="0.2">
      <c r="B1812" s="251">
        <v>44939</v>
      </c>
      <c r="C1812" s="451">
        <v>60261.18</v>
      </c>
      <c r="D1812" s="261">
        <f t="shared" si="28"/>
        <v>-5.0306017904063749E-3</v>
      </c>
    </row>
    <row r="1813" spans="2:4" ht="14" thickBot="1" x14ac:dyDescent="0.2">
      <c r="B1813" s="251">
        <v>44942</v>
      </c>
      <c r="C1813" s="451">
        <v>60092.97</v>
      </c>
      <c r="D1813" s="261">
        <f t="shared" si="28"/>
        <v>2.7991626974004369E-3</v>
      </c>
    </row>
    <row r="1814" spans="2:4" ht="14" thickBot="1" x14ac:dyDescent="0.2">
      <c r="B1814" s="251">
        <v>44943</v>
      </c>
      <c r="C1814" s="451">
        <v>60655.72</v>
      </c>
      <c r="D1814" s="261">
        <f t="shared" si="28"/>
        <v>-9.2777729783769525E-3</v>
      </c>
    </row>
    <row r="1815" spans="2:4" ht="14" thickBot="1" x14ac:dyDescent="0.2">
      <c r="B1815" s="251">
        <v>44944</v>
      </c>
      <c r="C1815" s="451">
        <v>61045.74</v>
      </c>
      <c r="D1815" s="261">
        <f t="shared" si="28"/>
        <v>-6.3889798043237356E-3</v>
      </c>
    </row>
    <row r="1816" spans="2:4" ht="14" thickBot="1" x14ac:dyDescent="0.2">
      <c r="B1816" s="251">
        <v>44945</v>
      </c>
      <c r="C1816" s="451">
        <v>60858.43</v>
      </c>
      <c r="D1816" s="261">
        <f t="shared" si="28"/>
        <v>3.077798753599037E-3</v>
      </c>
    </row>
    <row r="1817" spans="2:4" ht="14" thickBot="1" x14ac:dyDescent="0.2">
      <c r="B1817" s="251">
        <v>44946</v>
      </c>
      <c r="C1817" s="451">
        <v>60621.77</v>
      </c>
      <c r="D1817" s="261">
        <f t="shared" si="28"/>
        <v>3.9038780952784791E-3</v>
      </c>
    </row>
    <row r="1818" spans="2:4" ht="14" thickBot="1" x14ac:dyDescent="0.2">
      <c r="B1818" s="251">
        <v>44949</v>
      </c>
      <c r="C1818" s="451">
        <v>60941.67</v>
      </c>
      <c r="D1818" s="261">
        <f t="shared" si="28"/>
        <v>-5.2492818132486851E-3</v>
      </c>
    </row>
    <row r="1819" spans="2:4" ht="14" thickBot="1" x14ac:dyDescent="0.2">
      <c r="B1819" s="251">
        <v>44950</v>
      </c>
      <c r="C1819" s="451">
        <v>60978.75</v>
      </c>
      <c r="D1819" s="261">
        <f t="shared" si="28"/>
        <v>-6.0808068384476943E-4</v>
      </c>
    </row>
    <row r="1820" spans="2:4" ht="14" thickBot="1" x14ac:dyDescent="0.2">
      <c r="B1820" s="251">
        <v>44951</v>
      </c>
      <c r="C1820" s="451">
        <v>60205.06</v>
      </c>
      <c r="D1820" s="261">
        <f t="shared" si="28"/>
        <v>1.2850913195668223E-2</v>
      </c>
    </row>
    <row r="1821" spans="2:4" ht="14" thickBot="1" x14ac:dyDescent="0.2">
      <c r="B1821" s="251">
        <v>44953</v>
      </c>
      <c r="C1821" s="451">
        <v>59330.9</v>
      </c>
      <c r="D1821" s="261">
        <f t="shared" si="28"/>
        <v>1.4733637952567546E-2</v>
      </c>
    </row>
    <row r="1822" spans="2:4" ht="14" thickBot="1" x14ac:dyDescent="0.2">
      <c r="B1822" s="251">
        <v>44956</v>
      </c>
      <c r="C1822" s="451">
        <v>59500.41</v>
      </c>
      <c r="D1822" s="261">
        <f t="shared" si="28"/>
        <v>-2.8488879320327509E-3</v>
      </c>
    </row>
    <row r="1823" spans="2:4" ht="14" thickBot="1" x14ac:dyDescent="0.2">
      <c r="B1823" s="251">
        <v>44957</v>
      </c>
      <c r="C1823" s="451">
        <v>59549.9</v>
      </c>
      <c r="D1823" s="261">
        <f t="shared" si="28"/>
        <v>-8.3106772639418569E-4</v>
      </c>
    </row>
    <row r="1824" spans="2:4" ht="14" thickBot="1" x14ac:dyDescent="0.2">
      <c r="B1824" s="251">
        <v>44958</v>
      </c>
      <c r="C1824" s="451">
        <v>59708.08</v>
      </c>
      <c r="D1824" s="261">
        <f t="shared" si="28"/>
        <v>-2.6492226847689704E-3</v>
      </c>
    </row>
    <row r="1825" spans="2:4" ht="14" thickBot="1" x14ac:dyDescent="0.2">
      <c r="B1825" s="251">
        <v>44959</v>
      </c>
      <c r="C1825" s="451">
        <v>59932.24</v>
      </c>
      <c r="D1825" s="261">
        <f t="shared" si="28"/>
        <v>-3.7402239595916154E-3</v>
      </c>
    </row>
    <row r="1826" spans="2:4" ht="14" thickBot="1" x14ac:dyDescent="0.2">
      <c r="B1826" s="251">
        <v>44960</v>
      </c>
      <c r="C1826" s="451">
        <v>60841.88</v>
      </c>
      <c r="D1826" s="261">
        <f t="shared" si="28"/>
        <v>-1.4950885804317693E-2</v>
      </c>
    </row>
    <row r="1827" spans="2:4" ht="14" thickBot="1" x14ac:dyDescent="0.2">
      <c r="B1827" s="251">
        <v>44963</v>
      </c>
      <c r="C1827" s="451">
        <v>60506.9</v>
      </c>
      <c r="D1827" s="261">
        <f t="shared" si="28"/>
        <v>5.5362280996051894E-3</v>
      </c>
    </row>
    <row r="1828" spans="2:4" ht="14" thickBot="1" x14ac:dyDescent="0.2">
      <c r="B1828" s="251">
        <v>44964</v>
      </c>
      <c r="C1828" s="451">
        <v>60286.04</v>
      </c>
      <c r="D1828" s="261">
        <f t="shared" si="28"/>
        <v>3.663534708864713E-3</v>
      </c>
    </row>
    <row r="1829" spans="2:4" ht="14" thickBot="1" x14ac:dyDescent="0.2">
      <c r="B1829" s="251">
        <v>44965</v>
      </c>
      <c r="C1829" s="451">
        <v>60663.79</v>
      </c>
      <c r="D1829" s="261">
        <f t="shared" si="28"/>
        <v>-6.2269436182605942E-3</v>
      </c>
    </row>
    <row r="1830" spans="2:4" ht="14" thickBot="1" x14ac:dyDescent="0.2">
      <c r="B1830" s="251">
        <v>44966</v>
      </c>
      <c r="C1830" s="451">
        <v>60806.22</v>
      </c>
      <c r="D1830" s="261">
        <f t="shared" si="28"/>
        <v>-2.3423590547151374E-3</v>
      </c>
    </row>
    <row r="1831" spans="2:4" ht="14" thickBot="1" x14ac:dyDescent="0.2">
      <c r="B1831" s="251">
        <v>44967</v>
      </c>
      <c r="C1831" s="451">
        <v>60682.7</v>
      </c>
      <c r="D1831" s="261">
        <f t="shared" si="28"/>
        <v>2.0355060008867554E-3</v>
      </c>
    </row>
    <row r="1832" spans="2:4" ht="14" thickBot="1" x14ac:dyDescent="0.2">
      <c r="B1832" s="251">
        <v>44970</v>
      </c>
      <c r="C1832" s="451">
        <v>60431.839999999997</v>
      </c>
      <c r="D1832" s="261">
        <f t="shared" si="28"/>
        <v>4.1511229841753039E-3</v>
      </c>
    </row>
    <row r="1833" spans="2:4" ht="14" thickBot="1" x14ac:dyDescent="0.2">
      <c r="B1833" s="251">
        <v>44971</v>
      </c>
      <c r="C1833" s="451">
        <v>61032.26</v>
      </c>
      <c r="D1833" s="261">
        <f t="shared" si="28"/>
        <v>-9.8377481023971258E-3</v>
      </c>
    </row>
    <row r="1834" spans="2:4" ht="14" thickBot="1" x14ac:dyDescent="0.2">
      <c r="B1834" s="251">
        <v>44972</v>
      </c>
      <c r="C1834" s="451">
        <v>61275.09</v>
      </c>
      <c r="D1834" s="261">
        <f t="shared" si="28"/>
        <v>-3.9629480756371294E-3</v>
      </c>
    </row>
    <row r="1835" spans="2:4" ht="14" thickBot="1" x14ac:dyDescent="0.2">
      <c r="B1835" s="251">
        <v>44973</v>
      </c>
      <c r="C1835" s="451">
        <v>61319.51</v>
      </c>
      <c r="D1835" s="261">
        <f t="shared" si="28"/>
        <v>-7.2440239656201832E-4</v>
      </c>
    </row>
    <row r="1836" spans="2:4" ht="14" thickBot="1" x14ac:dyDescent="0.2">
      <c r="B1836" s="251">
        <v>44974</v>
      </c>
      <c r="C1836" s="451">
        <v>61002.57</v>
      </c>
      <c r="D1836" s="261">
        <f t="shared" si="28"/>
        <v>5.1955188117485118E-3</v>
      </c>
    </row>
    <row r="1837" spans="2:4" ht="14" thickBot="1" x14ac:dyDescent="0.2">
      <c r="B1837" s="251">
        <v>44977</v>
      </c>
      <c r="C1837" s="451">
        <v>60691.54</v>
      </c>
      <c r="D1837" s="261">
        <f t="shared" si="28"/>
        <v>5.1247669774072691E-3</v>
      </c>
    </row>
    <row r="1838" spans="2:4" ht="14" thickBot="1" x14ac:dyDescent="0.2">
      <c r="B1838" s="251">
        <v>44978</v>
      </c>
      <c r="C1838" s="451">
        <v>60672.72</v>
      </c>
      <c r="D1838" s="261">
        <f t="shared" si="28"/>
        <v>3.1018882951028282E-4</v>
      </c>
    </row>
    <row r="1839" spans="2:4" ht="14" thickBot="1" x14ac:dyDescent="0.2">
      <c r="B1839" s="251">
        <v>44979</v>
      </c>
      <c r="C1839" s="451">
        <v>59744.98</v>
      </c>
      <c r="D1839" s="261">
        <f t="shared" si="28"/>
        <v>1.5528333928641391E-2</v>
      </c>
    </row>
    <row r="1840" spans="2:4" ht="14" thickBot="1" x14ac:dyDescent="0.2">
      <c r="B1840" s="251">
        <v>44980</v>
      </c>
      <c r="C1840" s="451">
        <v>59605.8</v>
      </c>
      <c r="D1840" s="261">
        <f t="shared" si="28"/>
        <v>2.3350076670392017E-3</v>
      </c>
    </row>
    <row r="1841" spans="2:4" ht="14" thickBot="1" x14ac:dyDescent="0.2">
      <c r="B1841" s="251">
        <v>44981</v>
      </c>
      <c r="C1841" s="451">
        <v>59463.93</v>
      </c>
      <c r="D1841" s="261">
        <f t="shared" si="28"/>
        <v>2.3858160737106893E-3</v>
      </c>
    </row>
    <row r="1842" spans="2:4" ht="14" thickBot="1" x14ac:dyDescent="0.2">
      <c r="B1842" s="251">
        <v>44984</v>
      </c>
      <c r="C1842" s="451">
        <v>59288.35</v>
      </c>
      <c r="D1842" s="261">
        <f t="shared" si="28"/>
        <v>2.9614587014143989E-3</v>
      </c>
    </row>
    <row r="1843" spans="2:4" ht="14" thickBot="1" x14ac:dyDescent="0.2">
      <c r="B1843" s="251">
        <v>44985</v>
      </c>
      <c r="C1843" s="451">
        <v>58962.12</v>
      </c>
      <c r="D1843" s="261">
        <f t="shared" si="28"/>
        <v>5.5328743267710756E-3</v>
      </c>
    </row>
    <row r="1844" spans="2:4" ht="14" thickBot="1" x14ac:dyDescent="0.2">
      <c r="B1844" s="251">
        <v>44986</v>
      </c>
      <c r="C1844" s="451">
        <v>59411.08</v>
      </c>
      <c r="D1844" s="261">
        <f t="shared" si="28"/>
        <v>-7.5568395659529886E-3</v>
      </c>
    </row>
    <row r="1845" spans="2:4" ht="14" thickBot="1" x14ac:dyDescent="0.2">
      <c r="B1845" s="251">
        <v>44987</v>
      </c>
      <c r="C1845" s="451">
        <v>58909.35</v>
      </c>
      <c r="D1845" s="261">
        <f t="shared" si="28"/>
        <v>8.5169841459802331E-3</v>
      </c>
    </row>
    <row r="1846" spans="2:4" ht="14" thickBot="1" x14ac:dyDescent="0.2">
      <c r="B1846" s="251">
        <v>44988</v>
      </c>
      <c r="C1846" s="451">
        <v>59808.97</v>
      </c>
      <c r="D1846" s="261">
        <f t="shared" si="28"/>
        <v>-1.5041556475558826E-2</v>
      </c>
    </row>
    <row r="1847" spans="2:4" ht="14" thickBot="1" x14ac:dyDescent="0.2">
      <c r="B1847" s="251">
        <v>44991</v>
      </c>
      <c r="C1847" s="451">
        <v>60224.46</v>
      </c>
      <c r="D1847" s="261">
        <f t="shared" si="28"/>
        <v>-6.899024084234151E-3</v>
      </c>
    </row>
    <row r="1848" spans="2:4" ht="14" thickBot="1" x14ac:dyDescent="0.2">
      <c r="B1848" s="251">
        <v>44993</v>
      </c>
      <c r="C1848" s="451">
        <v>60348.09</v>
      </c>
      <c r="D1848" s="261">
        <f t="shared" si="28"/>
        <v>-2.0486149603077264E-3</v>
      </c>
    </row>
    <row r="1849" spans="2:4" ht="14" thickBot="1" x14ac:dyDescent="0.2">
      <c r="B1849" s="251">
        <v>44994</v>
      </c>
      <c r="C1849" s="451">
        <v>59806.28</v>
      </c>
      <c r="D1849" s="261">
        <f t="shared" si="28"/>
        <v>9.0594165027484408E-3</v>
      </c>
    </row>
    <row r="1850" spans="2:4" ht="14" thickBot="1" x14ac:dyDescent="0.2">
      <c r="B1850" s="251">
        <v>44995</v>
      </c>
      <c r="C1850" s="451">
        <v>59135.13</v>
      </c>
      <c r="D1850" s="261">
        <f t="shared" si="28"/>
        <v>1.1349429687564694E-2</v>
      </c>
    </row>
    <row r="1851" spans="2:4" ht="14" thickBot="1" x14ac:dyDescent="0.2">
      <c r="B1851" s="251">
        <v>44998</v>
      </c>
      <c r="C1851" s="451">
        <v>58237.85</v>
      </c>
      <c r="D1851" s="261">
        <f t="shared" si="28"/>
        <v>1.5407162180609335E-2</v>
      </c>
    </row>
    <row r="1852" spans="2:4" ht="14" thickBot="1" x14ac:dyDescent="0.2">
      <c r="B1852" s="251">
        <v>44999</v>
      </c>
      <c r="C1852" s="451">
        <v>57900.19</v>
      </c>
      <c r="D1852" s="261">
        <f t="shared" si="28"/>
        <v>5.8317597921526687E-3</v>
      </c>
    </row>
    <row r="1853" spans="2:4" ht="14" thickBot="1" x14ac:dyDescent="0.2">
      <c r="B1853" s="251">
        <v>45000</v>
      </c>
      <c r="C1853" s="451">
        <v>57555.9</v>
      </c>
      <c r="D1853" s="261">
        <f t="shared" si="28"/>
        <v>5.981836788235384E-3</v>
      </c>
    </row>
    <row r="1854" spans="2:4" ht="14" thickBot="1" x14ac:dyDescent="0.2">
      <c r="B1854" s="251">
        <v>45001</v>
      </c>
      <c r="C1854" s="451">
        <v>57634.84</v>
      </c>
      <c r="D1854" s="261">
        <f t="shared" si="28"/>
        <v>-1.3696576584578679E-3</v>
      </c>
    </row>
    <row r="1855" spans="2:4" ht="14" thickBot="1" x14ac:dyDescent="0.2">
      <c r="B1855" s="251">
        <v>45002</v>
      </c>
      <c r="C1855" s="451">
        <v>57989.9</v>
      </c>
      <c r="D1855" s="261">
        <f t="shared" si="28"/>
        <v>-6.1227903479744716E-3</v>
      </c>
    </row>
    <row r="1856" spans="2:4" ht="14" thickBot="1" x14ac:dyDescent="0.2">
      <c r="B1856" s="251">
        <v>45005</v>
      </c>
      <c r="C1856" s="451">
        <v>57628.95</v>
      </c>
      <c r="D1856" s="261">
        <f t="shared" si="28"/>
        <v>6.263345072225146E-3</v>
      </c>
    </row>
    <row r="1857" spans="2:4" ht="14" thickBot="1" x14ac:dyDescent="0.2">
      <c r="B1857" s="251">
        <v>45006</v>
      </c>
      <c r="C1857" s="451">
        <v>58074.68</v>
      </c>
      <c r="D1857" s="261">
        <f t="shared" si="28"/>
        <v>-7.6751176244105324E-3</v>
      </c>
    </row>
    <row r="1858" spans="2:4" ht="14" thickBot="1" x14ac:dyDescent="0.2">
      <c r="B1858" s="251">
        <v>45007</v>
      </c>
      <c r="C1858" s="451">
        <v>58214.59</v>
      </c>
      <c r="D1858" s="261">
        <f t="shared" si="28"/>
        <v>-2.403349400897592E-3</v>
      </c>
    </row>
    <row r="1859" spans="2:4" ht="14" thickBot="1" x14ac:dyDescent="0.2">
      <c r="B1859" s="251">
        <v>45008</v>
      </c>
      <c r="C1859" s="451">
        <v>57925.279999999999</v>
      </c>
      <c r="D1859" s="261">
        <f t="shared" si="28"/>
        <v>4.9945377907538724E-3</v>
      </c>
    </row>
    <row r="1860" spans="2:4" ht="14" thickBot="1" x14ac:dyDescent="0.2">
      <c r="B1860" s="251">
        <v>45009</v>
      </c>
      <c r="C1860" s="451">
        <v>57527.1</v>
      </c>
      <c r="D1860" s="261">
        <f t="shared" si="28"/>
        <v>6.921607381564554E-3</v>
      </c>
    </row>
    <row r="1861" spans="2:4" ht="14" thickBot="1" x14ac:dyDescent="0.2">
      <c r="B1861" s="251">
        <v>45012</v>
      </c>
      <c r="C1861" s="451">
        <v>57653.86</v>
      </c>
      <c r="D1861" s="261">
        <f t="shared" si="28"/>
        <v>-2.1986385647032591E-3</v>
      </c>
    </row>
    <row r="1862" spans="2:4" ht="14" thickBot="1" x14ac:dyDescent="0.2">
      <c r="B1862" s="251">
        <v>45013</v>
      </c>
      <c r="C1862" s="451">
        <v>57613.72</v>
      </c>
      <c r="D1862" s="261">
        <f t="shared" si="28"/>
        <v>6.9670904777541232E-4</v>
      </c>
    </row>
    <row r="1863" spans="2:4" ht="14" thickBot="1" x14ac:dyDescent="0.2">
      <c r="B1863" s="251">
        <v>45014</v>
      </c>
      <c r="C1863" s="451">
        <v>57960.09</v>
      </c>
      <c r="D1863" s="261">
        <f t="shared" si="28"/>
        <v>-5.9760086638925847E-3</v>
      </c>
    </row>
    <row r="1864" spans="2:4" ht="14" thickBot="1" x14ac:dyDescent="0.2">
      <c r="B1864" s="251">
        <v>45016</v>
      </c>
      <c r="C1864" s="451">
        <v>58991.519999999997</v>
      </c>
      <c r="D1864" s="261">
        <f t="shared" si="28"/>
        <v>-1.7484377415601382E-2</v>
      </c>
    </row>
    <row r="1865" spans="2:4" ht="14" thickBot="1" x14ac:dyDescent="0.2">
      <c r="B1865" s="251">
        <v>45019</v>
      </c>
      <c r="C1865" s="451">
        <v>59106.44</v>
      </c>
      <c r="D1865" s="261">
        <f t="shared" si="28"/>
        <v>-1.9442889810316055E-3</v>
      </c>
    </row>
    <row r="1866" spans="2:4" ht="14" thickBot="1" x14ac:dyDescent="0.2">
      <c r="B1866" s="251">
        <v>45021</v>
      </c>
      <c r="C1866" s="451">
        <v>59689.31</v>
      </c>
      <c r="D1866" s="261">
        <f t="shared" ref="D1866:D1929" si="29">C1865/C1866-1</f>
        <v>-9.7650651347787054E-3</v>
      </c>
    </row>
    <row r="1867" spans="2:4" ht="14" thickBot="1" x14ac:dyDescent="0.2">
      <c r="B1867" s="251">
        <v>45022</v>
      </c>
      <c r="C1867" s="451">
        <v>59832.97</v>
      </c>
      <c r="D1867" s="261">
        <f t="shared" si="29"/>
        <v>-2.4010173655094613E-3</v>
      </c>
    </row>
    <row r="1868" spans="2:4" ht="14" thickBot="1" x14ac:dyDescent="0.2">
      <c r="B1868" s="251">
        <v>45026</v>
      </c>
      <c r="C1868" s="451">
        <v>59846.51</v>
      </c>
      <c r="D1868" s="261">
        <f t="shared" si="29"/>
        <v>-2.2624544021032644E-4</v>
      </c>
    </row>
    <row r="1869" spans="2:4" ht="14" thickBot="1" x14ac:dyDescent="0.2">
      <c r="B1869" s="251">
        <v>45027</v>
      </c>
      <c r="C1869" s="451">
        <v>60157.72</v>
      </c>
      <c r="D1869" s="261">
        <f t="shared" si="29"/>
        <v>-5.17323462391861E-3</v>
      </c>
    </row>
    <row r="1870" spans="2:4" ht="14" thickBot="1" x14ac:dyDescent="0.2">
      <c r="B1870" s="251">
        <v>45028</v>
      </c>
      <c r="C1870" s="451">
        <v>60392.77</v>
      </c>
      <c r="D1870" s="261">
        <f t="shared" si="29"/>
        <v>-3.8920221741773897E-3</v>
      </c>
    </row>
    <row r="1871" spans="2:4" ht="14" thickBot="1" x14ac:dyDescent="0.2">
      <c r="B1871" s="251">
        <v>45029</v>
      </c>
      <c r="C1871" s="451">
        <v>60431</v>
      </c>
      <c r="D1871" s="261">
        <f t="shared" si="29"/>
        <v>-6.3262232959915288E-4</v>
      </c>
    </row>
    <row r="1872" spans="2:4" ht="14" thickBot="1" x14ac:dyDescent="0.2">
      <c r="B1872" s="251">
        <v>45033</v>
      </c>
      <c r="C1872" s="451">
        <v>59910.75</v>
      </c>
      <c r="D1872" s="261">
        <f t="shared" si="29"/>
        <v>8.6837504120713671E-3</v>
      </c>
    </row>
    <row r="1873" spans="2:4" ht="14" thickBot="1" x14ac:dyDescent="0.2">
      <c r="B1873" s="251">
        <v>45034</v>
      </c>
      <c r="C1873" s="451">
        <v>59727.01</v>
      </c>
      <c r="D1873" s="261">
        <f t="shared" si="29"/>
        <v>3.0763301226697237E-3</v>
      </c>
    </row>
    <row r="1874" spans="2:4" ht="14" thickBot="1" x14ac:dyDescent="0.2">
      <c r="B1874" s="251">
        <v>45035</v>
      </c>
      <c r="C1874" s="451">
        <v>59567.8</v>
      </c>
      <c r="D1874" s="261">
        <f t="shared" si="29"/>
        <v>2.67275272882328E-3</v>
      </c>
    </row>
    <row r="1875" spans="2:4" ht="14" thickBot="1" x14ac:dyDescent="0.2">
      <c r="B1875" s="251">
        <v>45036</v>
      </c>
      <c r="C1875" s="451">
        <v>59632.35</v>
      </c>
      <c r="D1875" s="261">
        <f t="shared" si="29"/>
        <v>-1.0824661446344752E-3</v>
      </c>
    </row>
    <row r="1876" spans="2:4" ht="14" thickBot="1" x14ac:dyDescent="0.2">
      <c r="B1876" s="251">
        <v>45037</v>
      </c>
      <c r="C1876" s="451">
        <v>59655.06</v>
      </c>
      <c r="D1876" s="261">
        <f t="shared" si="29"/>
        <v>-3.806885786385994E-4</v>
      </c>
    </row>
    <row r="1877" spans="2:4" ht="14" thickBot="1" x14ac:dyDescent="0.2">
      <c r="B1877" s="251">
        <v>45040</v>
      </c>
      <c r="C1877" s="451">
        <v>60056.1</v>
      </c>
      <c r="D1877" s="261">
        <f t="shared" si="29"/>
        <v>-6.6777562978614924E-3</v>
      </c>
    </row>
    <row r="1878" spans="2:4" ht="14" thickBot="1" x14ac:dyDescent="0.2">
      <c r="B1878" s="251">
        <v>45041</v>
      </c>
      <c r="C1878" s="451">
        <v>60130.71</v>
      </c>
      <c r="D1878" s="261">
        <f t="shared" si="29"/>
        <v>-1.2407969239013328E-3</v>
      </c>
    </row>
    <row r="1879" spans="2:4" ht="14" thickBot="1" x14ac:dyDescent="0.2">
      <c r="B1879" s="251">
        <v>45042</v>
      </c>
      <c r="C1879" s="451">
        <v>60300.58</v>
      </c>
      <c r="D1879" s="261">
        <f t="shared" si="29"/>
        <v>-2.8170541643215419E-3</v>
      </c>
    </row>
    <row r="1880" spans="2:4" ht="14" thickBot="1" x14ac:dyDescent="0.2">
      <c r="B1880" s="251">
        <v>45043</v>
      </c>
      <c r="C1880" s="451">
        <v>60649.38</v>
      </c>
      <c r="D1880" s="261">
        <f t="shared" si="29"/>
        <v>-5.7510892939053315E-3</v>
      </c>
    </row>
    <row r="1881" spans="2:4" ht="14" thickBot="1" x14ac:dyDescent="0.2">
      <c r="B1881" s="251">
        <v>45044</v>
      </c>
      <c r="C1881" s="451">
        <v>61112.44</v>
      </c>
      <c r="D1881" s="261">
        <f t="shared" si="29"/>
        <v>-7.5771806853073276E-3</v>
      </c>
    </row>
    <row r="1882" spans="2:4" ht="14" thickBot="1" x14ac:dyDescent="0.2">
      <c r="B1882" s="251">
        <v>45048</v>
      </c>
      <c r="C1882" s="451">
        <v>61354.71</v>
      </c>
      <c r="D1882" s="261">
        <f t="shared" si="29"/>
        <v>-3.9486781047453068E-3</v>
      </c>
    </row>
    <row r="1883" spans="2:4" ht="14" thickBot="1" x14ac:dyDescent="0.2">
      <c r="B1883" s="251">
        <v>45049</v>
      </c>
      <c r="C1883" s="451">
        <v>61193.3</v>
      </c>
      <c r="D1883" s="261">
        <f t="shared" si="29"/>
        <v>2.6377070692378268E-3</v>
      </c>
    </row>
    <row r="1884" spans="2:4" ht="14" thickBot="1" x14ac:dyDescent="0.2">
      <c r="B1884" s="251">
        <v>45050</v>
      </c>
      <c r="C1884" s="451">
        <v>61749.25</v>
      </c>
      <c r="D1884" s="261">
        <f t="shared" si="29"/>
        <v>-9.0033482188042191E-3</v>
      </c>
    </row>
    <row r="1885" spans="2:4" ht="14" thickBot="1" x14ac:dyDescent="0.2">
      <c r="B1885" s="251">
        <v>45051</v>
      </c>
      <c r="C1885" s="451">
        <v>61054.29</v>
      </c>
      <c r="D1885" s="261">
        <f t="shared" si="29"/>
        <v>1.1382656321120121E-2</v>
      </c>
    </row>
    <row r="1886" spans="2:4" ht="14" thickBot="1" x14ac:dyDescent="0.2">
      <c r="B1886" s="251">
        <v>45054</v>
      </c>
      <c r="C1886" s="451">
        <v>61764.25</v>
      </c>
      <c r="D1886" s="261">
        <f t="shared" si="29"/>
        <v>-1.1494675317841652E-2</v>
      </c>
    </row>
    <row r="1887" spans="2:4" ht="14" thickBot="1" x14ac:dyDescent="0.2">
      <c r="B1887" s="251">
        <v>45055</v>
      </c>
      <c r="C1887" s="451">
        <v>61761.33</v>
      </c>
      <c r="D1887" s="261">
        <f t="shared" si="29"/>
        <v>4.7278774598868978E-5</v>
      </c>
    </row>
    <row r="1888" spans="2:4" ht="14" thickBot="1" x14ac:dyDescent="0.2">
      <c r="B1888" s="251">
        <v>45056</v>
      </c>
      <c r="C1888" s="451">
        <v>61940.2</v>
      </c>
      <c r="D1888" s="261">
        <f t="shared" si="29"/>
        <v>-2.8877853155139244E-3</v>
      </c>
    </row>
    <row r="1889" spans="2:4" ht="14" thickBot="1" x14ac:dyDescent="0.2">
      <c r="B1889" s="251">
        <v>45057</v>
      </c>
      <c r="C1889" s="451">
        <v>61904.52</v>
      </c>
      <c r="D1889" s="261">
        <f t="shared" si="29"/>
        <v>5.7637148305156316E-4</v>
      </c>
    </row>
    <row r="1890" spans="2:4" ht="14" thickBot="1" x14ac:dyDescent="0.2">
      <c r="B1890" s="251">
        <v>45058</v>
      </c>
      <c r="C1890" s="451">
        <v>62027.9</v>
      </c>
      <c r="D1890" s="261">
        <f t="shared" si="29"/>
        <v>-1.9891049027938035E-3</v>
      </c>
    </row>
    <row r="1891" spans="2:4" ht="14" thickBot="1" x14ac:dyDescent="0.2">
      <c r="B1891" s="251">
        <v>45061</v>
      </c>
      <c r="C1891" s="451">
        <v>62345.71</v>
      </c>
      <c r="D1891" s="261">
        <f t="shared" si="29"/>
        <v>-5.0975440010226913E-3</v>
      </c>
    </row>
    <row r="1892" spans="2:4" ht="14" thickBot="1" x14ac:dyDescent="0.2">
      <c r="B1892" s="251">
        <v>45062</v>
      </c>
      <c r="C1892" s="451">
        <v>61932.47</v>
      </c>
      <c r="D1892" s="261">
        <f t="shared" si="29"/>
        <v>6.6724288567854284E-3</v>
      </c>
    </row>
    <row r="1893" spans="2:4" ht="14" thickBot="1" x14ac:dyDescent="0.2">
      <c r="B1893" s="251">
        <v>45063</v>
      </c>
      <c r="C1893" s="451">
        <v>61560.639999999999</v>
      </c>
      <c r="D1893" s="261">
        <f t="shared" si="29"/>
        <v>6.0400606621373587E-3</v>
      </c>
    </row>
    <row r="1894" spans="2:4" ht="14" thickBot="1" x14ac:dyDescent="0.2">
      <c r="B1894" s="251">
        <v>45064</v>
      </c>
      <c r="C1894" s="451">
        <v>61431.74</v>
      </c>
      <c r="D1894" s="261">
        <f t="shared" si="29"/>
        <v>2.0982638616455773E-3</v>
      </c>
    </row>
    <row r="1895" spans="2:4" ht="14" thickBot="1" x14ac:dyDescent="0.2">
      <c r="B1895" s="251">
        <v>45065</v>
      </c>
      <c r="C1895" s="451">
        <v>61729.68</v>
      </c>
      <c r="D1895" s="261">
        <f t="shared" si="29"/>
        <v>-4.8265275310029887E-3</v>
      </c>
    </row>
    <row r="1896" spans="2:4" ht="14" thickBot="1" x14ac:dyDescent="0.2">
      <c r="B1896" s="251">
        <v>45068</v>
      </c>
      <c r="C1896" s="451">
        <v>61963.68</v>
      </c>
      <c r="D1896" s="261">
        <f t="shared" si="29"/>
        <v>-3.7764057912634819E-3</v>
      </c>
    </row>
    <row r="1897" spans="2:4" ht="14" thickBot="1" x14ac:dyDescent="0.2">
      <c r="B1897" s="251">
        <v>45069</v>
      </c>
      <c r="C1897" s="451">
        <v>61981.79</v>
      </c>
      <c r="D1897" s="261">
        <f t="shared" si="29"/>
        <v>-2.9218259104812905E-4</v>
      </c>
    </row>
    <row r="1898" spans="2:4" ht="14" thickBot="1" x14ac:dyDescent="0.2">
      <c r="B1898" s="251">
        <v>45070</v>
      </c>
      <c r="C1898" s="451">
        <v>61773.78</v>
      </c>
      <c r="D1898" s="261">
        <f t="shared" si="29"/>
        <v>3.3672862499267708E-3</v>
      </c>
    </row>
    <row r="1899" spans="2:4" ht="14" thickBot="1" x14ac:dyDescent="0.2">
      <c r="B1899" s="251">
        <v>45071</v>
      </c>
      <c r="C1899" s="451">
        <v>61872.62</v>
      </c>
      <c r="D1899" s="261">
        <f t="shared" si="29"/>
        <v>-1.5974755877479208E-3</v>
      </c>
    </row>
    <row r="1900" spans="2:4" ht="14" thickBot="1" x14ac:dyDescent="0.2">
      <c r="B1900" s="251">
        <v>45072</v>
      </c>
      <c r="C1900" s="451">
        <v>62501.69</v>
      </c>
      <c r="D1900" s="261">
        <f t="shared" si="29"/>
        <v>-1.006484784651418E-2</v>
      </c>
    </row>
    <row r="1901" spans="2:4" ht="14" thickBot="1" x14ac:dyDescent="0.2">
      <c r="B1901" s="251">
        <v>45075</v>
      </c>
      <c r="C1901" s="451">
        <v>62846.38</v>
      </c>
      <c r="D1901" s="261">
        <f t="shared" si="29"/>
        <v>-5.4846436660312969E-3</v>
      </c>
    </row>
    <row r="1902" spans="2:4" ht="14" thickBot="1" x14ac:dyDescent="0.2">
      <c r="B1902" s="251">
        <v>45076</v>
      </c>
      <c r="C1902" s="451">
        <v>62969.13</v>
      </c>
      <c r="D1902" s="261">
        <f t="shared" si="29"/>
        <v>-1.9493678886781662E-3</v>
      </c>
    </row>
    <row r="1903" spans="2:4" ht="14" thickBot="1" x14ac:dyDescent="0.2">
      <c r="B1903" s="251">
        <v>45077</v>
      </c>
      <c r="C1903" s="451">
        <v>62622.239999999998</v>
      </c>
      <c r="D1903" s="261">
        <f t="shared" si="29"/>
        <v>5.5394058085433961E-3</v>
      </c>
    </row>
    <row r="1904" spans="2:4" ht="14" thickBot="1" x14ac:dyDescent="0.2">
      <c r="B1904" s="251">
        <v>45078</v>
      </c>
      <c r="C1904" s="451">
        <v>62428.54</v>
      </c>
      <c r="D1904" s="261">
        <f t="shared" si="29"/>
        <v>3.1027475574472163E-3</v>
      </c>
    </row>
    <row r="1905" spans="2:4" ht="14" thickBot="1" x14ac:dyDescent="0.2">
      <c r="B1905" s="251">
        <v>45079</v>
      </c>
      <c r="C1905" s="451">
        <v>62547.11</v>
      </c>
      <c r="D1905" s="261">
        <f t="shared" si="29"/>
        <v>-1.8956911038735536E-3</v>
      </c>
    </row>
    <row r="1906" spans="2:4" ht="14" thickBot="1" x14ac:dyDescent="0.2">
      <c r="B1906" s="251">
        <v>45082</v>
      </c>
      <c r="C1906" s="451">
        <v>62787.47</v>
      </c>
      <c r="D1906" s="261">
        <f t="shared" si="29"/>
        <v>-3.8281523367640347E-3</v>
      </c>
    </row>
    <row r="1907" spans="2:4" ht="14" thickBot="1" x14ac:dyDescent="0.2">
      <c r="B1907" s="251">
        <v>45083</v>
      </c>
      <c r="C1907" s="451">
        <v>62792.88</v>
      </c>
      <c r="D1907" s="261">
        <f t="shared" si="29"/>
        <v>-8.6156264850312247E-5</v>
      </c>
    </row>
    <row r="1908" spans="2:4" ht="14" thickBot="1" x14ac:dyDescent="0.2">
      <c r="B1908" s="251">
        <v>45084</v>
      </c>
      <c r="C1908" s="451">
        <v>63142.96</v>
      </c>
      <c r="D1908" s="261">
        <f t="shared" si="29"/>
        <v>-5.5442443623169302E-3</v>
      </c>
    </row>
    <row r="1909" spans="2:4" ht="14" thickBot="1" x14ac:dyDescent="0.2">
      <c r="B1909" s="251">
        <v>45085</v>
      </c>
      <c r="C1909" s="451">
        <v>62848.639999999999</v>
      </c>
      <c r="D1909" s="261">
        <f t="shared" si="29"/>
        <v>4.682997118155674E-3</v>
      </c>
    </row>
    <row r="1910" spans="2:4" ht="14" thickBot="1" x14ac:dyDescent="0.2">
      <c r="B1910" s="251">
        <v>45086</v>
      </c>
      <c r="C1910" s="451">
        <v>62625.63</v>
      </c>
      <c r="D1910" s="261">
        <f t="shared" si="29"/>
        <v>3.5610021008971593E-3</v>
      </c>
    </row>
    <row r="1911" spans="2:4" ht="14" thickBot="1" x14ac:dyDescent="0.2">
      <c r="B1911" s="251">
        <v>45089</v>
      </c>
      <c r="C1911" s="451">
        <v>62724.71</v>
      </c>
      <c r="D1911" s="261">
        <f t="shared" si="29"/>
        <v>-1.5796007665879186E-3</v>
      </c>
    </row>
    <row r="1912" spans="2:4" ht="14" thickBot="1" x14ac:dyDescent="0.2">
      <c r="B1912" s="251">
        <v>45090</v>
      </c>
      <c r="C1912" s="451">
        <v>63143.16</v>
      </c>
      <c r="D1912" s="261">
        <f t="shared" si="29"/>
        <v>-6.627004413463089E-3</v>
      </c>
    </row>
    <row r="1913" spans="2:4" ht="14" thickBot="1" x14ac:dyDescent="0.2">
      <c r="B1913" s="251">
        <v>45091</v>
      </c>
      <c r="C1913" s="451">
        <v>63228.51</v>
      </c>
      <c r="D1913" s="261">
        <f t="shared" si="29"/>
        <v>-1.3498657488528742E-3</v>
      </c>
    </row>
    <row r="1914" spans="2:4" ht="14" thickBot="1" x14ac:dyDescent="0.2">
      <c r="B1914" s="251">
        <v>45092</v>
      </c>
      <c r="C1914" s="451">
        <v>62917.63</v>
      </c>
      <c r="D1914" s="261">
        <f t="shared" si="29"/>
        <v>4.9410634189495095E-3</v>
      </c>
    </row>
    <row r="1915" spans="2:4" ht="14" thickBot="1" x14ac:dyDescent="0.2">
      <c r="B1915" s="251">
        <v>45093</v>
      </c>
      <c r="C1915" s="451">
        <v>63384.58</v>
      </c>
      <c r="D1915" s="261">
        <f t="shared" si="29"/>
        <v>-7.3669337242592281E-3</v>
      </c>
    </row>
    <row r="1916" spans="2:4" ht="14" thickBot="1" x14ac:dyDescent="0.2">
      <c r="B1916" s="251">
        <v>45096</v>
      </c>
      <c r="C1916" s="451">
        <v>63168.3</v>
      </c>
      <c r="D1916" s="261">
        <f t="shared" si="29"/>
        <v>3.4238692508741231E-3</v>
      </c>
    </row>
    <row r="1917" spans="2:4" ht="14" thickBot="1" x14ac:dyDescent="0.2">
      <c r="B1917" s="251">
        <v>45097</v>
      </c>
      <c r="C1917" s="451">
        <v>63327.7</v>
      </c>
      <c r="D1917" s="261">
        <f t="shared" si="29"/>
        <v>-2.5170659916591287E-3</v>
      </c>
    </row>
    <row r="1918" spans="2:4" ht="14" thickBot="1" x14ac:dyDescent="0.2">
      <c r="B1918" s="251">
        <v>45098</v>
      </c>
      <c r="C1918" s="451">
        <v>63523.15</v>
      </c>
      <c r="D1918" s="261">
        <f t="shared" si="29"/>
        <v>-3.0768310450600689E-3</v>
      </c>
    </row>
    <row r="1919" spans="2:4" ht="14" thickBot="1" x14ac:dyDescent="0.2">
      <c r="B1919" s="251">
        <v>45099</v>
      </c>
      <c r="C1919" s="451">
        <v>63238.89</v>
      </c>
      <c r="D1919" s="261">
        <f t="shared" si="29"/>
        <v>4.4950188088375143E-3</v>
      </c>
    </row>
    <row r="1920" spans="2:4" ht="14" thickBot="1" x14ac:dyDescent="0.2">
      <c r="B1920" s="251">
        <v>45100</v>
      </c>
      <c r="C1920" s="451">
        <v>62979.37</v>
      </c>
      <c r="D1920" s="261">
        <f t="shared" si="29"/>
        <v>4.1207144498269788E-3</v>
      </c>
    </row>
    <row r="1921" spans="2:4" ht="14" thickBot="1" x14ac:dyDescent="0.2">
      <c r="B1921" s="251">
        <v>45103</v>
      </c>
      <c r="C1921" s="451">
        <v>62970</v>
      </c>
      <c r="D1921" s="261">
        <f t="shared" si="29"/>
        <v>1.4880101635705856E-4</v>
      </c>
    </row>
    <row r="1922" spans="2:4" ht="14" thickBot="1" x14ac:dyDescent="0.2">
      <c r="B1922" s="251">
        <v>45104</v>
      </c>
      <c r="C1922" s="451">
        <v>63416.03</v>
      </c>
      <c r="D1922" s="261">
        <f t="shared" si="29"/>
        <v>-7.0333951841513587E-3</v>
      </c>
    </row>
    <row r="1923" spans="2:4" ht="14" thickBot="1" x14ac:dyDescent="0.2">
      <c r="B1923" s="251">
        <v>45105</v>
      </c>
      <c r="C1923" s="451">
        <v>63915.42</v>
      </c>
      <c r="D1923" s="261">
        <f t="shared" si="29"/>
        <v>-7.8132945070219506E-3</v>
      </c>
    </row>
    <row r="1924" spans="2:4" ht="14" thickBot="1" x14ac:dyDescent="0.2">
      <c r="B1924" s="251">
        <v>45107</v>
      </c>
      <c r="C1924" s="451">
        <v>64718.559999999998</v>
      </c>
      <c r="D1924" s="261">
        <f t="shared" si="29"/>
        <v>-1.2409732231372206E-2</v>
      </c>
    </row>
    <row r="1925" spans="2:4" ht="14" thickBot="1" x14ac:dyDescent="0.2">
      <c r="B1925" s="251">
        <v>45110</v>
      </c>
      <c r="C1925" s="451">
        <v>65205.05</v>
      </c>
      <c r="D1925" s="261">
        <f t="shared" si="29"/>
        <v>-7.4609251890767059E-3</v>
      </c>
    </row>
    <row r="1926" spans="2:4" ht="14" thickBot="1" x14ac:dyDescent="0.2">
      <c r="B1926" s="251">
        <v>45111</v>
      </c>
      <c r="C1926" s="451">
        <v>65479.05</v>
      </c>
      <c r="D1926" s="261">
        <f t="shared" si="29"/>
        <v>-4.1845445222555844E-3</v>
      </c>
    </row>
    <row r="1927" spans="2:4" ht="14" thickBot="1" x14ac:dyDescent="0.2">
      <c r="B1927" s="251">
        <v>45112</v>
      </c>
      <c r="C1927" s="451">
        <v>65446.04</v>
      </c>
      <c r="D1927" s="261">
        <f t="shared" si="29"/>
        <v>5.0438498647142893E-4</v>
      </c>
    </row>
    <row r="1928" spans="2:4" ht="14" thickBot="1" x14ac:dyDescent="0.2">
      <c r="B1928" s="251">
        <v>45113</v>
      </c>
      <c r="C1928" s="451">
        <v>65785.64</v>
      </c>
      <c r="D1928" s="261">
        <f t="shared" si="29"/>
        <v>-5.162220812931162E-3</v>
      </c>
    </row>
    <row r="1929" spans="2:4" ht="14" thickBot="1" x14ac:dyDescent="0.2">
      <c r="B1929" s="251">
        <v>45114</v>
      </c>
      <c r="C1929" s="451">
        <v>65280.45</v>
      </c>
      <c r="D1929" s="261">
        <f t="shared" si="29"/>
        <v>7.738764055701175E-3</v>
      </c>
    </row>
    <row r="1930" spans="2:4" ht="14" thickBot="1" x14ac:dyDescent="0.2">
      <c r="B1930" s="251">
        <v>45117</v>
      </c>
      <c r="C1930" s="451">
        <v>65344.17</v>
      </c>
      <c r="D1930" s="261">
        <f t="shared" ref="D1930:D1993" si="30">C1929/C1930-1</f>
        <v>-9.7514437783818853E-4</v>
      </c>
    </row>
    <row r="1931" spans="2:4" ht="14" thickBot="1" x14ac:dyDescent="0.2">
      <c r="B1931" s="251">
        <v>45118</v>
      </c>
      <c r="C1931" s="451">
        <v>65617.84</v>
      </c>
      <c r="D1931" s="261">
        <f t="shared" si="30"/>
        <v>-4.1706645631736095E-3</v>
      </c>
    </row>
    <row r="1932" spans="2:4" ht="14" thickBot="1" x14ac:dyDescent="0.2">
      <c r="B1932" s="251">
        <v>45119</v>
      </c>
      <c r="C1932" s="451">
        <v>65393.9</v>
      </c>
      <c r="D1932" s="261">
        <f t="shared" si="30"/>
        <v>3.4244784299453102E-3</v>
      </c>
    </row>
    <row r="1933" spans="2:4" ht="14" thickBot="1" x14ac:dyDescent="0.2">
      <c r="B1933" s="251">
        <v>45120</v>
      </c>
      <c r="C1933" s="451">
        <v>65558.89</v>
      </c>
      <c r="D1933" s="261">
        <f t="shared" si="30"/>
        <v>-2.5166686013139428E-3</v>
      </c>
    </row>
    <row r="1934" spans="2:4" ht="14" thickBot="1" x14ac:dyDescent="0.2">
      <c r="B1934" s="251">
        <v>45121</v>
      </c>
      <c r="C1934" s="451">
        <v>66060.899999999994</v>
      </c>
      <c r="D1934" s="261">
        <f t="shared" si="30"/>
        <v>-7.5992001319993285E-3</v>
      </c>
    </row>
    <row r="1935" spans="2:4" ht="14" thickBot="1" x14ac:dyDescent="0.2">
      <c r="B1935" s="251">
        <v>45124</v>
      </c>
      <c r="C1935" s="451">
        <v>66589.929999999993</v>
      </c>
      <c r="D1935" s="261">
        <f t="shared" si="30"/>
        <v>-7.944594625643786E-3</v>
      </c>
    </row>
    <row r="1936" spans="2:4" ht="14" thickBot="1" x14ac:dyDescent="0.2">
      <c r="B1936" s="251">
        <v>45125</v>
      </c>
      <c r="C1936" s="451">
        <v>66795.14</v>
      </c>
      <c r="D1936" s="261">
        <f t="shared" si="30"/>
        <v>-3.0722295065180871E-3</v>
      </c>
    </row>
    <row r="1937" spans="2:4" ht="14" thickBot="1" x14ac:dyDescent="0.2">
      <c r="B1937" s="251">
        <v>45126</v>
      </c>
      <c r="C1937" s="451">
        <v>67097.440000000002</v>
      </c>
      <c r="D1937" s="261">
        <f t="shared" si="30"/>
        <v>-4.5053879849962231E-3</v>
      </c>
    </row>
    <row r="1938" spans="2:4" ht="14" thickBot="1" x14ac:dyDescent="0.2">
      <c r="B1938" s="251">
        <v>45127</v>
      </c>
      <c r="C1938" s="451">
        <v>67571.899999999994</v>
      </c>
      <c r="D1938" s="261">
        <f t="shared" si="30"/>
        <v>-7.0215577777151816E-3</v>
      </c>
    </row>
    <row r="1939" spans="2:4" ht="14" thickBot="1" x14ac:dyDescent="0.2">
      <c r="B1939" s="251">
        <v>45128</v>
      </c>
      <c r="C1939" s="451">
        <v>66684.259999999995</v>
      </c>
      <c r="D1939" s="261">
        <f t="shared" si="30"/>
        <v>1.3311087204086913E-2</v>
      </c>
    </row>
    <row r="1940" spans="2:4" ht="14" thickBot="1" x14ac:dyDescent="0.2">
      <c r="B1940" s="251">
        <v>45131</v>
      </c>
      <c r="C1940" s="451">
        <v>66384.78</v>
      </c>
      <c r="D1940" s="261">
        <f t="shared" si="30"/>
        <v>4.5112750241846911E-3</v>
      </c>
    </row>
    <row r="1941" spans="2:4" ht="14" thickBot="1" x14ac:dyDescent="0.2">
      <c r="B1941" s="251">
        <v>45132</v>
      </c>
      <c r="C1941" s="451">
        <v>66355.710000000006</v>
      </c>
      <c r="D1941" s="261">
        <f t="shared" si="30"/>
        <v>4.3809342104839111E-4</v>
      </c>
    </row>
    <row r="1942" spans="2:4" ht="14" thickBot="1" x14ac:dyDescent="0.2">
      <c r="B1942" s="251">
        <v>45133</v>
      </c>
      <c r="C1942" s="451">
        <v>66707.199999999997</v>
      </c>
      <c r="D1942" s="261">
        <f t="shared" si="30"/>
        <v>-5.2691463590135434E-3</v>
      </c>
    </row>
    <row r="1943" spans="2:4" ht="14" thickBot="1" x14ac:dyDescent="0.2">
      <c r="B1943" s="251">
        <v>45134</v>
      </c>
      <c r="C1943" s="451">
        <v>66266.820000000007</v>
      </c>
      <c r="D1943" s="261">
        <f t="shared" si="30"/>
        <v>6.6455580635977896E-3</v>
      </c>
    </row>
    <row r="1944" spans="2:4" ht="14" thickBot="1" x14ac:dyDescent="0.2">
      <c r="B1944" s="251">
        <v>45135</v>
      </c>
      <c r="C1944" s="451">
        <v>66160.2</v>
      </c>
      <c r="D1944" s="261">
        <f t="shared" si="30"/>
        <v>1.6115428913456853E-3</v>
      </c>
    </row>
    <row r="1945" spans="2:4" ht="14" thickBot="1" x14ac:dyDescent="0.2">
      <c r="B1945" s="251">
        <v>45138</v>
      </c>
      <c r="C1945" s="451">
        <v>66527.67</v>
      </c>
      <c r="D1945" s="261">
        <f t="shared" si="30"/>
        <v>-5.5235663596816531E-3</v>
      </c>
    </row>
    <row r="1946" spans="2:4" ht="14" thickBot="1" x14ac:dyDescent="0.2">
      <c r="B1946" s="251">
        <v>45139</v>
      </c>
      <c r="C1946" s="451">
        <v>66459.31</v>
      </c>
      <c r="D1946" s="261">
        <f t="shared" si="30"/>
        <v>1.0285993038448016E-3</v>
      </c>
    </row>
    <row r="1947" spans="2:4" ht="14" thickBot="1" x14ac:dyDescent="0.2">
      <c r="B1947" s="251">
        <v>45140</v>
      </c>
      <c r="C1947" s="451">
        <v>65782.78</v>
      </c>
      <c r="D1947" s="261">
        <f t="shared" si="30"/>
        <v>1.0284302366059928E-2</v>
      </c>
    </row>
    <row r="1948" spans="2:4" ht="14" thickBot="1" x14ac:dyDescent="0.2">
      <c r="B1948" s="251">
        <v>45141</v>
      </c>
      <c r="C1948" s="451">
        <v>65240.68</v>
      </c>
      <c r="D1948" s="261">
        <f t="shared" si="30"/>
        <v>8.3092328283518313E-3</v>
      </c>
    </row>
    <row r="1949" spans="2:4" ht="14" thickBot="1" x14ac:dyDescent="0.2">
      <c r="B1949" s="251">
        <v>45142</v>
      </c>
      <c r="C1949" s="451">
        <v>65721.25</v>
      </c>
      <c r="D1949" s="261">
        <f t="shared" si="30"/>
        <v>-7.3122467999314766E-3</v>
      </c>
    </row>
    <row r="1950" spans="2:4" ht="14" thickBot="1" x14ac:dyDescent="0.2">
      <c r="B1950" s="251">
        <v>45145</v>
      </c>
      <c r="C1950" s="451">
        <v>65953.48</v>
      </c>
      <c r="D1950" s="261">
        <f t="shared" si="30"/>
        <v>-3.5211182184775591E-3</v>
      </c>
    </row>
    <row r="1951" spans="2:4" ht="14" thickBot="1" x14ac:dyDescent="0.2">
      <c r="B1951" s="251">
        <v>45146</v>
      </c>
      <c r="C1951" s="451">
        <v>65846.5</v>
      </c>
      <c r="D1951" s="261">
        <f t="shared" si="30"/>
        <v>1.6246877206835819E-3</v>
      </c>
    </row>
    <row r="1952" spans="2:4" ht="14" thickBot="1" x14ac:dyDescent="0.2">
      <c r="B1952" s="251">
        <v>45147</v>
      </c>
      <c r="C1952" s="451">
        <v>65995.81</v>
      </c>
      <c r="D1952" s="261">
        <f t="shared" si="30"/>
        <v>-2.2624163564323174E-3</v>
      </c>
    </row>
    <row r="1953" spans="2:4" ht="14" thickBot="1" x14ac:dyDescent="0.2">
      <c r="B1953" s="251">
        <v>45148</v>
      </c>
      <c r="C1953" s="451">
        <v>65688.179999999993</v>
      </c>
      <c r="D1953" s="261">
        <f t="shared" si="30"/>
        <v>4.6831865337113587E-3</v>
      </c>
    </row>
    <row r="1954" spans="2:4" ht="14" thickBot="1" x14ac:dyDescent="0.2">
      <c r="B1954" s="251">
        <v>45149</v>
      </c>
      <c r="C1954" s="451">
        <v>65322.65</v>
      </c>
      <c r="D1954" s="261">
        <f t="shared" si="30"/>
        <v>5.5957619600550679E-3</v>
      </c>
    </row>
    <row r="1955" spans="2:4" ht="14" thickBot="1" x14ac:dyDescent="0.2">
      <c r="B1955" s="251">
        <v>45152</v>
      </c>
      <c r="C1955" s="451">
        <v>65401.919999999998</v>
      </c>
      <c r="D1955" s="261">
        <f t="shared" si="30"/>
        <v>-1.2120439277623074E-3</v>
      </c>
    </row>
    <row r="1956" spans="2:4" ht="14" thickBot="1" x14ac:dyDescent="0.2">
      <c r="B1956" s="251">
        <v>45154</v>
      </c>
      <c r="C1956" s="451">
        <v>65539.42</v>
      </c>
      <c r="D1956" s="261">
        <f t="shared" si="30"/>
        <v>-2.0979740131968905E-3</v>
      </c>
    </row>
    <row r="1957" spans="2:4" ht="14" thickBot="1" x14ac:dyDescent="0.2">
      <c r="B1957" s="251">
        <v>45155</v>
      </c>
      <c r="C1957" s="451">
        <v>65151.02</v>
      </c>
      <c r="D1957" s="261">
        <f t="shared" si="30"/>
        <v>5.9615336797489427E-3</v>
      </c>
    </row>
    <row r="1958" spans="2:4" ht="14" thickBot="1" x14ac:dyDescent="0.2">
      <c r="B1958" s="251">
        <v>45156</v>
      </c>
      <c r="C1958" s="451">
        <v>64948.66</v>
      </c>
      <c r="D1958" s="261">
        <f t="shared" si="30"/>
        <v>3.11569168632575E-3</v>
      </c>
    </row>
    <row r="1959" spans="2:4" ht="14" thickBot="1" x14ac:dyDescent="0.2">
      <c r="B1959" s="251">
        <v>45159</v>
      </c>
      <c r="C1959" s="451">
        <v>65216.09</v>
      </c>
      <c r="D1959" s="261">
        <f t="shared" si="30"/>
        <v>-4.1006751554715226E-3</v>
      </c>
    </row>
    <row r="1960" spans="2:4" ht="14" thickBot="1" x14ac:dyDescent="0.2">
      <c r="B1960" s="251">
        <v>45160</v>
      </c>
      <c r="C1960" s="451">
        <v>65220.03</v>
      </c>
      <c r="D1960" s="261">
        <f t="shared" si="30"/>
        <v>-6.0410889108797328E-5</v>
      </c>
    </row>
    <row r="1961" spans="2:4" ht="14" thickBot="1" x14ac:dyDescent="0.2">
      <c r="B1961" s="251">
        <v>45161</v>
      </c>
      <c r="C1961" s="451">
        <v>65433.3</v>
      </c>
      <c r="D1961" s="261">
        <f t="shared" si="30"/>
        <v>-3.2593495972235154E-3</v>
      </c>
    </row>
    <row r="1962" spans="2:4" ht="14" thickBot="1" x14ac:dyDescent="0.2">
      <c r="B1962" s="251">
        <v>45162</v>
      </c>
      <c r="C1962" s="451">
        <v>65252.34</v>
      </c>
      <c r="D1962" s="261">
        <f t="shared" si="30"/>
        <v>2.7732338794288491E-3</v>
      </c>
    </row>
    <row r="1963" spans="2:4" ht="14" thickBot="1" x14ac:dyDescent="0.2">
      <c r="B1963" s="251">
        <v>45163</v>
      </c>
      <c r="C1963" s="451">
        <v>64886.51</v>
      </c>
      <c r="D1963" s="261">
        <f t="shared" si="30"/>
        <v>5.6379977902956124E-3</v>
      </c>
    </row>
    <row r="1964" spans="2:4" ht="14" thickBot="1" x14ac:dyDescent="0.2">
      <c r="B1964" s="251">
        <v>45166</v>
      </c>
      <c r="C1964" s="451">
        <v>64996.6</v>
      </c>
      <c r="D1964" s="261">
        <f t="shared" si="30"/>
        <v>-1.6937809054626829E-3</v>
      </c>
    </row>
    <row r="1965" spans="2:4" ht="14" thickBot="1" x14ac:dyDescent="0.2">
      <c r="B1965" s="251">
        <v>45167</v>
      </c>
      <c r="C1965" s="451">
        <v>65075.82</v>
      </c>
      <c r="D1965" s="261">
        <f t="shared" si="30"/>
        <v>-1.2173492397022923E-3</v>
      </c>
    </row>
    <row r="1966" spans="2:4" ht="14" thickBot="1" x14ac:dyDescent="0.2">
      <c r="B1966" s="251">
        <v>45168</v>
      </c>
      <c r="C1966" s="451">
        <v>65087.25</v>
      </c>
      <c r="D1966" s="261">
        <f t="shared" si="30"/>
        <v>-1.7561043061431469E-4</v>
      </c>
    </row>
    <row r="1967" spans="2:4" ht="14" thickBot="1" x14ac:dyDescent="0.2">
      <c r="B1967" s="251">
        <v>45169</v>
      </c>
      <c r="C1967" s="451">
        <v>64831.41</v>
      </c>
      <c r="D1967" s="261">
        <f t="shared" si="30"/>
        <v>3.9462353201942246E-3</v>
      </c>
    </row>
    <row r="1968" spans="2:4" ht="14" thickBot="1" x14ac:dyDescent="0.2">
      <c r="B1968" s="251">
        <v>45170</v>
      </c>
      <c r="C1968" s="451">
        <v>65387.16</v>
      </c>
      <c r="D1968" s="261">
        <f t="shared" si="30"/>
        <v>-8.4993751066723133E-3</v>
      </c>
    </row>
    <row r="1969" spans="2:4" ht="14" thickBot="1" x14ac:dyDescent="0.2">
      <c r="B1969" s="251">
        <v>45173</v>
      </c>
      <c r="C1969" s="451">
        <v>65628.14</v>
      </c>
      <c r="D1969" s="261">
        <f t="shared" si="30"/>
        <v>-3.6719004987798565E-3</v>
      </c>
    </row>
    <row r="1970" spans="2:4" ht="14" thickBot="1" x14ac:dyDescent="0.2">
      <c r="B1970" s="251">
        <v>45174</v>
      </c>
      <c r="C1970" s="451">
        <v>65780.259999999995</v>
      </c>
      <c r="D1970" s="261">
        <f t="shared" si="30"/>
        <v>-2.3125478677037403E-3</v>
      </c>
    </row>
    <row r="1971" spans="2:4" ht="14" thickBot="1" x14ac:dyDescent="0.2">
      <c r="B1971" s="251">
        <v>45175</v>
      </c>
      <c r="C1971" s="451">
        <v>65880.52</v>
      </c>
      <c r="D1971" s="261">
        <f t="shared" si="30"/>
        <v>-1.5218459113560678E-3</v>
      </c>
    </row>
    <row r="1972" spans="2:4" ht="14" thickBot="1" x14ac:dyDescent="0.2">
      <c r="B1972" s="251">
        <v>45176</v>
      </c>
      <c r="C1972" s="451">
        <v>66265.56</v>
      </c>
      <c r="D1972" s="261">
        <f t="shared" si="30"/>
        <v>-5.8105598141778847E-3</v>
      </c>
    </row>
    <row r="1973" spans="2:4" ht="14" thickBot="1" x14ac:dyDescent="0.2">
      <c r="B1973" s="251">
        <v>45177</v>
      </c>
      <c r="C1973" s="451">
        <v>66598.91</v>
      </c>
      <c r="D1973" s="261">
        <f t="shared" si="30"/>
        <v>-5.0053371744372965E-3</v>
      </c>
    </row>
    <row r="1974" spans="2:4" ht="14" thickBot="1" x14ac:dyDescent="0.2">
      <c r="B1974" s="251">
        <v>45180</v>
      </c>
      <c r="C1974" s="451">
        <v>67127.08</v>
      </c>
      <c r="D1974" s="261">
        <f t="shared" si="30"/>
        <v>-7.8682105642015054E-3</v>
      </c>
    </row>
    <row r="1975" spans="2:4" ht="14" thickBot="1" x14ac:dyDescent="0.2">
      <c r="B1975" s="251">
        <v>45181</v>
      </c>
      <c r="C1975" s="451">
        <v>67221.13</v>
      </c>
      <c r="D1975" s="261">
        <f t="shared" si="30"/>
        <v>-1.3991136417969008E-3</v>
      </c>
    </row>
    <row r="1976" spans="2:4" ht="14" thickBot="1" x14ac:dyDescent="0.2">
      <c r="B1976" s="251">
        <v>45182</v>
      </c>
      <c r="C1976" s="451">
        <v>67466.990000000005</v>
      </c>
      <c r="D1976" s="261">
        <f t="shared" si="30"/>
        <v>-3.6441524959094362E-3</v>
      </c>
    </row>
    <row r="1977" spans="2:4" ht="14" thickBot="1" x14ac:dyDescent="0.2">
      <c r="B1977" s="251">
        <v>45183</v>
      </c>
      <c r="C1977" s="451">
        <v>67519</v>
      </c>
      <c r="D1977" s="261">
        <f t="shared" si="30"/>
        <v>-7.7030169285674521E-4</v>
      </c>
    </row>
    <row r="1978" spans="2:4" ht="14" thickBot="1" x14ac:dyDescent="0.2">
      <c r="B1978" s="251">
        <v>45184</v>
      </c>
      <c r="C1978" s="451">
        <v>67838.63</v>
      </c>
      <c r="D1978" s="261">
        <f t="shared" si="30"/>
        <v>-4.7116222718531775E-3</v>
      </c>
    </row>
    <row r="1979" spans="2:4" ht="14" thickBot="1" x14ac:dyDescent="0.2">
      <c r="B1979" s="251">
        <v>45187</v>
      </c>
      <c r="C1979" s="451">
        <v>67596.84</v>
      </c>
      <c r="D1979" s="261">
        <f t="shared" si="30"/>
        <v>3.576942354110102E-3</v>
      </c>
    </row>
    <row r="1980" spans="2:4" ht="14" thickBot="1" x14ac:dyDescent="0.2">
      <c r="B1980" s="251">
        <v>45189</v>
      </c>
      <c r="C1980" s="451">
        <v>66800.84</v>
      </c>
      <c r="D1980" s="261">
        <f t="shared" si="30"/>
        <v>1.1916017822530378E-2</v>
      </c>
    </row>
    <row r="1981" spans="2:4" ht="14" thickBot="1" x14ac:dyDescent="0.2">
      <c r="B1981" s="251">
        <v>45190</v>
      </c>
      <c r="C1981" s="451">
        <v>66230.240000000005</v>
      </c>
      <c r="D1981" s="261">
        <f t="shared" si="30"/>
        <v>8.6153998536013798E-3</v>
      </c>
    </row>
    <row r="1982" spans="2:4" ht="14" thickBot="1" x14ac:dyDescent="0.2">
      <c r="B1982" s="251">
        <v>45191</v>
      </c>
      <c r="C1982" s="451">
        <v>66009.149999999994</v>
      </c>
      <c r="D1982" s="261">
        <f t="shared" si="30"/>
        <v>3.3493841384113487E-3</v>
      </c>
    </row>
    <row r="1983" spans="2:4" ht="14" thickBot="1" x14ac:dyDescent="0.2">
      <c r="B1983" s="251">
        <v>45194</v>
      </c>
      <c r="C1983" s="451">
        <v>66023.69</v>
      </c>
      <c r="D1983" s="261">
        <f t="shared" si="30"/>
        <v>-2.2022398324006431E-4</v>
      </c>
    </row>
    <row r="1984" spans="2:4" ht="14" thickBot="1" x14ac:dyDescent="0.2">
      <c r="B1984" s="251">
        <v>45195</v>
      </c>
      <c r="C1984" s="451">
        <v>65945.47</v>
      </c>
      <c r="D1984" s="261">
        <f t="shared" si="30"/>
        <v>1.1861315113836923E-3</v>
      </c>
    </row>
    <row r="1985" spans="2:4" ht="14" thickBot="1" x14ac:dyDescent="0.2">
      <c r="B1985" s="251">
        <v>45196</v>
      </c>
      <c r="C1985" s="451">
        <v>66118.69</v>
      </c>
      <c r="D1985" s="261">
        <f t="shared" si="30"/>
        <v>-2.6198341195204922E-3</v>
      </c>
    </row>
    <row r="1986" spans="2:4" ht="14" thickBot="1" x14ac:dyDescent="0.2">
      <c r="B1986" s="251">
        <v>45197</v>
      </c>
      <c r="C1986" s="451">
        <v>65508.32</v>
      </c>
      <c r="D1986" s="261">
        <f t="shared" si="30"/>
        <v>9.3174424256339261E-3</v>
      </c>
    </row>
    <row r="1987" spans="2:4" ht="14" thickBot="1" x14ac:dyDescent="0.2">
      <c r="B1987" s="251">
        <v>45198</v>
      </c>
      <c r="C1987" s="451">
        <v>65828.41</v>
      </c>
      <c r="D1987" s="261">
        <f t="shared" si="30"/>
        <v>-4.8624902226865885E-3</v>
      </c>
    </row>
    <row r="1988" spans="2:4" ht="14" thickBot="1" x14ac:dyDescent="0.2">
      <c r="B1988" s="251">
        <v>45202</v>
      </c>
      <c r="C1988" s="451">
        <v>65512.1</v>
      </c>
      <c r="D1988" s="261">
        <f t="shared" si="30"/>
        <v>4.8282683656912795E-3</v>
      </c>
    </row>
    <row r="1989" spans="2:4" ht="14" thickBot="1" x14ac:dyDescent="0.2">
      <c r="B1989" s="251">
        <v>45203</v>
      </c>
      <c r="C1989" s="451">
        <v>65226.04</v>
      </c>
      <c r="D1989" s="261">
        <f t="shared" si="30"/>
        <v>4.3856717347856566E-3</v>
      </c>
    </row>
    <row r="1990" spans="2:4" ht="14" thickBot="1" x14ac:dyDescent="0.2">
      <c r="B1990" s="251">
        <v>45204</v>
      </c>
      <c r="C1990" s="451">
        <v>65631.570000000007</v>
      </c>
      <c r="D1990" s="261">
        <f t="shared" si="30"/>
        <v>-6.1788861671296935E-3</v>
      </c>
    </row>
    <row r="1991" spans="2:4" ht="14" thickBot="1" x14ac:dyDescent="0.2">
      <c r="B1991" s="251">
        <v>45205</v>
      </c>
      <c r="C1991" s="451">
        <v>65995.63</v>
      </c>
      <c r="D1991" s="261">
        <f t="shared" si="30"/>
        <v>-5.5164258603183081E-3</v>
      </c>
    </row>
    <row r="1992" spans="2:4" ht="14" thickBot="1" x14ac:dyDescent="0.2">
      <c r="B1992" s="251">
        <v>45208</v>
      </c>
      <c r="C1992" s="451">
        <v>65512.39</v>
      </c>
      <c r="D1992" s="261">
        <f t="shared" si="30"/>
        <v>7.3763146177387995E-3</v>
      </c>
    </row>
    <row r="1993" spans="2:4" ht="14" thickBot="1" x14ac:dyDescent="0.2">
      <c r="B1993" s="251">
        <v>45209</v>
      </c>
      <c r="C1993" s="451">
        <v>66079.360000000001</v>
      </c>
      <c r="D1993" s="261">
        <f t="shared" si="30"/>
        <v>-8.5801375800249602E-3</v>
      </c>
    </row>
    <row r="1994" spans="2:4" ht="14" thickBot="1" x14ac:dyDescent="0.2">
      <c r="B1994" s="251">
        <v>45210</v>
      </c>
      <c r="C1994" s="451">
        <v>66473.05</v>
      </c>
      <c r="D1994" s="261">
        <f t="shared" ref="D1994:D2057" si="31">C1993/C1994-1</f>
        <v>-5.922550567485696E-3</v>
      </c>
    </row>
    <row r="1995" spans="2:4" ht="14" thickBot="1" x14ac:dyDescent="0.2">
      <c r="B1995" s="251">
        <v>45211</v>
      </c>
      <c r="C1995" s="451">
        <v>66408.39</v>
      </c>
      <c r="D1995" s="261">
        <f t="shared" si="31"/>
        <v>9.7367215196753065E-4</v>
      </c>
    </row>
    <row r="1996" spans="2:4" ht="14" thickBot="1" x14ac:dyDescent="0.2">
      <c r="B1996" s="251">
        <v>45212</v>
      </c>
      <c r="C1996" s="451">
        <v>66282.740000000005</v>
      </c>
      <c r="D1996" s="261">
        <f t="shared" si="31"/>
        <v>1.8956669564353934E-3</v>
      </c>
    </row>
    <row r="1997" spans="2:4" ht="14" thickBot="1" x14ac:dyDescent="0.2">
      <c r="B1997" s="251">
        <v>45215</v>
      </c>
      <c r="C1997" s="451">
        <v>66166.929999999993</v>
      </c>
      <c r="D1997" s="261">
        <f t="shared" si="31"/>
        <v>1.7502701122753539E-3</v>
      </c>
    </row>
    <row r="1998" spans="2:4" ht="14" thickBot="1" x14ac:dyDescent="0.2">
      <c r="B1998" s="251">
        <v>45216</v>
      </c>
      <c r="C1998" s="451">
        <v>66428.09</v>
      </c>
      <c r="D1998" s="261">
        <f t="shared" si="31"/>
        <v>-3.9314693527994216E-3</v>
      </c>
    </row>
    <row r="1999" spans="2:4" ht="14" thickBot="1" x14ac:dyDescent="0.2">
      <c r="B1999" s="251">
        <v>45217</v>
      </c>
      <c r="C1999" s="451">
        <v>65877.02</v>
      </c>
      <c r="D1999" s="261">
        <f t="shared" si="31"/>
        <v>8.3651324847417996E-3</v>
      </c>
    </row>
    <row r="2000" spans="2:4" ht="14" thickBot="1" x14ac:dyDescent="0.2">
      <c r="B2000" s="251">
        <v>45218</v>
      </c>
      <c r="C2000" s="451">
        <v>65629.240000000005</v>
      </c>
      <c r="D2000" s="261">
        <f t="shared" si="31"/>
        <v>3.7754513079839569E-3</v>
      </c>
    </row>
    <row r="2001" spans="2:4" ht="14" thickBot="1" x14ac:dyDescent="0.2">
      <c r="B2001" s="251">
        <v>45219</v>
      </c>
      <c r="C2001" s="451">
        <v>65397.62</v>
      </c>
      <c r="D2001" s="261">
        <f t="shared" si="31"/>
        <v>3.5417191023159322E-3</v>
      </c>
    </row>
    <row r="2002" spans="2:4" ht="14" thickBot="1" x14ac:dyDescent="0.2">
      <c r="B2002" s="251">
        <v>45222</v>
      </c>
      <c r="C2002" s="451">
        <v>64571.88</v>
      </c>
      <c r="D2002" s="261">
        <f t="shared" si="31"/>
        <v>1.2787919447288854E-2</v>
      </c>
    </row>
    <row r="2003" spans="2:4" ht="14" thickBot="1" x14ac:dyDescent="0.2">
      <c r="B2003" s="251">
        <v>45224</v>
      </c>
      <c r="C2003" s="451">
        <v>64049.06</v>
      </c>
      <c r="D2003" s="261">
        <f t="shared" si="31"/>
        <v>8.1628051996391893E-3</v>
      </c>
    </row>
    <row r="2004" spans="2:4" ht="14" thickBot="1" x14ac:dyDescent="0.2">
      <c r="B2004" s="251">
        <v>45225</v>
      </c>
      <c r="C2004" s="451">
        <v>63148.15</v>
      </c>
      <c r="D2004" s="261">
        <f t="shared" si="31"/>
        <v>1.4266609552298748E-2</v>
      </c>
    </row>
    <row r="2005" spans="2:4" ht="14" thickBot="1" x14ac:dyDescent="0.2">
      <c r="B2005" s="251">
        <v>45226</v>
      </c>
      <c r="C2005" s="451">
        <v>63782.8</v>
      </c>
      <c r="D2005" s="261">
        <f t="shared" si="31"/>
        <v>-9.9501746552361769E-3</v>
      </c>
    </row>
    <row r="2006" spans="2:4" ht="14" thickBot="1" x14ac:dyDescent="0.2">
      <c r="B2006" s="251">
        <v>45229</v>
      </c>
      <c r="C2006" s="451">
        <v>64112.65</v>
      </c>
      <c r="D2006" s="261">
        <f t="shared" si="31"/>
        <v>-5.1448505092208663E-3</v>
      </c>
    </row>
    <row r="2007" spans="2:4" ht="14" thickBot="1" x14ac:dyDescent="0.2">
      <c r="B2007" s="251">
        <v>45230</v>
      </c>
      <c r="C2007" s="451">
        <v>63874.93</v>
      </c>
      <c r="D2007" s="261">
        <f t="shared" si="31"/>
        <v>3.7216479141346515E-3</v>
      </c>
    </row>
    <row r="2008" spans="2:4" ht="14" thickBot="1" x14ac:dyDescent="0.2">
      <c r="B2008" s="251">
        <v>45231</v>
      </c>
      <c r="C2008" s="451">
        <v>63591.33</v>
      </c>
      <c r="D2008" s="261">
        <f t="shared" si="31"/>
        <v>4.4597274502671258E-3</v>
      </c>
    </row>
    <row r="2009" spans="2:4" ht="14" thickBot="1" x14ac:dyDescent="0.2">
      <c r="B2009" s="251">
        <v>45232</v>
      </c>
      <c r="C2009" s="451">
        <v>64080.9</v>
      </c>
      <c r="D2009" s="261">
        <f t="shared" si="31"/>
        <v>-7.6398739718075426E-3</v>
      </c>
    </row>
    <row r="2010" spans="2:4" ht="14" thickBot="1" x14ac:dyDescent="0.2">
      <c r="B2010" s="251">
        <v>45233</v>
      </c>
      <c r="C2010" s="451">
        <v>64363.78</v>
      </c>
      <c r="D2010" s="261">
        <f t="shared" si="31"/>
        <v>-4.3950184404955017E-3</v>
      </c>
    </row>
    <row r="2011" spans="2:4" ht="14" thickBot="1" x14ac:dyDescent="0.2">
      <c r="B2011" s="251">
        <v>45236</v>
      </c>
      <c r="C2011" s="451">
        <v>64958.69</v>
      </c>
      <c r="D2011" s="261">
        <f t="shared" si="31"/>
        <v>-9.1582819789007841E-3</v>
      </c>
    </row>
    <row r="2012" spans="2:4" ht="14" thickBot="1" x14ac:dyDescent="0.2">
      <c r="B2012" s="251">
        <v>45237</v>
      </c>
      <c r="C2012" s="451">
        <v>64942.400000000001</v>
      </c>
      <c r="D2012" s="261">
        <f t="shared" si="31"/>
        <v>2.5083766537736807E-4</v>
      </c>
    </row>
    <row r="2013" spans="2:4" ht="14" thickBot="1" x14ac:dyDescent="0.2">
      <c r="B2013" s="251">
        <v>45238</v>
      </c>
      <c r="C2013" s="451">
        <v>64975.61</v>
      </c>
      <c r="D2013" s="261">
        <f t="shared" si="31"/>
        <v>-5.111148629463047E-4</v>
      </c>
    </row>
    <row r="2014" spans="2:4" ht="14" thickBot="1" x14ac:dyDescent="0.2">
      <c r="B2014" s="251">
        <v>45239</v>
      </c>
      <c r="C2014" s="451">
        <v>64832.2</v>
      </c>
      <c r="D2014" s="261">
        <f t="shared" si="31"/>
        <v>2.2120181021159091E-3</v>
      </c>
    </row>
    <row r="2015" spans="2:4" ht="14" thickBot="1" x14ac:dyDescent="0.2">
      <c r="B2015" s="251">
        <v>45240</v>
      </c>
      <c r="C2015" s="451">
        <v>64904.68</v>
      </c>
      <c r="D2015" s="261">
        <f t="shared" si="31"/>
        <v>-1.1167145420022395E-3</v>
      </c>
    </row>
    <row r="2016" spans="2:4" ht="14" thickBot="1" x14ac:dyDescent="0.2">
      <c r="B2016" s="251">
        <v>45242</v>
      </c>
      <c r="C2016" s="451">
        <v>65259.45</v>
      </c>
      <c r="D2016" s="261">
        <f t="shared" si="31"/>
        <v>-5.4363007962831E-3</v>
      </c>
    </row>
    <row r="2017" spans="2:4" ht="14" thickBot="1" x14ac:dyDescent="0.2">
      <c r="B2017" s="251">
        <v>45243</v>
      </c>
      <c r="C2017" s="451">
        <v>64933.87</v>
      </c>
      <c r="D2017" s="261">
        <f t="shared" si="31"/>
        <v>5.0140242680745128E-3</v>
      </c>
    </row>
    <row r="2018" spans="2:4" ht="14" thickBot="1" x14ac:dyDescent="0.2">
      <c r="B2018" s="251">
        <v>45245</v>
      </c>
      <c r="C2018" s="451">
        <v>65675.929999999993</v>
      </c>
      <c r="D2018" s="261">
        <f t="shared" si="31"/>
        <v>-1.1298812213241471E-2</v>
      </c>
    </row>
    <row r="2019" spans="2:4" ht="14" thickBot="1" x14ac:dyDescent="0.2">
      <c r="B2019" s="251">
        <v>45246</v>
      </c>
      <c r="C2019" s="451">
        <v>65982.48</v>
      </c>
      <c r="D2019" s="261">
        <f t="shared" si="31"/>
        <v>-4.6459302530005298E-3</v>
      </c>
    </row>
    <row r="2020" spans="2:4" ht="14" thickBot="1" x14ac:dyDescent="0.2">
      <c r="B2020" s="251">
        <v>45247</v>
      </c>
      <c r="C2020" s="451">
        <v>65794.73</v>
      </c>
      <c r="D2020" s="261">
        <f t="shared" si="31"/>
        <v>2.8535720110105522E-3</v>
      </c>
    </row>
    <row r="2021" spans="2:4" ht="14" thickBot="1" x14ac:dyDescent="0.2">
      <c r="B2021" s="251">
        <v>45250</v>
      </c>
      <c r="C2021" s="451">
        <v>65655.149999999994</v>
      </c>
      <c r="D2021" s="261">
        <f t="shared" si="31"/>
        <v>2.1259566081259784E-3</v>
      </c>
    </row>
    <row r="2022" spans="2:4" ht="14" thickBot="1" x14ac:dyDescent="0.2">
      <c r="B2022" s="251">
        <v>45251</v>
      </c>
      <c r="C2022" s="451">
        <v>65930.77</v>
      </c>
      <c r="D2022" s="261">
        <f t="shared" si="31"/>
        <v>-4.1804456401769441E-3</v>
      </c>
    </row>
    <row r="2023" spans="2:4" ht="14" thickBot="1" x14ac:dyDescent="0.2">
      <c r="B2023" s="251">
        <v>45252</v>
      </c>
      <c r="C2023" s="451">
        <v>66023.240000000005</v>
      </c>
      <c r="D2023" s="261">
        <f t="shared" si="31"/>
        <v>-1.400567436557254E-3</v>
      </c>
    </row>
    <row r="2024" spans="2:4" ht="14" thickBot="1" x14ac:dyDescent="0.2">
      <c r="B2024" s="251">
        <v>45253</v>
      </c>
      <c r="C2024" s="451">
        <v>66017.81</v>
      </c>
      <c r="D2024" s="261">
        <f t="shared" si="31"/>
        <v>8.2250532091432405E-5</v>
      </c>
    </row>
    <row r="2025" spans="2:4" ht="14" thickBot="1" x14ac:dyDescent="0.2">
      <c r="B2025" s="251">
        <v>45254</v>
      </c>
      <c r="C2025" s="451">
        <v>65970.039999999994</v>
      </c>
      <c r="D2025" s="261">
        <f t="shared" si="31"/>
        <v>7.2411658383120248E-4</v>
      </c>
    </row>
    <row r="2026" spans="2:4" ht="14" thickBot="1" x14ac:dyDescent="0.2">
      <c r="B2026" s="251">
        <v>45258</v>
      </c>
      <c r="C2026" s="451">
        <v>66174.2</v>
      </c>
      <c r="D2026" s="261">
        <f t="shared" si="31"/>
        <v>-3.0851903007517167E-3</v>
      </c>
    </row>
    <row r="2027" spans="2:4" ht="14" thickBot="1" x14ac:dyDescent="0.2">
      <c r="B2027" s="251">
        <v>45259</v>
      </c>
      <c r="C2027" s="451">
        <v>66901.91</v>
      </c>
      <c r="D2027" s="261">
        <f t="shared" si="31"/>
        <v>-1.0877267928524059E-2</v>
      </c>
    </row>
    <row r="2028" spans="2:4" ht="14" thickBot="1" x14ac:dyDescent="0.2">
      <c r="B2028" s="251">
        <v>45260</v>
      </c>
      <c r="C2028" s="451">
        <v>66988.44</v>
      </c>
      <c r="D2028" s="261">
        <f t="shared" si="31"/>
        <v>-1.2917154064193692E-3</v>
      </c>
    </row>
    <row r="2029" spans="2:4" ht="14" thickBot="1" x14ac:dyDescent="0.2">
      <c r="B2029" s="251">
        <v>45261</v>
      </c>
      <c r="C2029" s="451">
        <v>67481.19</v>
      </c>
      <c r="D2029" s="261">
        <f t="shared" si="31"/>
        <v>-7.3020348337069496E-3</v>
      </c>
    </row>
    <row r="2030" spans="2:4" ht="14" thickBot="1" x14ac:dyDescent="0.2">
      <c r="B2030" s="251">
        <v>45264</v>
      </c>
      <c r="C2030" s="451">
        <v>68865.119999999995</v>
      </c>
      <c r="D2030" s="261">
        <f t="shared" si="31"/>
        <v>-2.0096240302783119E-2</v>
      </c>
    </row>
    <row r="2031" spans="2:4" ht="14" thickBot="1" x14ac:dyDescent="0.2">
      <c r="B2031" s="251">
        <v>45265</v>
      </c>
      <c r="C2031" s="451">
        <v>69296.14</v>
      </c>
      <c r="D2031" s="261">
        <f t="shared" si="31"/>
        <v>-6.2199712711271671E-3</v>
      </c>
    </row>
    <row r="2032" spans="2:4" ht="14" thickBot="1" x14ac:dyDescent="0.2">
      <c r="B2032" s="251">
        <v>45266</v>
      </c>
      <c r="C2032" s="451">
        <v>69653.73</v>
      </c>
      <c r="D2032" s="261">
        <f t="shared" si="31"/>
        <v>-5.1338241326056577E-3</v>
      </c>
    </row>
    <row r="2033" spans="2:4" ht="14" thickBot="1" x14ac:dyDescent="0.2">
      <c r="B2033" s="251">
        <v>45267</v>
      </c>
      <c r="C2033" s="451">
        <v>69521.69</v>
      </c>
      <c r="D2033" s="261">
        <f t="shared" si="31"/>
        <v>1.8992633809677972E-3</v>
      </c>
    </row>
    <row r="2034" spans="2:4" ht="14" thickBot="1" x14ac:dyDescent="0.2">
      <c r="B2034" s="251">
        <v>45268</v>
      </c>
      <c r="C2034" s="451">
        <v>69825.600000000006</v>
      </c>
      <c r="D2034" s="261">
        <f t="shared" si="31"/>
        <v>-4.3524151600559113E-3</v>
      </c>
    </row>
    <row r="2035" spans="2:4" ht="14" thickBot="1" x14ac:dyDescent="0.2">
      <c r="B2035" s="251">
        <v>45271</v>
      </c>
      <c r="C2035" s="451">
        <v>69928.53</v>
      </c>
      <c r="D2035" s="261">
        <f t="shared" si="31"/>
        <v>-1.4719314134015171E-3</v>
      </c>
    </row>
    <row r="2036" spans="2:4" ht="14" thickBot="1" x14ac:dyDescent="0.2">
      <c r="B2036" s="251">
        <v>45272</v>
      </c>
      <c r="C2036" s="451">
        <v>69551.03</v>
      </c>
      <c r="D2036" s="261">
        <f t="shared" si="31"/>
        <v>5.4276694392592084E-3</v>
      </c>
    </row>
    <row r="2037" spans="2:4" ht="14" thickBot="1" x14ac:dyDescent="0.2">
      <c r="B2037" s="251">
        <v>45273</v>
      </c>
      <c r="C2037" s="451">
        <v>69584.600000000006</v>
      </c>
      <c r="D2037" s="261">
        <f t="shared" si="31"/>
        <v>-4.8243433173444927E-4</v>
      </c>
    </row>
    <row r="2038" spans="2:4" ht="14" thickBot="1" x14ac:dyDescent="0.2">
      <c r="B2038" s="251">
        <v>45274</v>
      </c>
      <c r="C2038" s="451">
        <v>70514.2</v>
      </c>
      <c r="D2038" s="261">
        <f t="shared" si="31"/>
        <v>-1.3183160271264427E-2</v>
      </c>
    </row>
    <row r="2039" spans="2:4" ht="14" thickBot="1" x14ac:dyDescent="0.2">
      <c r="B2039" s="251">
        <v>45275</v>
      </c>
      <c r="C2039" s="451">
        <v>71483.75</v>
      </c>
      <c r="D2039" s="261">
        <f t="shared" si="31"/>
        <v>-1.3563222410687747E-2</v>
      </c>
    </row>
    <row r="2040" spans="2:4" ht="14" thickBot="1" x14ac:dyDescent="0.2">
      <c r="B2040" s="251">
        <v>45278</v>
      </c>
      <c r="C2040" s="451">
        <v>71315.09</v>
      </c>
      <c r="D2040" s="261">
        <f t="shared" si="31"/>
        <v>2.3649973659152224E-3</v>
      </c>
    </row>
    <row r="2041" spans="2:4" ht="14" thickBot="1" x14ac:dyDescent="0.2">
      <c r="B2041" s="251">
        <v>45279</v>
      </c>
      <c r="C2041" s="451">
        <v>71437.19</v>
      </c>
      <c r="D2041" s="261">
        <f t="shared" si="31"/>
        <v>-1.7091937686799508E-3</v>
      </c>
    </row>
    <row r="2042" spans="2:4" ht="14" thickBot="1" x14ac:dyDescent="0.2">
      <c r="B2042" s="251">
        <v>45280</v>
      </c>
      <c r="C2042" s="451">
        <v>70506.31</v>
      </c>
      <c r="D2042" s="261">
        <f t="shared" si="31"/>
        <v>1.3202789934688264E-2</v>
      </c>
    </row>
    <row r="2043" spans="2:4" ht="14" thickBot="1" x14ac:dyDescent="0.2">
      <c r="B2043" s="251">
        <v>45281</v>
      </c>
      <c r="C2043" s="451">
        <v>70865.100000000006</v>
      </c>
      <c r="D2043" s="261">
        <f t="shared" si="31"/>
        <v>-5.0629999816553806E-3</v>
      </c>
    </row>
    <row r="2044" spans="2:4" ht="14" thickBot="1" x14ac:dyDescent="0.2">
      <c r="B2044" s="251">
        <v>45282</v>
      </c>
      <c r="C2044" s="451">
        <v>71106.960000000006</v>
      </c>
      <c r="D2044" s="261">
        <f t="shared" si="31"/>
        <v>-3.4013548040866537E-3</v>
      </c>
    </row>
    <row r="2045" spans="2:4" ht="14" thickBot="1" x14ac:dyDescent="0.2">
      <c r="B2045" s="251">
        <v>45286</v>
      </c>
      <c r="C2045" s="451">
        <v>71336.800000000003</v>
      </c>
      <c r="D2045" s="261">
        <f t="shared" si="31"/>
        <v>-3.2218994964730019E-3</v>
      </c>
    </row>
    <row r="2046" spans="2:4" ht="14" thickBot="1" x14ac:dyDescent="0.2">
      <c r="B2046" s="251">
        <v>45287</v>
      </c>
      <c r="C2046" s="451">
        <v>72038.429999999993</v>
      </c>
      <c r="D2046" s="261">
        <f t="shared" si="31"/>
        <v>-9.7396625662162783E-3</v>
      </c>
    </row>
    <row r="2047" spans="2:4" ht="14" thickBot="1" x14ac:dyDescent="0.2">
      <c r="B2047" s="251">
        <v>45288</v>
      </c>
      <c r="C2047" s="451">
        <v>72410.38</v>
      </c>
      <c r="D2047" s="261">
        <f t="shared" si="31"/>
        <v>-5.1366944904861489E-3</v>
      </c>
    </row>
    <row r="2048" spans="2:4" ht="14" thickBot="1" x14ac:dyDescent="0.2">
      <c r="B2048" s="251">
        <v>45289</v>
      </c>
      <c r="C2048" s="451">
        <v>72240.259999999995</v>
      </c>
      <c r="D2048" s="261">
        <f t="shared" si="31"/>
        <v>2.3549195420948799E-3</v>
      </c>
    </row>
    <row r="2049" spans="2:4" ht="14" thickBot="1" x14ac:dyDescent="0.2">
      <c r="B2049" s="251">
        <v>45292</v>
      </c>
      <c r="C2049" s="451">
        <v>72271.94</v>
      </c>
      <c r="D2049" s="261">
        <f t="shared" si="31"/>
        <v>-4.3834439756296195E-4</v>
      </c>
    </row>
    <row r="2050" spans="2:4" ht="14" thickBot="1" x14ac:dyDescent="0.2">
      <c r="B2050" s="251">
        <v>45293</v>
      </c>
      <c r="C2050" s="451">
        <v>71892.479999999996</v>
      </c>
      <c r="D2050" s="261">
        <f t="shared" si="31"/>
        <v>5.2781598297904075E-3</v>
      </c>
    </row>
    <row r="2051" spans="2:4" ht="14" thickBot="1" x14ac:dyDescent="0.2">
      <c r="B2051" s="251">
        <v>45294</v>
      </c>
      <c r="C2051" s="451">
        <v>71356.600000000006</v>
      </c>
      <c r="D2051" s="261">
        <f t="shared" si="31"/>
        <v>7.509886962102863E-3</v>
      </c>
    </row>
    <row r="2052" spans="2:4" ht="14" thickBot="1" x14ac:dyDescent="0.2">
      <c r="B2052" s="251">
        <v>45295</v>
      </c>
      <c r="C2052" s="451">
        <v>71847.570000000007</v>
      </c>
      <c r="D2052" s="261">
        <f t="shared" si="31"/>
        <v>-6.8334948558455011E-3</v>
      </c>
    </row>
    <row r="2053" spans="2:4" ht="14" thickBot="1" x14ac:dyDescent="0.2">
      <c r="B2053" s="251">
        <v>45296</v>
      </c>
      <c r="C2053" s="451">
        <v>72026.149999999994</v>
      </c>
      <c r="D2053" s="261">
        <f t="shared" si="31"/>
        <v>-2.4793772817232052E-3</v>
      </c>
    </row>
    <row r="2054" spans="2:4" ht="14" thickBot="1" x14ac:dyDescent="0.2">
      <c r="B2054" s="251">
        <v>45299</v>
      </c>
      <c r="C2054" s="451">
        <v>71355.22</v>
      </c>
      <c r="D2054" s="261">
        <f t="shared" si="31"/>
        <v>9.4026757958280971E-3</v>
      </c>
    </row>
    <row r="2055" spans="2:4" ht="14" thickBot="1" x14ac:dyDescent="0.2">
      <c r="B2055" s="251">
        <v>45300</v>
      </c>
      <c r="C2055" s="451">
        <v>71386.210000000006</v>
      </c>
      <c r="D2055" s="261">
        <f t="shared" si="31"/>
        <v>-4.3411745769950105E-4</v>
      </c>
    </row>
    <row r="2056" spans="2:4" ht="14" thickBot="1" x14ac:dyDescent="0.2">
      <c r="B2056" s="251">
        <v>45301</v>
      </c>
      <c r="C2056" s="451">
        <v>71657.710000000006</v>
      </c>
      <c r="D2056" s="261">
        <f t="shared" si="31"/>
        <v>-3.7888456106118795E-3</v>
      </c>
    </row>
    <row r="2057" spans="2:4" ht="14" thickBot="1" x14ac:dyDescent="0.2">
      <c r="B2057" s="251">
        <v>45302</v>
      </c>
      <c r="C2057" s="451">
        <v>71721.179999999993</v>
      </c>
      <c r="D2057" s="261">
        <f t="shared" si="31"/>
        <v>-8.8495476510541682E-4</v>
      </c>
    </row>
    <row r="2058" spans="2:4" ht="14" thickBot="1" x14ac:dyDescent="0.2">
      <c r="B2058" s="251">
        <v>45303</v>
      </c>
      <c r="C2058" s="451">
        <v>72568.45</v>
      </c>
      <c r="D2058" s="261">
        <f t="shared" ref="D2058:D2121" si="32">C2057/C2058-1</f>
        <v>-1.1675459514430941E-2</v>
      </c>
    </row>
    <row r="2059" spans="2:4" ht="14" thickBot="1" x14ac:dyDescent="0.2">
      <c r="B2059" s="251">
        <v>45306</v>
      </c>
      <c r="C2059" s="451">
        <v>73327.94</v>
      </c>
      <c r="D2059" s="261">
        <f t="shared" si="32"/>
        <v>-1.0357443561076485E-2</v>
      </c>
    </row>
    <row r="2060" spans="2:4" ht="14" thickBot="1" x14ac:dyDescent="0.2">
      <c r="B2060" s="251">
        <v>45307</v>
      </c>
      <c r="C2060" s="451">
        <v>73128.77</v>
      </c>
      <c r="D2060" s="261">
        <f t="shared" si="32"/>
        <v>2.7235518934614067E-3</v>
      </c>
    </row>
    <row r="2061" spans="2:4" ht="14" thickBot="1" x14ac:dyDescent="0.2">
      <c r="B2061" s="251">
        <v>45308</v>
      </c>
      <c r="C2061" s="451">
        <v>71500.759999999995</v>
      </c>
      <c r="D2061" s="261">
        <f t="shared" si="32"/>
        <v>2.2769128607863953E-2</v>
      </c>
    </row>
    <row r="2062" spans="2:4" ht="14" thickBot="1" x14ac:dyDescent="0.2">
      <c r="B2062" s="251">
        <v>45309</v>
      </c>
      <c r="C2062" s="451">
        <v>71186.86</v>
      </c>
      <c r="D2062" s="261">
        <f t="shared" si="32"/>
        <v>4.4095216448651886E-3</v>
      </c>
    </row>
    <row r="2063" spans="2:4" ht="14" thickBot="1" x14ac:dyDescent="0.2">
      <c r="B2063" s="251">
        <v>45310</v>
      </c>
      <c r="C2063" s="451">
        <v>71683.23</v>
      </c>
      <c r="D2063" s="261">
        <f t="shared" si="32"/>
        <v>-6.9244926602776147E-3</v>
      </c>
    </row>
    <row r="2064" spans="2:4" ht="14" thickBot="1" x14ac:dyDescent="0.2">
      <c r="B2064" s="251">
        <v>45311</v>
      </c>
      <c r="C2064" s="451">
        <v>71423.649999999994</v>
      </c>
      <c r="D2064" s="261">
        <f t="shared" si="32"/>
        <v>3.6343704081212014E-3</v>
      </c>
    </row>
    <row r="2065" spans="2:4" ht="14" thickBot="1" x14ac:dyDescent="0.2">
      <c r="B2065" s="251">
        <v>45314</v>
      </c>
      <c r="C2065" s="451">
        <v>70370.55</v>
      </c>
      <c r="D2065" s="261">
        <f t="shared" si="32"/>
        <v>1.4965067062854942E-2</v>
      </c>
    </row>
    <row r="2066" spans="2:4" ht="14" thickBot="1" x14ac:dyDescent="0.2">
      <c r="B2066" s="251">
        <v>45315</v>
      </c>
      <c r="C2066" s="451">
        <v>71060.31</v>
      </c>
      <c r="D2066" s="261">
        <f t="shared" si="32"/>
        <v>-9.706684364309659E-3</v>
      </c>
    </row>
    <row r="2067" spans="2:4" ht="14" thickBot="1" x14ac:dyDescent="0.2">
      <c r="B2067" s="251">
        <v>45316</v>
      </c>
      <c r="C2067" s="451">
        <v>70700.67</v>
      </c>
      <c r="D2067" s="261">
        <f t="shared" si="32"/>
        <v>5.0867976215784871E-3</v>
      </c>
    </row>
    <row r="2068" spans="2:4" ht="14" thickBot="1" x14ac:dyDescent="0.2">
      <c r="B2068" s="251">
        <v>45320</v>
      </c>
      <c r="C2068" s="451">
        <v>71941.570000000007</v>
      </c>
      <c r="D2068" s="261">
        <f t="shared" si="32"/>
        <v>-1.7248720037663978E-2</v>
      </c>
    </row>
    <row r="2069" spans="2:4" ht="14" thickBot="1" x14ac:dyDescent="0.2">
      <c r="B2069" s="251">
        <v>45321</v>
      </c>
      <c r="C2069" s="451">
        <v>71139.899999999994</v>
      </c>
      <c r="D2069" s="261">
        <f t="shared" si="32"/>
        <v>1.1268922222269273E-2</v>
      </c>
    </row>
    <row r="2070" spans="2:4" ht="14" thickBot="1" x14ac:dyDescent="0.2">
      <c r="B2070" s="251">
        <v>45322</v>
      </c>
      <c r="C2070" s="451">
        <v>71752.11</v>
      </c>
      <c r="D2070" s="261">
        <f t="shared" si="32"/>
        <v>-8.5322926391990794E-3</v>
      </c>
    </row>
    <row r="2071" spans="2:4" ht="14" thickBot="1" x14ac:dyDescent="0.2">
      <c r="B2071" s="251">
        <v>45323</v>
      </c>
      <c r="C2071" s="451">
        <v>71645.3</v>
      </c>
      <c r="D2071" s="261">
        <f t="shared" si="32"/>
        <v>1.4908165643803262E-3</v>
      </c>
    </row>
    <row r="2072" spans="2:4" ht="14" thickBot="1" x14ac:dyDescent="0.2">
      <c r="B2072" s="251">
        <v>45324</v>
      </c>
      <c r="C2072" s="451">
        <v>72085.63</v>
      </c>
      <c r="D2072" s="261">
        <f t="shared" si="32"/>
        <v>-6.1084296551199291E-3</v>
      </c>
    </row>
    <row r="2073" spans="2:4" ht="14" thickBot="1" x14ac:dyDescent="0.2">
      <c r="B2073" s="251">
        <v>45327</v>
      </c>
      <c r="C2073" s="451">
        <v>71731.42</v>
      </c>
      <c r="D2073" s="261">
        <f t="shared" si="32"/>
        <v>4.9380034578989651E-3</v>
      </c>
    </row>
    <row r="2074" spans="2:4" ht="14" thickBot="1" x14ac:dyDescent="0.2">
      <c r="B2074" s="251">
        <v>45328</v>
      </c>
      <c r="C2074" s="451">
        <v>72186.09</v>
      </c>
      <c r="D2074" s="261">
        <f t="shared" si="32"/>
        <v>-6.298581901305389E-3</v>
      </c>
    </row>
    <row r="2075" spans="2:4" ht="14" thickBot="1" x14ac:dyDescent="0.2">
      <c r="B2075" s="251">
        <v>45329</v>
      </c>
      <c r="C2075" s="451">
        <v>72152</v>
      </c>
      <c r="D2075" s="261">
        <f t="shared" si="32"/>
        <v>4.724747754738523E-4</v>
      </c>
    </row>
    <row r="2076" spans="2:4" ht="14" thickBot="1" x14ac:dyDescent="0.2">
      <c r="B2076" s="251">
        <v>45330</v>
      </c>
      <c r="C2076" s="451">
        <v>71428.429999999993</v>
      </c>
      <c r="D2076" s="261">
        <f t="shared" si="32"/>
        <v>1.0130000057400279E-2</v>
      </c>
    </row>
    <row r="2077" spans="2:4" ht="14" thickBot="1" x14ac:dyDescent="0.2">
      <c r="B2077" s="251">
        <v>45331</v>
      </c>
      <c r="C2077" s="451">
        <v>71595.490000000005</v>
      </c>
      <c r="D2077" s="261">
        <f t="shared" si="32"/>
        <v>-2.33338720078613E-3</v>
      </c>
    </row>
    <row r="2078" spans="2:4" ht="14" thickBot="1" x14ac:dyDescent="0.2">
      <c r="B2078" s="251">
        <v>45334</v>
      </c>
      <c r="C2078" s="451">
        <v>71072.490000000005</v>
      </c>
      <c r="D2078" s="261">
        <f t="shared" si="32"/>
        <v>7.358684070306154E-3</v>
      </c>
    </row>
    <row r="2079" spans="2:4" ht="14" thickBot="1" x14ac:dyDescent="0.2">
      <c r="B2079" s="251">
        <v>45335</v>
      </c>
      <c r="C2079" s="451">
        <v>71555.19</v>
      </c>
      <c r="D2079" s="261">
        <f t="shared" si="32"/>
        <v>-6.745841915869355E-3</v>
      </c>
    </row>
    <row r="2080" spans="2:4" ht="14" thickBot="1" x14ac:dyDescent="0.2">
      <c r="B2080" s="251">
        <v>45336</v>
      </c>
      <c r="C2080" s="451">
        <v>71822.83</v>
      </c>
      <c r="D2080" s="261">
        <f t="shared" si="32"/>
        <v>-3.7263917336590735E-3</v>
      </c>
    </row>
    <row r="2081" spans="2:4" ht="14" thickBot="1" x14ac:dyDescent="0.2">
      <c r="B2081" s="251">
        <v>45337</v>
      </c>
      <c r="C2081" s="451">
        <v>72050.38</v>
      </c>
      <c r="D2081" s="261">
        <f t="shared" si="32"/>
        <v>-3.1582067991869911E-3</v>
      </c>
    </row>
    <row r="2082" spans="2:4" ht="14" thickBot="1" x14ac:dyDescent="0.2">
      <c r="B2082" s="251">
        <v>45338</v>
      </c>
      <c r="C2082" s="451">
        <v>72426.64</v>
      </c>
      <c r="D2082" s="261">
        <f t="shared" si="32"/>
        <v>-5.1950497772642601E-3</v>
      </c>
    </row>
    <row r="2083" spans="2:4" ht="14" thickBot="1" x14ac:dyDescent="0.2">
      <c r="B2083" s="251">
        <v>45341</v>
      </c>
      <c r="C2083" s="451">
        <v>72708.160000000003</v>
      </c>
      <c r="D2083" s="261">
        <f t="shared" si="32"/>
        <v>-3.871917539929548E-3</v>
      </c>
    </row>
    <row r="2084" spans="2:4" ht="14" thickBot="1" x14ac:dyDescent="0.2">
      <c r="B2084" s="251">
        <v>45342</v>
      </c>
      <c r="C2084" s="451">
        <v>73057.399999999994</v>
      </c>
      <c r="D2084" s="261">
        <f t="shared" si="32"/>
        <v>-4.7803507926642563E-3</v>
      </c>
    </row>
    <row r="2085" spans="2:4" ht="14" thickBot="1" x14ac:dyDescent="0.2">
      <c r="B2085" s="251">
        <v>45343</v>
      </c>
      <c r="C2085" s="451">
        <v>72623.09</v>
      </c>
      <c r="D2085" s="261">
        <f t="shared" si="32"/>
        <v>5.9803293966147475E-3</v>
      </c>
    </row>
    <row r="2086" spans="2:4" ht="14" thickBot="1" x14ac:dyDescent="0.2">
      <c r="B2086" s="251">
        <v>45344</v>
      </c>
      <c r="C2086" s="451">
        <v>73158.240000000005</v>
      </c>
      <c r="D2086" s="261">
        <f t="shared" si="32"/>
        <v>-7.3149654775731543E-3</v>
      </c>
    </row>
    <row r="2087" spans="2:4" ht="14" thickBot="1" x14ac:dyDescent="0.2">
      <c r="B2087" s="251">
        <v>45345</v>
      </c>
      <c r="C2087" s="451">
        <v>73142.8</v>
      </c>
      <c r="D2087" s="261">
        <f t="shared" si="32"/>
        <v>2.1109391491713758E-4</v>
      </c>
    </row>
    <row r="2088" spans="2:4" ht="14" thickBot="1" x14ac:dyDescent="0.2">
      <c r="B2088" s="251">
        <v>45348</v>
      </c>
      <c r="C2088" s="451">
        <v>72790.13</v>
      </c>
      <c r="D2088" s="261">
        <f t="shared" si="32"/>
        <v>4.8450250054505872E-3</v>
      </c>
    </row>
    <row r="2089" spans="2:4" ht="14" thickBot="1" x14ac:dyDescent="0.2">
      <c r="B2089" s="251">
        <v>45349</v>
      </c>
      <c r="C2089" s="451">
        <v>73095.22</v>
      </c>
      <c r="D2089" s="261">
        <f t="shared" si="32"/>
        <v>-4.1738707401113295E-3</v>
      </c>
    </row>
    <row r="2090" spans="2:4" ht="14" thickBot="1" x14ac:dyDescent="0.2">
      <c r="B2090" s="251">
        <v>45350</v>
      </c>
      <c r="C2090" s="451">
        <v>72304.88</v>
      </c>
      <c r="D2090" s="261">
        <f t="shared" si="32"/>
        <v>1.0930659175424795E-2</v>
      </c>
    </row>
    <row r="2091" spans="2:4" ht="14" thickBot="1" x14ac:dyDescent="0.2">
      <c r="B2091" s="251">
        <v>45351</v>
      </c>
      <c r="C2091" s="451">
        <v>72500.3</v>
      </c>
      <c r="D2091" s="261">
        <f t="shared" si="32"/>
        <v>-2.695437122329114E-3</v>
      </c>
    </row>
    <row r="2092" spans="2:4" ht="14" thickBot="1" x14ac:dyDescent="0.2">
      <c r="B2092" s="251">
        <v>45352</v>
      </c>
      <c r="C2092" s="451">
        <v>73745.350000000006</v>
      </c>
      <c r="D2092" s="261">
        <f t="shared" si="32"/>
        <v>-1.6883098391966445E-2</v>
      </c>
    </row>
    <row r="2093" spans="2:4" ht="14" thickBot="1" x14ac:dyDescent="0.2">
      <c r="B2093" s="251">
        <v>45353</v>
      </c>
      <c r="C2093" s="451">
        <v>73806.149999999994</v>
      </c>
      <c r="D2093" s="261">
        <f t="shared" si="32"/>
        <v>-8.2377959018309355E-4</v>
      </c>
    </row>
    <row r="2094" spans="2:4" ht="14" thickBot="1" x14ac:dyDescent="0.2">
      <c r="B2094" s="251">
        <v>45355</v>
      </c>
      <c r="C2094" s="451">
        <v>73872.289999999994</v>
      </c>
      <c r="D2094" s="261">
        <f t="shared" si="32"/>
        <v>-8.9532895216870578E-4</v>
      </c>
    </row>
    <row r="2095" spans="2:4" ht="14" thickBot="1" x14ac:dyDescent="0.2">
      <c r="B2095" s="251">
        <v>45356</v>
      </c>
      <c r="C2095" s="451">
        <v>73677.13</v>
      </c>
      <c r="D2095" s="261">
        <f t="shared" si="32"/>
        <v>2.648854536000389E-3</v>
      </c>
    </row>
    <row r="2096" spans="2:4" ht="14" thickBot="1" x14ac:dyDescent="0.2">
      <c r="B2096" s="251">
        <v>45357</v>
      </c>
      <c r="C2096" s="451">
        <v>74085.990000000005</v>
      </c>
      <c r="D2096" s="261">
        <f t="shared" si="32"/>
        <v>-5.5187222307483408E-3</v>
      </c>
    </row>
    <row r="2097" spans="2:4" ht="14" thickBot="1" x14ac:dyDescent="0.2">
      <c r="B2097" s="251">
        <v>45358</v>
      </c>
      <c r="C2097" s="451">
        <v>74119.39</v>
      </c>
      <c r="D2097" s="261">
        <f t="shared" si="32"/>
        <v>-4.50624323810489E-4</v>
      </c>
    </row>
    <row r="2098" spans="2:4" ht="14" thickBot="1" x14ac:dyDescent="0.2">
      <c r="B2098" s="251">
        <v>45362</v>
      </c>
      <c r="C2098" s="451">
        <v>73502.64</v>
      </c>
      <c r="D2098" s="261">
        <f t="shared" si="32"/>
        <v>8.3908550767699541E-3</v>
      </c>
    </row>
    <row r="2099" spans="2:4" ht="14" thickBot="1" x14ac:dyDescent="0.2">
      <c r="B2099" s="251">
        <v>45363</v>
      </c>
      <c r="C2099" s="451">
        <v>73667.960000000006</v>
      </c>
      <c r="D2099" s="261">
        <f t="shared" si="32"/>
        <v>-2.2441234968364476E-3</v>
      </c>
    </row>
    <row r="2100" spans="2:4" ht="14" thickBot="1" x14ac:dyDescent="0.2">
      <c r="B2100" s="251">
        <v>45364</v>
      </c>
      <c r="C2100" s="451">
        <v>72761.89</v>
      </c>
      <c r="D2100" s="261">
        <f t="shared" si="32"/>
        <v>1.2452535248878238E-2</v>
      </c>
    </row>
    <row r="2101" spans="2:4" ht="14" thickBot="1" x14ac:dyDescent="0.2">
      <c r="B2101" s="251">
        <v>45365</v>
      </c>
      <c r="C2101" s="451">
        <v>73097.279999999999</v>
      </c>
      <c r="D2101" s="261">
        <f t="shared" si="32"/>
        <v>-4.5882692215086784E-3</v>
      </c>
    </row>
    <row r="2102" spans="2:4" ht="14" thickBot="1" x14ac:dyDescent="0.2">
      <c r="B2102" s="251">
        <v>45366</v>
      </c>
      <c r="C2102" s="451">
        <v>72643.429999999993</v>
      </c>
      <c r="D2102" s="261">
        <f t="shared" si="32"/>
        <v>6.2476400136943777E-3</v>
      </c>
    </row>
    <row r="2103" spans="2:4" ht="14" thickBot="1" x14ac:dyDescent="0.2">
      <c r="B2103" s="251">
        <v>45369</v>
      </c>
      <c r="C2103" s="451">
        <v>72748.42</v>
      </c>
      <c r="D2103" s="261">
        <f t="shared" si="32"/>
        <v>-1.4431928555974638E-3</v>
      </c>
    </row>
    <row r="2104" spans="2:4" ht="14" thickBot="1" x14ac:dyDescent="0.2">
      <c r="B2104" s="251">
        <v>45370</v>
      </c>
      <c r="C2104" s="451">
        <v>72012.05</v>
      </c>
      <c r="D2104" s="261">
        <f t="shared" si="32"/>
        <v>1.0225649735009501E-2</v>
      </c>
    </row>
    <row r="2105" spans="2:4" ht="14" thickBot="1" x14ac:dyDescent="0.2">
      <c r="B2105" s="251">
        <v>45371</v>
      </c>
      <c r="C2105" s="451">
        <v>72101.69</v>
      </c>
      <c r="D2105" s="261">
        <f t="shared" si="32"/>
        <v>-1.2432440903951125E-3</v>
      </c>
    </row>
    <row r="2106" spans="2:4" ht="14" thickBot="1" x14ac:dyDescent="0.2">
      <c r="B2106" s="251">
        <v>45372</v>
      </c>
      <c r="C2106" s="451">
        <v>72641.19</v>
      </c>
      <c r="D2106" s="261">
        <f t="shared" si="32"/>
        <v>-7.4269157760218363E-3</v>
      </c>
    </row>
    <row r="2107" spans="2:4" ht="14" thickBot="1" x14ac:dyDescent="0.2">
      <c r="B2107" s="251">
        <v>45373</v>
      </c>
      <c r="C2107" s="451">
        <v>72831.94</v>
      </c>
      <c r="D2107" s="261">
        <f t="shared" si="32"/>
        <v>-2.619043238447305E-3</v>
      </c>
    </row>
    <row r="2108" spans="2:4" ht="14" thickBot="1" x14ac:dyDescent="0.2">
      <c r="B2108" s="251">
        <v>45377</v>
      </c>
      <c r="C2108" s="451">
        <v>72470.3</v>
      </c>
      <c r="D2108" s="261">
        <f t="shared" si="32"/>
        <v>4.9901821849778205E-3</v>
      </c>
    </row>
    <row r="2109" spans="2:4" ht="14" thickBot="1" x14ac:dyDescent="0.2">
      <c r="B2109" s="251">
        <v>45378</v>
      </c>
      <c r="C2109" s="451">
        <v>72996.31</v>
      </c>
      <c r="D2109" s="261">
        <f t="shared" si="32"/>
        <v>-7.2059806858729702E-3</v>
      </c>
    </row>
    <row r="2110" spans="2:4" ht="14" thickBot="1" x14ac:dyDescent="0.2">
      <c r="B2110" s="251">
        <v>45379</v>
      </c>
      <c r="C2110" s="451">
        <v>73651.350000000006</v>
      </c>
      <c r="D2110" s="261">
        <f t="shared" si="32"/>
        <v>-8.8937948863124783E-3</v>
      </c>
    </row>
    <row r="2111" spans="2:4" ht="14" thickBot="1" x14ac:dyDescent="0.2">
      <c r="B2111" s="251">
        <v>45383</v>
      </c>
      <c r="C2111" s="451">
        <v>74014.55</v>
      </c>
      <c r="D2111" s="261">
        <f t="shared" si="32"/>
        <v>-4.9071432576431873E-3</v>
      </c>
    </row>
    <row r="2112" spans="2:4" ht="14" thickBot="1" x14ac:dyDescent="0.2">
      <c r="B2112" s="251">
        <v>45384</v>
      </c>
      <c r="C2112" s="451">
        <v>73903.91</v>
      </c>
      <c r="D2112" s="261">
        <f t="shared" si="32"/>
        <v>1.4970791125936689E-3</v>
      </c>
    </row>
    <row r="2113" spans="2:4" ht="14" thickBot="1" x14ac:dyDescent="0.2">
      <c r="B2113" s="251">
        <v>45385</v>
      </c>
      <c r="C2113" s="451">
        <v>73876.820000000007</v>
      </c>
      <c r="D2113" s="261">
        <f t="shared" si="32"/>
        <v>3.6669147372614397E-4</v>
      </c>
    </row>
    <row r="2114" spans="2:4" ht="14" thickBot="1" x14ac:dyDescent="0.2">
      <c r="B2114" s="251">
        <v>45386</v>
      </c>
      <c r="C2114" s="451">
        <v>74227.63</v>
      </c>
      <c r="D2114" s="261">
        <f t="shared" si="32"/>
        <v>-4.7261376929318422E-3</v>
      </c>
    </row>
    <row r="2115" spans="2:4" ht="14" thickBot="1" x14ac:dyDescent="0.2">
      <c r="B2115" s="251">
        <v>45387</v>
      </c>
      <c r="C2115" s="451">
        <v>74248.22</v>
      </c>
      <c r="D2115" s="261">
        <f t="shared" si="32"/>
        <v>-2.7731304534972523E-4</v>
      </c>
    </row>
    <row r="2116" spans="2:4" ht="14" thickBot="1" x14ac:dyDescent="0.2">
      <c r="B2116" s="251">
        <v>45390</v>
      </c>
      <c r="C2116" s="451">
        <v>74742.5</v>
      </c>
      <c r="D2116" s="261">
        <f t="shared" si="32"/>
        <v>-6.613104993812069E-3</v>
      </c>
    </row>
    <row r="2117" spans="2:4" ht="14" thickBot="1" x14ac:dyDescent="0.2">
      <c r="B2117" s="251">
        <v>45391</v>
      </c>
      <c r="C2117" s="451">
        <v>74683.7</v>
      </c>
      <c r="D2117" s="261">
        <f t="shared" si="32"/>
        <v>7.8732039253548436E-4</v>
      </c>
    </row>
    <row r="2118" spans="2:4" ht="14" thickBot="1" x14ac:dyDescent="0.2">
      <c r="B2118" s="251">
        <v>45392</v>
      </c>
      <c r="C2118" s="451">
        <v>75038.149999999994</v>
      </c>
      <c r="D2118" s="261">
        <f t="shared" si="32"/>
        <v>-4.7235972635252255E-3</v>
      </c>
    </row>
    <row r="2119" spans="2:4" ht="14" thickBot="1" x14ac:dyDescent="0.2">
      <c r="B2119" s="251">
        <v>45394</v>
      </c>
      <c r="C2119" s="451">
        <v>74244.899999999994</v>
      </c>
      <c r="D2119" s="261">
        <f t="shared" si="32"/>
        <v>1.0684235550185939E-2</v>
      </c>
    </row>
    <row r="2120" spans="2:4" ht="14" thickBot="1" x14ac:dyDescent="0.2">
      <c r="B2120" s="251">
        <v>45397</v>
      </c>
      <c r="C2120" s="451">
        <v>73399.78</v>
      </c>
      <c r="D2120" s="261">
        <f t="shared" si="32"/>
        <v>1.1513930968185315E-2</v>
      </c>
    </row>
    <row r="2121" spans="2:4" ht="14" thickBot="1" x14ac:dyDescent="0.2">
      <c r="B2121" s="251">
        <v>45398</v>
      </c>
      <c r="C2121" s="451">
        <v>72943.679999999993</v>
      </c>
      <c r="D2121" s="261">
        <f t="shared" si="32"/>
        <v>6.2527692597906803E-3</v>
      </c>
    </row>
    <row r="2122" spans="2:4" ht="14" thickBot="1" x14ac:dyDescent="0.2">
      <c r="B2122" s="251">
        <v>45400</v>
      </c>
      <c r="C2122" s="451">
        <v>72488.990000000005</v>
      </c>
      <c r="D2122" s="261">
        <f t="shared" ref="D2122:D2185" si="33">C2121/C2122-1</f>
        <v>6.2725387676112465E-3</v>
      </c>
    </row>
    <row r="2123" spans="2:4" ht="14" thickBot="1" x14ac:dyDescent="0.2">
      <c r="B2123" s="251">
        <v>45401</v>
      </c>
      <c r="C2123" s="451">
        <v>73088.33</v>
      </c>
      <c r="D2123" s="261">
        <f t="shared" si="33"/>
        <v>-8.2002147264822467E-3</v>
      </c>
    </row>
    <row r="2124" spans="2:4" ht="14" thickBot="1" x14ac:dyDescent="0.2">
      <c r="B2124" s="251">
        <v>45404</v>
      </c>
      <c r="C2124" s="451">
        <v>73648.62</v>
      </c>
      <c r="D2124" s="261">
        <f t="shared" si="33"/>
        <v>-7.6076102987400196E-3</v>
      </c>
    </row>
    <row r="2125" spans="2:4" ht="14" thickBot="1" x14ac:dyDescent="0.2">
      <c r="B2125" s="251">
        <v>45405</v>
      </c>
      <c r="C2125" s="451">
        <v>73738.45</v>
      </c>
      <c r="D2125" s="261">
        <f t="shared" si="33"/>
        <v>-1.2182246846794698E-3</v>
      </c>
    </row>
    <row r="2126" spans="2:4" ht="14" thickBot="1" x14ac:dyDescent="0.2">
      <c r="B2126" s="251">
        <v>45406</v>
      </c>
      <c r="C2126" s="451">
        <v>73852.94</v>
      </c>
      <c r="D2126" s="261">
        <f t="shared" si="33"/>
        <v>-1.5502429557984199E-3</v>
      </c>
    </row>
    <row r="2127" spans="2:4" ht="14" thickBot="1" x14ac:dyDescent="0.2">
      <c r="B2127" s="251">
        <v>45407</v>
      </c>
      <c r="C2127" s="451">
        <v>74339.44</v>
      </c>
      <c r="D2127" s="261">
        <f t="shared" si="33"/>
        <v>-6.5443054184965987E-3</v>
      </c>
    </row>
    <row r="2128" spans="2:4" ht="14" thickBot="1" x14ac:dyDescent="0.2">
      <c r="B2128" s="251">
        <v>45408</v>
      </c>
      <c r="C2128" s="451">
        <v>73730.16</v>
      </c>
      <c r="D2128" s="261">
        <f t="shared" si="33"/>
        <v>8.2636467898618005E-3</v>
      </c>
    </row>
    <row r="2129" spans="2:4" ht="14" thickBot="1" x14ac:dyDescent="0.2">
      <c r="B2129" s="251">
        <v>45411</v>
      </c>
      <c r="C2129" s="451">
        <v>74671.28</v>
      </c>
      <c r="D2129" s="261">
        <f t="shared" si="33"/>
        <v>-1.2603506997603264E-2</v>
      </c>
    </row>
    <row r="2130" spans="2:4" ht="14" thickBot="1" x14ac:dyDescent="0.2">
      <c r="B2130" s="251">
        <v>45412</v>
      </c>
      <c r="C2130" s="451">
        <v>74482.78</v>
      </c>
      <c r="D2130" s="261">
        <f t="shared" si="33"/>
        <v>2.5307863106076578E-3</v>
      </c>
    </row>
    <row r="2131" spans="2:4" ht="14" thickBot="1" x14ac:dyDescent="0.2">
      <c r="B2131" s="251">
        <v>45414</v>
      </c>
      <c r="C2131" s="451">
        <v>74611.11</v>
      </c>
      <c r="D2131" s="261">
        <f t="shared" si="33"/>
        <v>-1.7199851335812921E-3</v>
      </c>
    </row>
    <row r="2132" spans="2:4" ht="14" thickBot="1" x14ac:dyDescent="0.2">
      <c r="B2132" s="251">
        <v>45415</v>
      </c>
      <c r="C2132" s="451">
        <v>73878.149999999994</v>
      </c>
      <c r="D2132" s="261">
        <f t="shared" si="33"/>
        <v>9.9212013294864843E-3</v>
      </c>
    </row>
    <row r="2133" spans="2:4" ht="14" thickBot="1" x14ac:dyDescent="0.2">
      <c r="B2133" s="251">
        <v>45418</v>
      </c>
      <c r="C2133" s="451">
        <v>73895.539999999994</v>
      </c>
      <c r="D2133" s="261">
        <f t="shared" si="33"/>
        <v>-2.3533220002180943E-4</v>
      </c>
    </row>
    <row r="2134" spans="2:4" ht="14" thickBot="1" x14ac:dyDescent="0.2">
      <c r="B2134" s="251">
        <v>45419</v>
      </c>
      <c r="C2134" s="451">
        <v>73511.850000000006</v>
      </c>
      <c r="D2134" s="261">
        <f t="shared" si="33"/>
        <v>5.2194306088064746E-3</v>
      </c>
    </row>
    <row r="2135" spans="2:4" ht="14" thickBot="1" x14ac:dyDescent="0.2">
      <c r="B2135" s="251">
        <v>45420</v>
      </c>
      <c r="C2135" s="451">
        <v>73466.39</v>
      </c>
      <c r="D2135" s="261">
        <f t="shared" si="33"/>
        <v>6.1878635931345016E-4</v>
      </c>
    </row>
    <row r="2136" spans="2:4" ht="14" thickBot="1" x14ac:dyDescent="0.2">
      <c r="B2136" s="251">
        <v>45421</v>
      </c>
      <c r="C2136" s="451">
        <v>72404.17</v>
      </c>
      <c r="D2136" s="261">
        <f t="shared" si="33"/>
        <v>1.4670701977524292E-2</v>
      </c>
    </row>
    <row r="2137" spans="2:4" ht="14" thickBot="1" x14ac:dyDescent="0.2">
      <c r="B2137" s="251">
        <v>45422</v>
      </c>
      <c r="C2137" s="451">
        <v>72664.47</v>
      </c>
      <c r="D2137" s="261">
        <f t="shared" si="33"/>
        <v>-3.5822183799042451E-3</v>
      </c>
    </row>
    <row r="2138" spans="2:4" ht="14" thickBot="1" x14ac:dyDescent="0.2">
      <c r="B2138" s="251">
        <v>45425</v>
      </c>
      <c r="C2138" s="451">
        <v>72776.13</v>
      </c>
      <c r="D2138" s="261">
        <f t="shared" si="33"/>
        <v>-1.5342942802811788E-3</v>
      </c>
    </row>
    <row r="2139" spans="2:4" ht="14" thickBot="1" x14ac:dyDescent="0.2">
      <c r="B2139" s="251">
        <v>45426</v>
      </c>
      <c r="C2139" s="451">
        <v>73104.61</v>
      </c>
      <c r="D2139" s="261">
        <f t="shared" si="33"/>
        <v>-4.4932870854518248E-3</v>
      </c>
    </row>
    <row r="2140" spans="2:4" ht="14" thickBot="1" x14ac:dyDescent="0.2">
      <c r="B2140" s="251">
        <v>45427</v>
      </c>
      <c r="C2140" s="451">
        <v>72987.03</v>
      </c>
      <c r="D2140" s="261">
        <f t="shared" si="33"/>
        <v>1.6109711547380723E-3</v>
      </c>
    </row>
    <row r="2141" spans="2:4" ht="14" thickBot="1" x14ac:dyDescent="0.2">
      <c r="B2141" s="251">
        <v>45428</v>
      </c>
      <c r="C2141" s="451">
        <v>73663.72</v>
      </c>
      <c r="D2141" s="261">
        <f t="shared" si="33"/>
        <v>-9.1862045522544955E-3</v>
      </c>
    </row>
    <row r="2142" spans="2:4" ht="14" thickBot="1" x14ac:dyDescent="0.2">
      <c r="B2142" s="251">
        <v>45429</v>
      </c>
      <c r="C2142" s="451">
        <v>73917.03</v>
      </c>
      <c r="D2142" s="261">
        <f t="shared" si="33"/>
        <v>-3.4269504605366485E-3</v>
      </c>
    </row>
    <row r="2143" spans="2:4" ht="14" thickBot="1" x14ac:dyDescent="0.2">
      <c r="B2143" s="251">
        <v>45430</v>
      </c>
      <c r="C2143" s="451">
        <v>74005.94</v>
      </c>
      <c r="D2143" s="261">
        <f t="shared" si="33"/>
        <v>-1.201390050582507E-3</v>
      </c>
    </row>
    <row r="2144" spans="2:4" ht="14" thickBot="1" x14ac:dyDescent="0.2">
      <c r="B2144" s="251">
        <v>45433</v>
      </c>
      <c r="C2144" s="451">
        <v>73953.31</v>
      </c>
      <c r="D2144" s="261">
        <f t="shared" si="33"/>
        <v>7.1166523851329266E-4</v>
      </c>
    </row>
    <row r="2145" spans="2:4" ht="14" thickBot="1" x14ac:dyDescent="0.2">
      <c r="B2145" s="251">
        <v>45434</v>
      </c>
      <c r="C2145" s="451">
        <v>74221.06</v>
      </c>
      <c r="D2145" s="261">
        <f t="shared" si="33"/>
        <v>-3.6074666678164169E-3</v>
      </c>
    </row>
    <row r="2146" spans="2:4" ht="14" thickBot="1" x14ac:dyDescent="0.2">
      <c r="B2146" s="251">
        <v>45435</v>
      </c>
      <c r="C2146" s="451">
        <v>75418.039999999994</v>
      </c>
      <c r="D2146" s="261">
        <f t="shared" si="33"/>
        <v>-1.5871268996118126E-2</v>
      </c>
    </row>
    <row r="2147" spans="2:4" ht="14" thickBot="1" x14ac:dyDescent="0.2">
      <c r="B2147" s="251">
        <v>45436</v>
      </c>
      <c r="C2147" s="451">
        <v>75410.39</v>
      </c>
      <c r="D2147" s="261">
        <f t="shared" si="33"/>
        <v>1.014449069949297E-4</v>
      </c>
    </row>
    <row r="2148" spans="2:4" ht="14" thickBot="1" x14ac:dyDescent="0.2">
      <c r="B2148" s="251">
        <v>45439</v>
      </c>
      <c r="C2148" s="451">
        <v>75390.5</v>
      </c>
      <c r="D2148" s="261">
        <f t="shared" si="33"/>
        <v>2.6382634416810546E-4</v>
      </c>
    </row>
    <row r="2149" spans="2:4" ht="14" thickBot="1" x14ac:dyDescent="0.2">
      <c r="B2149" s="251">
        <v>45440</v>
      </c>
      <c r="C2149" s="451">
        <v>75170.45</v>
      </c>
      <c r="D2149" s="261">
        <f t="shared" si="33"/>
        <v>2.9273471157882369E-3</v>
      </c>
    </row>
    <row r="2150" spans="2:4" ht="14" thickBot="1" x14ac:dyDescent="0.2">
      <c r="B2150" s="251">
        <v>45441</v>
      </c>
      <c r="C2150" s="451">
        <v>74502.899999999994</v>
      </c>
      <c r="D2150" s="261">
        <f t="shared" si="33"/>
        <v>8.9600539039420557E-3</v>
      </c>
    </row>
    <row r="2151" spans="2:4" ht="14" thickBot="1" x14ac:dyDescent="0.2">
      <c r="B2151" s="251">
        <v>45442</v>
      </c>
      <c r="C2151" s="451">
        <v>73885.600000000006</v>
      </c>
      <c r="D2151" s="261">
        <f t="shared" si="33"/>
        <v>8.3548079734074854E-3</v>
      </c>
    </row>
    <row r="2152" spans="2:4" ht="14" thickBot="1" x14ac:dyDescent="0.2">
      <c r="B2152" s="251">
        <v>45443</v>
      </c>
      <c r="C2152" s="451">
        <v>73961.31</v>
      </c>
      <c r="D2152" s="261">
        <f t="shared" si="33"/>
        <v>-1.0236433075616613E-3</v>
      </c>
    </row>
    <row r="2153" spans="2:4" ht="14" thickBot="1" x14ac:dyDescent="0.2">
      <c r="B2153" s="251">
        <v>45446</v>
      </c>
      <c r="C2153" s="451">
        <v>76468.78</v>
      </c>
      <c r="D2153" s="261">
        <f t="shared" si="33"/>
        <v>-3.2790767683229749E-2</v>
      </c>
    </row>
    <row r="2154" spans="2:4" ht="14" thickBot="1" x14ac:dyDescent="0.2">
      <c r="B2154" s="251">
        <v>45447</v>
      </c>
      <c r="C2154" s="451">
        <v>72079.05</v>
      </c>
      <c r="D2154" s="261">
        <f t="shared" si="33"/>
        <v>6.0901607332505048E-2</v>
      </c>
    </row>
    <row r="2155" spans="2:4" ht="14" thickBot="1" x14ac:dyDescent="0.2">
      <c r="B2155" s="251">
        <v>45448</v>
      </c>
      <c r="C2155" s="451">
        <v>74382.240000000005</v>
      </c>
      <c r="D2155" s="261">
        <f t="shared" si="33"/>
        <v>-3.0964246303956444E-2</v>
      </c>
    </row>
    <row r="2156" spans="2:4" ht="14" thickBot="1" x14ac:dyDescent="0.2">
      <c r="B2156" s="251">
        <v>45449</v>
      </c>
      <c r="C2156" s="451">
        <v>75074.509999999995</v>
      </c>
      <c r="D2156" s="261">
        <f t="shared" si="33"/>
        <v>-9.2211058054190165E-3</v>
      </c>
    </row>
    <row r="2157" spans="2:4" ht="14" thickBot="1" x14ac:dyDescent="0.2">
      <c r="B2157" s="251">
        <v>45450</v>
      </c>
      <c r="C2157" s="451">
        <v>76693.36</v>
      </c>
      <c r="D2157" s="261">
        <f t="shared" si="33"/>
        <v>-2.1108085497884121E-2</v>
      </c>
    </row>
    <row r="2158" spans="2:4" ht="14" thickBot="1" x14ac:dyDescent="0.2">
      <c r="B2158" s="251">
        <v>45453</v>
      </c>
      <c r="C2158" s="451">
        <v>76490.080000000002</v>
      </c>
      <c r="D2158" s="261">
        <f t="shared" si="33"/>
        <v>2.6575995214019876E-3</v>
      </c>
    </row>
    <row r="2159" spans="2:4" ht="14" thickBot="1" x14ac:dyDescent="0.2">
      <c r="B2159" s="251">
        <v>45454</v>
      </c>
      <c r="C2159" s="451">
        <v>76456.59</v>
      </c>
      <c r="D2159" s="261">
        <f t="shared" si="33"/>
        <v>4.3802633625178444E-4</v>
      </c>
    </row>
    <row r="2160" spans="2:4" ht="14" thickBot="1" x14ac:dyDescent="0.2">
      <c r="B2160" s="251">
        <v>45455</v>
      </c>
      <c r="C2160" s="451">
        <v>76606.570000000007</v>
      </c>
      <c r="D2160" s="261">
        <f t="shared" si="33"/>
        <v>-1.9577955258930357E-3</v>
      </c>
    </row>
    <row r="2161" spans="2:4" ht="14" thickBot="1" x14ac:dyDescent="0.2">
      <c r="B2161" s="251">
        <v>45456</v>
      </c>
      <c r="C2161" s="451">
        <v>76810.899999999994</v>
      </c>
      <c r="D2161" s="261">
        <f t="shared" si="33"/>
        <v>-2.6601693249264091E-3</v>
      </c>
    </row>
    <row r="2162" spans="2:4" ht="14" thickBot="1" x14ac:dyDescent="0.2">
      <c r="B2162" s="251">
        <v>45457</v>
      </c>
      <c r="C2162" s="451">
        <v>76992.77</v>
      </c>
      <c r="D2162" s="261">
        <f t="shared" si="33"/>
        <v>-2.3621698504938671E-3</v>
      </c>
    </row>
    <row r="2163" spans="2:4" ht="14" thickBot="1" x14ac:dyDescent="0.2">
      <c r="B2163" s="251">
        <v>45461</v>
      </c>
      <c r="C2163" s="451">
        <v>77301.14</v>
      </c>
      <c r="D2163" s="261">
        <f t="shared" si="33"/>
        <v>-3.9892037814707182E-3</v>
      </c>
    </row>
    <row r="2164" spans="2:4" ht="14" thickBot="1" x14ac:dyDescent="0.2">
      <c r="B2164" s="251">
        <v>45462</v>
      </c>
      <c r="C2164" s="451">
        <v>77337.59</v>
      </c>
      <c r="D2164" s="261">
        <f t="shared" si="33"/>
        <v>-4.7131026451685543E-4</v>
      </c>
    </row>
    <row r="2165" spans="2:4" ht="14" thickBot="1" x14ac:dyDescent="0.2">
      <c r="B2165" s="251">
        <v>45463</v>
      </c>
      <c r="C2165" s="451">
        <v>77478.929999999993</v>
      </c>
      <c r="D2165" s="261">
        <f t="shared" si="33"/>
        <v>-1.8242378928051695E-3</v>
      </c>
    </row>
    <row r="2166" spans="2:4" ht="14" thickBot="1" x14ac:dyDescent="0.2">
      <c r="B2166" s="251">
        <v>45464</v>
      </c>
      <c r="C2166" s="451">
        <v>77209.899999999994</v>
      </c>
      <c r="D2166" s="261">
        <f t="shared" si="33"/>
        <v>3.4843977261982406E-3</v>
      </c>
    </row>
    <row r="2167" spans="2:4" ht="14" thickBot="1" x14ac:dyDescent="0.2">
      <c r="B2167" s="251">
        <v>45467</v>
      </c>
      <c r="C2167" s="451">
        <v>77341.08</v>
      </c>
      <c r="D2167" s="261">
        <f t="shared" si="33"/>
        <v>-1.6961231986934999E-3</v>
      </c>
    </row>
    <row r="2168" spans="2:4" ht="14" thickBot="1" x14ac:dyDescent="0.2">
      <c r="B2168" s="251">
        <v>45468</v>
      </c>
      <c r="C2168" s="451">
        <v>78053.52</v>
      </c>
      <c r="D2168" s="261">
        <f t="shared" si="33"/>
        <v>-9.1275832275085067E-3</v>
      </c>
    </row>
    <row r="2169" spans="2:4" ht="14" thickBot="1" x14ac:dyDescent="0.2">
      <c r="B2169" s="251">
        <v>45469</v>
      </c>
      <c r="C2169" s="451">
        <v>78674.25</v>
      </c>
      <c r="D2169" s="261">
        <f t="shared" si="33"/>
        <v>-7.8898750226408243E-3</v>
      </c>
    </row>
    <row r="2170" spans="2:4" ht="14" thickBot="1" x14ac:dyDescent="0.2">
      <c r="B2170" s="251">
        <v>45470</v>
      </c>
      <c r="C2170" s="451">
        <v>79243.179999999993</v>
      </c>
      <c r="D2170" s="261">
        <f t="shared" si="33"/>
        <v>-7.1795452933614001E-3</v>
      </c>
    </row>
    <row r="2171" spans="2:4" ht="14" thickBot="1" x14ac:dyDescent="0.2">
      <c r="B2171" s="251">
        <v>45471</v>
      </c>
      <c r="C2171" s="451">
        <v>79032.73</v>
      </c>
      <c r="D2171" s="261">
        <f t="shared" si="33"/>
        <v>2.6628208338494996E-3</v>
      </c>
    </row>
    <row r="2172" spans="2:4" ht="14" thickBot="1" x14ac:dyDescent="0.2">
      <c r="B2172" s="251">
        <v>45474</v>
      </c>
      <c r="C2172" s="451">
        <v>79476.19</v>
      </c>
      <c r="D2172" s="261">
        <f t="shared" si="33"/>
        <v>-5.579784335409177E-3</v>
      </c>
    </row>
    <row r="2173" spans="2:4" ht="14" thickBot="1" x14ac:dyDescent="0.2">
      <c r="B2173" s="251">
        <v>45475</v>
      </c>
      <c r="C2173" s="451">
        <v>79441.45</v>
      </c>
      <c r="D2173" s="261">
        <f t="shared" si="33"/>
        <v>4.3730319625345793E-4</v>
      </c>
    </row>
    <row r="2174" spans="2:4" ht="14" thickBot="1" x14ac:dyDescent="0.2">
      <c r="B2174" s="251">
        <v>45476</v>
      </c>
      <c r="C2174" s="451">
        <v>79986.8</v>
      </c>
      <c r="D2174" s="261">
        <f t="shared" si="33"/>
        <v>-6.8179999699951033E-3</v>
      </c>
    </row>
    <row r="2175" spans="2:4" ht="14" thickBot="1" x14ac:dyDescent="0.2">
      <c r="B2175" s="251">
        <v>45477</v>
      </c>
      <c r="C2175" s="451">
        <v>80049.67</v>
      </c>
      <c r="D2175" s="261">
        <f t="shared" si="33"/>
        <v>-7.8538737261502067E-4</v>
      </c>
    </row>
    <row r="2176" spans="2:4" ht="14" thickBot="1" x14ac:dyDescent="0.2">
      <c r="B2176" s="251">
        <v>45478</v>
      </c>
      <c r="C2176" s="451">
        <v>79996.600000000006</v>
      </c>
      <c r="D2176" s="261">
        <f t="shared" si="33"/>
        <v>6.6340319463575881E-4</v>
      </c>
    </row>
    <row r="2177" spans="2:4" ht="14" thickBot="1" x14ac:dyDescent="0.2">
      <c r="B2177" s="251">
        <v>45481</v>
      </c>
      <c r="C2177" s="451">
        <v>79960.38</v>
      </c>
      <c r="D2177" s="261">
        <f t="shared" si="33"/>
        <v>4.5297433553970201E-4</v>
      </c>
    </row>
    <row r="2178" spans="2:4" ht="14" thickBot="1" x14ac:dyDescent="0.2">
      <c r="B2178" s="251">
        <v>45482</v>
      </c>
      <c r="C2178" s="451">
        <v>80351.64</v>
      </c>
      <c r="D2178" s="261">
        <f t="shared" si="33"/>
        <v>-4.8693467862012119E-3</v>
      </c>
    </row>
    <row r="2179" spans="2:4" ht="14" thickBot="1" x14ac:dyDescent="0.2">
      <c r="B2179" s="251">
        <v>45483</v>
      </c>
      <c r="C2179" s="451">
        <v>79924.77</v>
      </c>
      <c r="D2179" s="261">
        <f t="shared" si="33"/>
        <v>5.3408974464361769E-3</v>
      </c>
    </row>
    <row r="2180" spans="2:4" ht="14" thickBot="1" x14ac:dyDescent="0.2">
      <c r="B2180" s="251">
        <v>45484</v>
      </c>
      <c r="C2180" s="451">
        <v>79897.34</v>
      </c>
      <c r="D2180" s="261">
        <f t="shared" si="33"/>
        <v>3.4331555969213667E-4</v>
      </c>
    </row>
    <row r="2181" spans="2:4" ht="14" thickBot="1" x14ac:dyDescent="0.2">
      <c r="B2181" s="251">
        <v>45485</v>
      </c>
      <c r="C2181" s="451">
        <v>80519.34</v>
      </c>
      <c r="D2181" s="261">
        <f t="shared" si="33"/>
        <v>-7.7248521907904433E-3</v>
      </c>
    </row>
    <row r="2182" spans="2:4" ht="14" thickBot="1" x14ac:dyDescent="0.2">
      <c r="B2182" s="251">
        <v>45488</v>
      </c>
      <c r="C2182" s="451">
        <v>80664.86</v>
      </c>
      <c r="D2182" s="261">
        <f t="shared" si="33"/>
        <v>-1.8040073459496542E-3</v>
      </c>
    </row>
    <row r="2183" spans="2:4" ht="14" thickBot="1" x14ac:dyDescent="0.2">
      <c r="B2183" s="251">
        <v>45489</v>
      </c>
      <c r="C2183" s="451">
        <v>80716.55</v>
      </c>
      <c r="D2183" s="261">
        <f t="shared" si="33"/>
        <v>-6.4038911474784133E-4</v>
      </c>
    </row>
    <row r="2184" spans="2:4" ht="14" thickBot="1" x14ac:dyDescent="0.2">
      <c r="B2184" s="251">
        <v>45491</v>
      </c>
      <c r="C2184" s="451">
        <v>81343.460000000006</v>
      </c>
      <c r="D2184" s="261">
        <f t="shared" si="33"/>
        <v>-7.7069502575868309E-3</v>
      </c>
    </row>
    <row r="2185" spans="2:4" ht="14" thickBot="1" x14ac:dyDescent="0.2">
      <c r="B2185" s="251">
        <v>45492</v>
      </c>
      <c r="C2185" s="451">
        <v>80604.649999999994</v>
      </c>
      <c r="D2185" s="261">
        <f t="shared" si="33"/>
        <v>9.1658483722714124E-3</v>
      </c>
    </row>
    <row r="2186" spans="2:4" ht="14" thickBot="1" x14ac:dyDescent="0.2">
      <c r="B2186" s="251">
        <v>45495</v>
      </c>
      <c r="C2186" s="451">
        <v>80502.080000000002</v>
      </c>
      <c r="D2186" s="261">
        <f t="shared" ref="D2186:D2249" si="34">C2185/C2186-1</f>
        <v>1.2741285691002524E-3</v>
      </c>
    </row>
    <row r="2187" spans="2:4" ht="14" thickBot="1" x14ac:dyDescent="0.2">
      <c r="B2187" s="251">
        <v>45496</v>
      </c>
      <c r="C2187" s="451">
        <v>80429.039999999994</v>
      </c>
      <c r="D2187" s="261">
        <f t="shared" si="34"/>
        <v>9.0812970041675989E-4</v>
      </c>
    </row>
    <row r="2188" spans="2:4" ht="14" thickBot="1" x14ac:dyDescent="0.2">
      <c r="B2188" s="251">
        <v>45497</v>
      </c>
      <c r="C2188" s="451">
        <v>80148.88</v>
      </c>
      <c r="D2188" s="261">
        <f t="shared" si="34"/>
        <v>3.4954948840206779E-3</v>
      </c>
    </row>
    <row r="2189" spans="2:4" ht="14" thickBot="1" x14ac:dyDescent="0.2">
      <c r="B2189" s="251">
        <v>45498</v>
      </c>
      <c r="C2189" s="451">
        <v>80039.8</v>
      </c>
      <c r="D2189" s="261">
        <f t="shared" si="34"/>
        <v>1.3628219960570842E-3</v>
      </c>
    </row>
    <row r="2190" spans="2:4" ht="14" thickBot="1" x14ac:dyDescent="0.2">
      <c r="B2190" s="251">
        <v>45499</v>
      </c>
      <c r="C2190" s="451">
        <v>81332.72</v>
      </c>
      <c r="D2190" s="261">
        <f t="shared" si="34"/>
        <v>-1.5896677253631752E-2</v>
      </c>
    </row>
    <row r="2191" spans="2:4" ht="14" thickBot="1" x14ac:dyDescent="0.2">
      <c r="B2191" s="251">
        <v>45502</v>
      </c>
      <c r="C2191" s="451">
        <v>81355.839999999997</v>
      </c>
      <c r="D2191" s="261">
        <f t="shared" si="34"/>
        <v>-2.8418365540805457E-4</v>
      </c>
    </row>
    <row r="2192" spans="2:4" ht="14" thickBot="1" x14ac:dyDescent="0.2">
      <c r="B2192" s="251">
        <v>45503</v>
      </c>
      <c r="C2192" s="451">
        <v>81455.399999999994</v>
      </c>
      <c r="D2192" s="261">
        <f t="shared" si="34"/>
        <v>-1.2222639628557408E-3</v>
      </c>
    </row>
    <row r="2193" spans="2:4" ht="14" thickBot="1" x14ac:dyDescent="0.2">
      <c r="B2193" s="251">
        <v>45504</v>
      </c>
      <c r="C2193" s="451">
        <v>81741.34</v>
      </c>
      <c r="D2193" s="261">
        <f t="shared" si="34"/>
        <v>-3.4981075671135509E-3</v>
      </c>
    </row>
    <row r="2194" spans="2:4" ht="14" thickBot="1" x14ac:dyDescent="0.2">
      <c r="B2194" s="251">
        <v>45505</v>
      </c>
      <c r="C2194" s="451">
        <v>81867.55</v>
      </c>
      <c r="D2194" s="261">
        <f t="shared" si="34"/>
        <v>-1.5416364603558774E-3</v>
      </c>
    </row>
    <row r="2195" spans="2:4" ht="14" thickBot="1" x14ac:dyDescent="0.2">
      <c r="B2195" s="251">
        <v>45506</v>
      </c>
      <c r="C2195" s="451">
        <v>80981.95</v>
      </c>
      <c r="D2195" s="261">
        <f t="shared" si="34"/>
        <v>1.0935770254976607E-2</v>
      </c>
    </row>
    <row r="2196" spans="2:4" ht="14" thickBot="1" x14ac:dyDescent="0.2">
      <c r="B2196" s="251">
        <v>45509</v>
      </c>
      <c r="C2196" s="451">
        <v>78759.399999999994</v>
      </c>
      <c r="D2196" s="261">
        <f t="shared" si="34"/>
        <v>2.8219488721346275E-2</v>
      </c>
    </row>
    <row r="2197" spans="2:4" ht="14" thickBot="1" x14ac:dyDescent="0.2">
      <c r="B2197" s="251">
        <v>45510</v>
      </c>
      <c r="C2197" s="451">
        <v>78593.070000000007</v>
      </c>
      <c r="D2197" s="261">
        <f t="shared" si="34"/>
        <v>2.1163443545337834E-3</v>
      </c>
    </row>
    <row r="2198" spans="2:4" ht="14" thickBot="1" x14ac:dyDescent="0.2">
      <c r="B2198" s="251">
        <v>45511</v>
      </c>
      <c r="C2198" s="451">
        <v>79468.009999999995</v>
      </c>
      <c r="D2198" s="261">
        <f t="shared" si="34"/>
        <v>-1.1009964890274615E-2</v>
      </c>
    </row>
    <row r="2199" spans="2:4" ht="14" thickBot="1" x14ac:dyDescent="0.2">
      <c r="B2199" s="251">
        <v>45512</v>
      </c>
      <c r="C2199" s="451">
        <v>78886.22</v>
      </c>
      <c r="D2199" s="261">
        <f t="shared" si="34"/>
        <v>7.375052322192488E-3</v>
      </c>
    </row>
    <row r="2200" spans="2:4" ht="14" thickBot="1" x14ac:dyDescent="0.2">
      <c r="B2200" s="251">
        <v>45513</v>
      </c>
      <c r="C2200" s="451">
        <v>79705.91</v>
      </c>
      <c r="D2200" s="261">
        <f t="shared" si="34"/>
        <v>-1.0283930012216169E-2</v>
      </c>
    </row>
    <row r="2201" spans="2:4" ht="14" thickBot="1" x14ac:dyDescent="0.2">
      <c r="B2201" s="251">
        <v>45516</v>
      </c>
      <c r="C2201" s="451">
        <v>79648.92</v>
      </c>
      <c r="D2201" s="261">
        <f t="shared" si="34"/>
        <v>7.1551503774314185E-4</v>
      </c>
    </row>
    <row r="2202" spans="2:4" ht="14" thickBot="1" x14ac:dyDescent="0.2">
      <c r="B2202" s="251">
        <v>45517</v>
      </c>
      <c r="C2202" s="451">
        <v>78956.03</v>
      </c>
      <c r="D2202" s="261">
        <f t="shared" si="34"/>
        <v>8.7756438615265164E-3</v>
      </c>
    </row>
    <row r="2203" spans="2:4" ht="14" thickBot="1" x14ac:dyDescent="0.2">
      <c r="B2203" s="251">
        <v>45518</v>
      </c>
      <c r="C2203" s="451">
        <v>79105.88</v>
      </c>
      <c r="D2203" s="261">
        <f t="shared" si="34"/>
        <v>-1.8942966060172539E-3</v>
      </c>
    </row>
    <row r="2204" spans="2:4" ht="14" thickBot="1" x14ac:dyDescent="0.2">
      <c r="B2204" s="251">
        <v>45520</v>
      </c>
      <c r="C2204" s="451">
        <v>80436.84</v>
      </c>
      <c r="D2204" s="261">
        <f t="shared" si="34"/>
        <v>-1.6546647033871431E-2</v>
      </c>
    </row>
    <row r="2205" spans="2:4" ht="14" thickBot="1" x14ac:dyDescent="0.2">
      <c r="B2205" s="251">
        <v>45523</v>
      </c>
      <c r="C2205" s="451">
        <v>80424.679999999993</v>
      </c>
      <c r="D2205" s="261">
        <f t="shared" si="34"/>
        <v>1.5119736876800793E-4</v>
      </c>
    </row>
    <row r="2206" spans="2:4" ht="14" thickBot="1" x14ac:dyDescent="0.2">
      <c r="B2206" s="251">
        <v>45524</v>
      </c>
      <c r="C2206" s="451">
        <v>80802.86</v>
      </c>
      <c r="D2206" s="261">
        <f t="shared" si="34"/>
        <v>-4.6802798811824697E-3</v>
      </c>
    </row>
    <row r="2207" spans="2:4" ht="14" thickBot="1" x14ac:dyDescent="0.2">
      <c r="B2207" s="251">
        <v>45525</v>
      </c>
      <c r="C2207" s="451">
        <v>80905.3</v>
      </c>
      <c r="D2207" s="261">
        <f t="shared" si="34"/>
        <v>-1.2661716846733562E-3</v>
      </c>
    </row>
    <row r="2208" spans="2:4" ht="14" thickBot="1" x14ac:dyDescent="0.2">
      <c r="B2208" s="251">
        <v>45526</v>
      </c>
      <c r="C2208" s="451">
        <v>81053.19</v>
      </c>
      <c r="D2208" s="261">
        <f t="shared" si="34"/>
        <v>-1.8246043123040234E-3</v>
      </c>
    </row>
    <row r="2209" spans="2:4" ht="14" thickBot="1" x14ac:dyDescent="0.2">
      <c r="B2209" s="251">
        <v>45527</v>
      </c>
      <c r="C2209" s="451">
        <v>81086.210000000006</v>
      </c>
      <c r="D2209" s="261">
        <f t="shared" si="34"/>
        <v>-4.0722090722955517E-4</v>
      </c>
    </row>
    <row r="2210" spans="2:4" ht="14" thickBot="1" x14ac:dyDescent="0.2">
      <c r="B2210" s="251">
        <v>45530</v>
      </c>
      <c r="C2210" s="451">
        <v>81698.11</v>
      </c>
      <c r="D2210" s="261">
        <f t="shared" si="34"/>
        <v>-7.4897693471732696E-3</v>
      </c>
    </row>
    <row r="2211" spans="2:4" ht="14" thickBot="1" x14ac:dyDescent="0.2">
      <c r="B2211" s="251">
        <v>45531</v>
      </c>
      <c r="C2211" s="451">
        <v>81711.759999999995</v>
      </c>
      <c r="D2211" s="261">
        <f t="shared" si="34"/>
        <v>-1.670506179280995E-4</v>
      </c>
    </row>
    <row r="2212" spans="2:4" ht="14" thickBot="1" x14ac:dyDescent="0.2">
      <c r="B2212" s="251">
        <v>45532</v>
      </c>
      <c r="C2212" s="451">
        <v>81785.56</v>
      </c>
      <c r="D2212" s="261">
        <f t="shared" si="34"/>
        <v>-9.0235978087094271E-4</v>
      </c>
    </row>
    <row r="2213" spans="2:4" ht="14" thickBot="1" x14ac:dyDescent="0.2">
      <c r="B2213" s="251">
        <v>45533</v>
      </c>
      <c r="C2213" s="451">
        <v>82134.61</v>
      </c>
      <c r="D2213" s="261">
        <f t="shared" si="34"/>
        <v>-4.2497310208206018E-3</v>
      </c>
    </row>
    <row r="2214" spans="2:4" ht="14" thickBot="1" x14ac:dyDescent="0.2">
      <c r="B2214" s="251">
        <v>45534</v>
      </c>
      <c r="C2214" s="451">
        <v>82365.77</v>
      </c>
      <c r="D2214" s="261">
        <f t="shared" si="34"/>
        <v>-2.8065056636998875E-3</v>
      </c>
    </row>
    <row r="2215" spans="2:4" ht="14" thickBot="1" x14ac:dyDescent="0.2">
      <c r="B2215" s="251">
        <v>45537</v>
      </c>
      <c r="C2215" s="451">
        <v>82559.839999999997</v>
      </c>
      <c r="D2215" s="261">
        <f t="shared" si="34"/>
        <v>-2.3506586253073669E-3</v>
      </c>
    </row>
    <row r="2216" spans="2:4" ht="14" thickBot="1" x14ac:dyDescent="0.2">
      <c r="B2216" s="251">
        <v>45538</v>
      </c>
      <c r="C2216" s="451">
        <v>82555.44</v>
      </c>
      <c r="D2216" s="261">
        <f t="shared" si="34"/>
        <v>5.3297517401462713E-5</v>
      </c>
    </row>
    <row r="2217" spans="2:4" ht="14" thickBot="1" x14ac:dyDescent="0.2">
      <c r="B2217" s="251">
        <v>45539</v>
      </c>
      <c r="C2217" s="451">
        <v>82352.639999999999</v>
      </c>
      <c r="D2217" s="261">
        <f t="shared" si="34"/>
        <v>2.4625804345799196E-3</v>
      </c>
    </row>
    <row r="2218" spans="2:4" ht="14" thickBot="1" x14ac:dyDescent="0.2">
      <c r="B2218" s="251">
        <v>45540</v>
      </c>
      <c r="C2218" s="451">
        <v>82201.16</v>
      </c>
      <c r="D2218" s="261">
        <f t="shared" si="34"/>
        <v>1.8427963790290658E-3</v>
      </c>
    </row>
    <row r="2219" spans="2:4" ht="14" thickBot="1" x14ac:dyDescent="0.2">
      <c r="B2219" s="251">
        <v>45541</v>
      </c>
      <c r="C2219" s="451">
        <v>81183.929999999993</v>
      </c>
      <c r="D2219" s="261">
        <f t="shared" si="34"/>
        <v>1.2529942810110439E-2</v>
      </c>
    </row>
    <row r="2220" spans="2:4" ht="14" thickBot="1" x14ac:dyDescent="0.2">
      <c r="B2220" s="251">
        <v>45544</v>
      </c>
      <c r="C2220" s="451">
        <v>81559.539999999994</v>
      </c>
      <c r="D2220" s="261">
        <f t="shared" si="34"/>
        <v>-4.6053472101486026E-3</v>
      </c>
    </row>
    <row r="2221" spans="2:4" ht="14" thickBot="1" x14ac:dyDescent="0.2">
      <c r="B2221" s="251">
        <v>45545</v>
      </c>
      <c r="C2221" s="451">
        <v>81921.289999999994</v>
      </c>
      <c r="D2221" s="261">
        <f t="shared" si="34"/>
        <v>-4.4158240183962416E-3</v>
      </c>
    </row>
    <row r="2222" spans="2:4" ht="14" thickBot="1" x14ac:dyDescent="0.2">
      <c r="B2222" s="251">
        <v>45546</v>
      </c>
      <c r="C2222" s="451">
        <v>81523.16</v>
      </c>
      <c r="D2222" s="261">
        <f t="shared" si="34"/>
        <v>4.8836428813601174E-3</v>
      </c>
    </row>
    <row r="2223" spans="2:4" ht="14" thickBot="1" x14ac:dyDescent="0.2">
      <c r="B2223" s="251">
        <v>45547</v>
      </c>
      <c r="C2223" s="451">
        <v>82962.710000000006</v>
      </c>
      <c r="D2223" s="261">
        <f t="shared" si="34"/>
        <v>-1.7351771657410975E-2</v>
      </c>
    </row>
    <row r="2224" spans="2:4" ht="14" thickBot="1" x14ac:dyDescent="0.2">
      <c r="B2224" s="251">
        <v>45548</v>
      </c>
      <c r="C2224" s="451">
        <v>82890.94</v>
      </c>
      <c r="D2224" s="261">
        <f t="shared" si="34"/>
        <v>8.6583648345639475E-4</v>
      </c>
    </row>
    <row r="2225" spans="2:4" ht="14" thickBot="1" x14ac:dyDescent="0.2">
      <c r="B2225" s="251">
        <v>45551</v>
      </c>
      <c r="C2225" s="451">
        <v>82988.78</v>
      </c>
      <c r="D2225" s="261">
        <f t="shared" si="34"/>
        <v>-1.17895455265149E-3</v>
      </c>
    </row>
    <row r="2226" spans="2:4" ht="14" thickBot="1" x14ac:dyDescent="0.2">
      <c r="B2226" s="251">
        <v>45552</v>
      </c>
      <c r="C2226" s="451">
        <v>83079.66</v>
      </c>
      <c r="D2226" s="261">
        <f t="shared" si="34"/>
        <v>-1.0938898883313675E-3</v>
      </c>
    </row>
    <row r="2227" spans="2:4" ht="14" thickBot="1" x14ac:dyDescent="0.2">
      <c r="B2227" s="251">
        <v>45553</v>
      </c>
      <c r="C2227" s="451">
        <v>82948.23</v>
      </c>
      <c r="D2227" s="261">
        <f t="shared" si="34"/>
        <v>1.5844822728587893E-3</v>
      </c>
    </row>
    <row r="2228" spans="2:4" ht="14" thickBot="1" x14ac:dyDescent="0.2">
      <c r="B2228" s="251">
        <v>45554</v>
      </c>
      <c r="C2228" s="451">
        <v>83184.800000000003</v>
      </c>
      <c r="D2228" s="261">
        <f t="shared" si="34"/>
        <v>-2.8439089833720566E-3</v>
      </c>
    </row>
    <row r="2229" spans="2:4" ht="14" thickBot="1" x14ac:dyDescent="0.2">
      <c r="B2229" s="251">
        <v>45555</v>
      </c>
      <c r="C2229" s="451">
        <v>84544.31</v>
      </c>
      <c r="D2229" s="261">
        <f t="shared" si="34"/>
        <v>-1.6080443497616725E-2</v>
      </c>
    </row>
    <row r="2230" spans="2:4" ht="14" thickBot="1" x14ac:dyDescent="0.2">
      <c r="B2230" s="251">
        <v>45558</v>
      </c>
      <c r="C2230" s="451">
        <v>84928.61</v>
      </c>
      <c r="D2230" s="261">
        <f t="shared" si="34"/>
        <v>-4.5249769188498989E-3</v>
      </c>
    </row>
    <row r="2231" spans="2:4" ht="14" thickBot="1" x14ac:dyDescent="0.2">
      <c r="B2231" s="251">
        <v>45559</v>
      </c>
      <c r="C2231" s="451">
        <v>84914.04</v>
      </c>
      <c r="D2231" s="261">
        <f t="shared" si="34"/>
        <v>1.7158528789829042E-4</v>
      </c>
    </row>
    <row r="2232" spans="2:4" ht="14" thickBot="1" x14ac:dyDescent="0.2">
      <c r="B2232" s="251">
        <v>45560</v>
      </c>
      <c r="C2232" s="451">
        <v>85169.87</v>
      </c>
      <c r="D2232" s="261">
        <f t="shared" si="34"/>
        <v>-3.0037617763183366E-3</v>
      </c>
    </row>
    <row r="2233" spans="2:4" ht="14" thickBot="1" x14ac:dyDescent="0.2">
      <c r="B2233" s="251">
        <v>45561</v>
      </c>
      <c r="C2233" s="451">
        <v>85836.12</v>
      </c>
      <c r="D2233" s="261">
        <f t="shared" si="34"/>
        <v>-7.7618839248558835E-3</v>
      </c>
    </row>
    <row r="2234" spans="2:4" ht="14" thickBot="1" x14ac:dyDescent="0.2">
      <c r="B2234" s="251">
        <v>45562</v>
      </c>
      <c r="C2234" s="451">
        <v>85571.85</v>
      </c>
      <c r="D2234" s="261">
        <f t="shared" si="34"/>
        <v>3.0882819525344107E-3</v>
      </c>
    </row>
    <row r="2235" spans="2:4" ht="14" thickBot="1" x14ac:dyDescent="0.2">
      <c r="B2235" s="251">
        <v>45565</v>
      </c>
      <c r="C2235" s="451">
        <v>84299.78</v>
      </c>
      <c r="D2235" s="261">
        <f t="shared" si="34"/>
        <v>1.5089837719624022E-2</v>
      </c>
    </row>
    <row r="2236" spans="2:4" ht="14" thickBot="1" x14ac:dyDescent="0.2">
      <c r="B2236" s="251">
        <v>45566</v>
      </c>
      <c r="C2236" s="451">
        <v>84266.29</v>
      </c>
      <c r="D2236" s="261">
        <f t="shared" si="34"/>
        <v>3.9743057395802417E-4</v>
      </c>
    </row>
    <row r="2237" spans="2:4" ht="14" thickBot="1" x14ac:dyDescent="0.2">
      <c r="B2237" s="251">
        <v>45568</v>
      </c>
      <c r="C2237" s="451">
        <v>82497.100000000006</v>
      </c>
      <c r="D2237" s="261">
        <f t="shared" si="34"/>
        <v>2.1445481113881337E-2</v>
      </c>
    </row>
    <row r="2238" spans="2:4" ht="14" thickBot="1" x14ac:dyDescent="0.2">
      <c r="B2238" s="251">
        <v>45569</v>
      </c>
      <c r="C2238" s="451">
        <v>81688.45</v>
      </c>
      <c r="D2238" s="261">
        <f t="shared" si="34"/>
        <v>9.8991962756058705E-3</v>
      </c>
    </row>
    <row r="2239" spans="2:4" ht="14" thickBot="1" x14ac:dyDescent="0.2">
      <c r="B2239" s="251">
        <v>45572</v>
      </c>
      <c r="C2239" s="451">
        <v>81050</v>
      </c>
      <c r="D2239" s="261">
        <f t="shared" si="34"/>
        <v>7.8772362739050195E-3</v>
      </c>
    </row>
    <row r="2240" spans="2:4" ht="14" thickBot="1" x14ac:dyDescent="0.2">
      <c r="B2240" s="251">
        <v>45573</v>
      </c>
      <c r="C2240" s="451">
        <v>81634.81</v>
      </c>
      <c r="D2240" s="261">
        <f t="shared" si="34"/>
        <v>-7.1637332162590717E-3</v>
      </c>
    </row>
    <row r="2241" spans="2:4" ht="14" thickBot="1" x14ac:dyDescent="0.2">
      <c r="B2241" s="251">
        <v>45574</v>
      </c>
      <c r="C2241" s="451">
        <v>81467.100000000006</v>
      </c>
      <c r="D2241" s="261">
        <f t="shared" si="34"/>
        <v>2.0586224377692197E-3</v>
      </c>
    </row>
    <row r="2242" spans="2:4" ht="14" thickBot="1" x14ac:dyDescent="0.2">
      <c r="B2242" s="251">
        <v>45575</v>
      </c>
      <c r="C2242" s="451">
        <v>81611.41</v>
      </c>
      <c r="D2242" s="261">
        <f t="shared" si="34"/>
        <v>-1.7682576492673574E-3</v>
      </c>
    </row>
    <row r="2243" spans="2:4" ht="14" thickBot="1" x14ac:dyDescent="0.2">
      <c r="B2243" s="251">
        <v>45576</v>
      </c>
      <c r="C2243" s="451">
        <v>81381.36</v>
      </c>
      <c r="D2243" s="261">
        <f t="shared" si="34"/>
        <v>2.8268143958272152E-3</v>
      </c>
    </row>
    <row r="2244" spans="2:4" ht="14" thickBot="1" x14ac:dyDescent="0.2">
      <c r="B2244" s="251">
        <v>45579</v>
      </c>
      <c r="C2244" s="451">
        <v>81973.05</v>
      </c>
      <c r="D2244" s="261">
        <f t="shared" si="34"/>
        <v>-7.2181039988142848E-3</v>
      </c>
    </row>
    <row r="2245" spans="2:4" ht="14" thickBot="1" x14ac:dyDescent="0.2">
      <c r="B2245" s="251">
        <v>45580</v>
      </c>
      <c r="C2245" s="451">
        <v>81820.12</v>
      </c>
      <c r="D2245" s="261">
        <f t="shared" si="34"/>
        <v>1.8691001675383845E-3</v>
      </c>
    </row>
    <row r="2246" spans="2:4" ht="14" thickBot="1" x14ac:dyDescent="0.2">
      <c r="B2246" s="251">
        <v>45581</v>
      </c>
      <c r="C2246" s="451">
        <v>81501.36</v>
      </c>
      <c r="D2246" s="261">
        <f t="shared" si="34"/>
        <v>3.9111003791838517E-3</v>
      </c>
    </row>
    <row r="2247" spans="2:4" ht="14" thickBot="1" x14ac:dyDescent="0.2">
      <c r="B2247" s="251">
        <v>45582</v>
      </c>
      <c r="C2247" s="451">
        <v>81006.61</v>
      </c>
      <c r="D2247" s="261">
        <f t="shared" si="34"/>
        <v>6.1075262870524671E-3</v>
      </c>
    </row>
    <row r="2248" spans="2:4" ht="14" thickBot="1" x14ac:dyDescent="0.2">
      <c r="B2248" s="251">
        <v>45583</v>
      </c>
      <c r="C2248" s="451">
        <v>81224.75</v>
      </c>
      <c r="D2248" s="261">
        <f t="shared" si="34"/>
        <v>-2.6856346126026276E-3</v>
      </c>
    </row>
    <row r="2249" spans="2:4" ht="14" thickBot="1" x14ac:dyDescent="0.2">
      <c r="B2249" s="251">
        <v>45586</v>
      </c>
      <c r="C2249" s="451">
        <v>81151.27</v>
      </c>
      <c r="D2249" s="261">
        <f t="shared" si="34"/>
        <v>9.0546950158620909E-4</v>
      </c>
    </row>
    <row r="2250" spans="2:4" ht="14" thickBot="1" x14ac:dyDescent="0.2">
      <c r="B2250" s="251">
        <v>45587</v>
      </c>
      <c r="C2250" s="451">
        <v>80220.72</v>
      </c>
      <c r="D2250" s="261">
        <f t="shared" ref="D2250:D2313" si="35">C2249/C2250-1</f>
        <v>1.1599870956032321E-2</v>
      </c>
    </row>
    <row r="2251" spans="2:4" ht="14" thickBot="1" x14ac:dyDescent="0.2">
      <c r="B2251" s="251">
        <v>45588</v>
      </c>
      <c r="C2251" s="451">
        <v>80081.98</v>
      </c>
      <c r="D2251" s="261">
        <f t="shared" si="35"/>
        <v>1.7324746466058638E-3</v>
      </c>
    </row>
    <row r="2252" spans="2:4" ht="14" thickBot="1" x14ac:dyDescent="0.2">
      <c r="B2252" s="251">
        <v>45589</v>
      </c>
      <c r="C2252" s="451">
        <v>80065.16</v>
      </c>
      <c r="D2252" s="261">
        <f t="shared" si="35"/>
        <v>2.1007889074331487E-4</v>
      </c>
    </row>
    <row r="2253" spans="2:4" ht="14" thickBot="1" x14ac:dyDescent="0.2">
      <c r="B2253" s="251">
        <v>45590</v>
      </c>
      <c r="C2253" s="451">
        <v>79402.289999999994</v>
      </c>
      <c r="D2253" s="261">
        <f t="shared" si="35"/>
        <v>8.3482478905836377E-3</v>
      </c>
    </row>
    <row r="2254" spans="2:4" ht="14" thickBot="1" x14ac:dyDescent="0.2">
      <c r="B2254" s="251">
        <v>45593</v>
      </c>
      <c r="C2254" s="451">
        <v>80005.039999999994</v>
      </c>
      <c r="D2254" s="261">
        <f t="shared" si="35"/>
        <v>-7.5339003642770352E-3</v>
      </c>
    </row>
    <row r="2255" spans="2:4" ht="14" thickBot="1" x14ac:dyDescent="0.2">
      <c r="B2255" s="251">
        <v>45594</v>
      </c>
      <c r="C2255" s="451">
        <v>80369.03</v>
      </c>
      <c r="D2255" s="261">
        <f t="shared" si="35"/>
        <v>-4.5289833658562761E-3</v>
      </c>
    </row>
    <row r="2256" spans="2:4" ht="14" thickBot="1" x14ac:dyDescent="0.2">
      <c r="B2256" s="251">
        <v>45595</v>
      </c>
      <c r="C2256" s="451">
        <v>79942.179999999993</v>
      </c>
      <c r="D2256" s="261">
        <f t="shared" si="35"/>
        <v>5.3394841121421344E-3</v>
      </c>
    </row>
    <row r="2257" spans="2:4" ht="14" thickBot="1" x14ac:dyDescent="0.2">
      <c r="B2257" s="251">
        <v>45596</v>
      </c>
      <c r="C2257" s="451">
        <v>79389.06</v>
      </c>
      <c r="D2257" s="261">
        <f t="shared" si="35"/>
        <v>6.9672068166570789E-3</v>
      </c>
    </row>
    <row r="2258" spans="2:4" ht="14" thickBot="1" x14ac:dyDescent="0.2">
      <c r="B2258" s="251">
        <v>45597</v>
      </c>
      <c r="C2258" s="451">
        <v>79724.12</v>
      </c>
      <c r="D2258" s="261">
        <f t="shared" si="35"/>
        <v>-4.2027431597865261E-3</v>
      </c>
    </row>
    <row r="2259" spans="2:4" ht="14" thickBot="1" x14ac:dyDescent="0.2">
      <c r="B2259" s="251">
        <v>45600</v>
      </c>
      <c r="C2259" s="451">
        <v>78782.240000000005</v>
      </c>
      <c r="D2259" s="261">
        <f t="shared" si="35"/>
        <v>1.1955486414196859E-2</v>
      </c>
    </row>
    <row r="2260" spans="2:4" ht="14" thickBot="1" x14ac:dyDescent="0.2">
      <c r="B2260" s="251">
        <v>45601</v>
      </c>
      <c r="C2260" s="451">
        <v>79476.63</v>
      </c>
      <c r="D2260" s="261">
        <f t="shared" si="35"/>
        <v>-8.7370337670331644E-3</v>
      </c>
    </row>
    <row r="2261" spans="2:4" ht="14" thickBot="1" x14ac:dyDescent="0.2">
      <c r="B2261" s="251">
        <v>45602</v>
      </c>
      <c r="C2261" s="451">
        <v>80378.13</v>
      </c>
      <c r="D2261" s="261">
        <f t="shared" si="35"/>
        <v>-1.1215737415140148E-2</v>
      </c>
    </row>
    <row r="2262" spans="2:4" ht="14" thickBot="1" x14ac:dyDescent="0.2">
      <c r="B2262" s="251">
        <v>45603</v>
      </c>
      <c r="C2262" s="451">
        <v>79541.789999999994</v>
      </c>
      <c r="D2262" s="261">
        <f t="shared" si="35"/>
        <v>1.0514472958177201E-2</v>
      </c>
    </row>
    <row r="2263" spans="2:4" ht="14" thickBot="1" x14ac:dyDescent="0.2">
      <c r="B2263" s="251">
        <v>45604</v>
      </c>
      <c r="C2263" s="451">
        <v>79486.320000000007</v>
      </c>
      <c r="D2263" s="261">
        <f t="shared" si="35"/>
        <v>6.9785593294535708E-4</v>
      </c>
    </row>
    <row r="2264" spans="2:4" ht="14" thickBot="1" x14ac:dyDescent="0.2">
      <c r="B2264" s="251">
        <v>45607</v>
      </c>
      <c r="C2264" s="451">
        <v>79496.149999999994</v>
      </c>
      <c r="D2264" s="261">
        <f t="shared" si="35"/>
        <v>-1.2365378700718299E-4</v>
      </c>
    </row>
    <row r="2265" spans="2:4" ht="14" thickBot="1" x14ac:dyDescent="0.2">
      <c r="B2265" s="251">
        <v>45608</v>
      </c>
      <c r="C2265" s="451">
        <v>78675.179999999993</v>
      </c>
      <c r="D2265" s="261">
        <f t="shared" si="35"/>
        <v>1.0434930050366553E-2</v>
      </c>
    </row>
    <row r="2266" spans="2:4" ht="14" thickBot="1" x14ac:dyDescent="0.2">
      <c r="B2266" s="251">
        <v>45609</v>
      </c>
      <c r="C2266" s="451">
        <v>77690.95</v>
      </c>
      <c r="D2266" s="261">
        <f t="shared" si="35"/>
        <v>1.2668528316361227E-2</v>
      </c>
    </row>
    <row r="2267" spans="2:4" ht="14" thickBot="1" x14ac:dyDescent="0.2">
      <c r="B2267" s="251">
        <v>45610</v>
      </c>
      <c r="C2267" s="451">
        <v>77580.31</v>
      </c>
      <c r="D2267" s="261">
        <f t="shared" si="35"/>
        <v>1.4261350592694733E-3</v>
      </c>
    </row>
    <row r="2268" spans="2:4" ht="14" thickBot="1" x14ac:dyDescent="0.2">
      <c r="B2268" s="251">
        <v>45614</v>
      </c>
      <c r="C2268" s="451">
        <v>77339.009999999995</v>
      </c>
      <c r="D2268" s="261">
        <f t="shared" si="35"/>
        <v>3.1200295943794032E-3</v>
      </c>
    </row>
    <row r="2269" spans="2:4" ht="14" thickBot="1" x14ac:dyDescent="0.2">
      <c r="B2269" s="251">
        <v>45615</v>
      </c>
      <c r="C2269" s="451">
        <v>77578.38</v>
      </c>
      <c r="D2269" s="261">
        <f t="shared" si="35"/>
        <v>-3.0855246010552673E-3</v>
      </c>
    </row>
    <row r="2270" spans="2:4" ht="14" thickBot="1" x14ac:dyDescent="0.2">
      <c r="B2270" s="251">
        <v>45617</v>
      </c>
      <c r="C2270" s="451">
        <v>77155.789999999994</v>
      </c>
      <c r="D2270" s="261">
        <f t="shared" si="35"/>
        <v>5.4771002927973544E-3</v>
      </c>
    </row>
    <row r="2271" spans="2:4" ht="14" thickBot="1" x14ac:dyDescent="0.2">
      <c r="B2271" s="251">
        <v>45618</v>
      </c>
      <c r="C2271" s="451">
        <v>79117.11</v>
      </c>
      <c r="D2271" s="261">
        <f t="shared" si="35"/>
        <v>-2.4790086493300945E-2</v>
      </c>
    </row>
    <row r="2272" spans="2:4" ht="14" thickBot="1" x14ac:dyDescent="0.2">
      <c r="B2272" s="251">
        <v>45621</v>
      </c>
      <c r="C2272" s="451">
        <v>80109.850000000006</v>
      </c>
      <c r="D2272" s="261">
        <f t="shared" si="35"/>
        <v>-1.2392233913807171E-2</v>
      </c>
    </row>
    <row r="2273" spans="2:4" ht="14" thickBot="1" x14ac:dyDescent="0.2">
      <c r="B2273" s="251">
        <v>45622</v>
      </c>
      <c r="C2273" s="451">
        <v>80004.06</v>
      </c>
      <c r="D2273" s="261">
        <f t="shared" si="35"/>
        <v>1.3223078928745746E-3</v>
      </c>
    </row>
    <row r="2274" spans="2:4" ht="14" thickBot="1" x14ac:dyDescent="0.2">
      <c r="B2274" s="251">
        <v>45623</v>
      </c>
      <c r="C2274" s="451">
        <v>80234.080000000002</v>
      </c>
      <c r="D2274" s="261">
        <f t="shared" si="35"/>
        <v>-2.8668615630664807E-3</v>
      </c>
    </row>
    <row r="2275" spans="2:4" ht="14" thickBot="1" x14ac:dyDescent="0.2">
      <c r="B2275" s="251">
        <v>45624</v>
      </c>
      <c r="C2275" s="451">
        <v>79043.740000000005</v>
      </c>
      <c r="D2275" s="261">
        <f t="shared" si="35"/>
        <v>1.5059257064506282E-2</v>
      </c>
    </row>
    <row r="2276" spans="2:4" ht="14" thickBot="1" x14ac:dyDescent="0.2">
      <c r="B2276" s="251">
        <v>45625</v>
      </c>
      <c r="C2276" s="451">
        <v>79802.789999999994</v>
      </c>
      <c r="D2276" s="261">
        <f t="shared" si="35"/>
        <v>-9.5115722144549775E-3</v>
      </c>
    </row>
    <row r="2277" spans="2:4" ht="14" thickBot="1" x14ac:dyDescent="0.2">
      <c r="B2277" s="251">
        <v>45628</v>
      </c>
      <c r="C2277" s="451">
        <v>80248.08</v>
      </c>
      <c r="D2277" s="261">
        <f t="shared" si="35"/>
        <v>-5.5489178058840682E-3</v>
      </c>
    </row>
    <row r="2278" spans="2:4" ht="14" thickBot="1" x14ac:dyDescent="0.2">
      <c r="B2278" s="251">
        <v>45629</v>
      </c>
      <c r="C2278" s="451">
        <v>80845.75</v>
      </c>
      <c r="D2278" s="261">
        <f t="shared" si="35"/>
        <v>-7.3927200873267207E-3</v>
      </c>
    </row>
    <row r="2279" spans="2:4" ht="14" thickBot="1" x14ac:dyDescent="0.2">
      <c r="B2279" s="251">
        <v>45630</v>
      </c>
      <c r="C2279" s="451">
        <v>80956.33</v>
      </c>
      <c r="D2279" s="261">
        <f t="shared" si="35"/>
        <v>-1.3659216024244358E-3</v>
      </c>
    </row>
    <row r="2280" spans="2:4" ht="14" thickBot="1" x14ac:dyDescent="0.2">
      <c r="B2280" s="251">
        <v>45631</v>
      </c>
      <c r="C2280" s="451">
        <v>81765.86</v>
      </c>
      <c r="D2280" s="261">
        <f t="shared" si="35"/>
        <v>-9.9005868708529343E-3</v>
      </c>
    </row>
    <row r="2281" spans="2:4" ht="14" thickBot="1" x14ac:dyDescent="0.2">
      <c r="B2281" s="251">
        <v>45632</v>
      </c>
      <c r="C2281" s="451">
        <v>81709.119999999995</v>
      </c>
      <c r="D2281" s="261">
        <f t="shared" si="35"/>
        <v>6.9441452802343484E-4</v>
      </c>
    </row>
    <row r="2282" spans="2:4" ht="14" thickBot="1" x14ac:dyDescent="0.2">
      <c r="B2282" s="251">
        <v>45635</v>
      </c>
      <c r="C2282" s="451">
        <v>81508.460000000006</v>
      </c>
      <c r="D2282" s="261">
        <f t="shared" si="35"/>
        <v>2.4618303425190113E-3</v>
      </c>
    </row>
    <row r="2283" spans="2:4" ht="14" thickBot="1" x14ac:dyDescent="0.2">
      <c r="B2283" s="251">
        <v>45636</v>
      </c>
      <c r="C2283" s="451">
        <v>81510.05</v>
      </c>
      <c r="D2283" s="261">
        <f t="shared" si="35"/>
        <v>-1.9506797014567923E-5</v>
      </c>
    </row>
    <row r="2284" spans="2:4" ht="14" thickBot="1" x14ac:dyDescent="0.2">
      <c r="B2284" s="251">
        <v>45637</v>
      </c>
      <c r="C2284" s="451">
        <v>81526.14</v>
      </c>
      <c r="D2284" s="261">
        <f t="shared" si="35"/>
        <v>-1.9736001238368495E-4</v>
      </c>
    </row>
    <row r="2285" spans="2:4" ht="14" thickBot="1" x14ac:dyDescent="0.2">
      <c r="B2285" s="251">
        <v>45638</v>
      </c>
      <c r="C2285" s="451">
        <v>81289.960000000006</v>
      </c>
      <c r="D2285" s="261">
        <f t="shared" si="35"/>
        <v>2.9054018479033328E-3</v>
      </c>
    </row>
    <row r="2286" spans="2:4" ht="14" thickBot="1" x14ac:dyDescent="0.2">
      <c r="B2286" s="251">
        <v>45639</v>
      </c>
      <c r="C2286" s="451">
        <v>82133.119999999995</v>
      </c>
      <c r="D2286" s="261">
        <f t="shared" si="35"/>
        <v>-1.026577341759316E-2</v>
      </c>
    </row>
    <row r="2287" spans="2:4" ht="14" thickBot="1" x14ac:dyDescent="0.2">
      <c r="B2287" s="251">
        <v>45642</v>
      </c>
      <c r="C2287" s="451">
        <v>81748.570000000007</v>
      </c>
      <c r="D2287" s="261">
        <f t="shared" si="35"/>
        <v>4.704057820216212E-3</v>
      </c>
    </row>
    <row r="2288" spans="2:4" ht="14" thickBot="1" x14ac:dyDescent="0.2">
      <c r="B2288" s="251">
        <v>45643</v>
      </c>
      <c r="C2288" s="451">
        <v>80684.45</v>
      </c>
      <c r="D2288" s="261">
        <f t="shared" si="35"/>
        <v>1.3188662747282809E-2</v>
      </c>
    </row>
    <row r="2289" spans="2:4" ht="14" thickBot="1" x14ac:dyDescent="0.2">
      <c r="B2289" s="251">
        <v>45644</v>
      </c>
      <c r="C2289" s="451">
        <v>80182.2</v>
      </c>
      <c r="D2289" s="261">
        <f t="shared" si="35"/>
        <v>6.2638590609886968E-3</v>
      </c>
    </row>
    <row r="2290" spans="2:4" ht="14" thickBot="1" x14ac:dyDescent="0.2">
      <c r="B2290" s="251">
        <v>45645</v>
      </c>
      <c r="C2290" s="451">
        <v>79218.05</v>
      </c>
      <c r="D2290" s="261">
        <f t="shared" si="35"/>
        <v>1.2170837328108863E-2</v>
      </c>
    </row>
    <row r="2291" spans="2:4" ht="14" thickBot="1" x14ac:dyDescent="0.2">
      <c r="B2291" s="251">
        <v>45646</v>
      </c>
      <c r="C2291" s="451">
        <v>78041.59</v>
      </c>
      <c r="D2291" s="261">
        <f t="shared" si="35"/>
        <v>1.5074782561452338E-2</v>
      </c>
    </row>
    <row r="2292" spans="2:4" ht="14" thickBot="1" x14ac:dyDescent="0.2">
      <c r="B2292" s="251">
        <v>45649</v>
      </c>
      <c r="C2292" s="451">
        <v>78540.17</v>
      </c>
      <c r="D2292" s="261">
        <f t="shared" si="35"/>
        <v>-6.3480891370619741E-3</v>
      </c>
    </row>
    <row r="2293" spans="2:4" ht="14" thickBot="1" x14ac:dyDescent="0.2">
      <c r="B2293" s="251">
        <v>45650</v>
      </c>
      <c r="C2293" s="451">
        <v>78472.87</v>
      </c>
      <c r="D2293" s="261">
        <f t="shared" si="35"/>
        <v>8.5762123903454501E-4</v>
      </c>
    </row>
    <row r="2294" spans="2:4" ht="14" thickBot="1" x14ac:dyDescent="0.2">
      <c r="B2294" s="251">
        <v>45652</v>
      </c>
      <c r="C2294" s="451">
        <v>78472.479999999996</v>
      </c>
      <c r="D2294" s="261">
        <f t="shared" si="35"/>
        <v>4.9698951785082102E-6</v>
      </c>
    </row>
    <row r="2295" spans="2:4" ht="14" thickBot="1" x14ac:dyDescent="0.2">
      <c r="B2295" s="251">
        <v>45653</v>
      </c>
      <c r="C2295" s="451">
        <v>78699.070000000007</v>
      </c>
      <c r="D2295" s="261">
        <f t="shared" si="35"/>
        <v>-2.8791953958288152E-3</v>
      </c>
    </row>
    <row r="2296" spans="2:4" ht="14" thickBot="1" x14ac:dyDescent="0.2">
      <c r="B2296" s="251">
        <v>45656</v>
      </c>
      <c r="C2296" s="451">
        <v>78248.13</v>
      </c>
      <c r="D2296" s="261">
        <f t="shared" si="35"/>
        <v>5.7629492231954238E-3</v>
      </c>
    </row>
    <row r="2297" spans="2:4" ht="14" thickBot="1" x14ac:dyDescent="0.2">
      <c r="B2297" s="251">
        <v>45657</v>
      </c>
      <c r="C2297" s="451">
        <v>78139.009999999995</v>
      </c>
      <c r="D2297" s="261">
        <f t="shared" si="35"/>
        <v>1.396485571035555E-3</v>
      </c>
    </row>
    <row r="2298" spans="2:4" ht="14" thickBot="1" x14ac:dyDescent="0.2">
      <c r="B2298" s="251">
        <v>45658</v>
      </c>
      <c r="C2298" s="451">
        <v>78507.41</v>
      </c>
      <c r="D2298" s="261">
        <f t="shared" si="35"/>
        <v>-4.6925506777004689E-3</v>
      </c>
    </row>
    <row r="2299" spans="2:4" ht="14" thickBot="1" x14ac:dyDescent="0.2">
      <c r="B2299" s="251">
        <v>45659</v>
      </c>
      <c r="C2299" s="451">
        <v>79943.710000000006</v>
      </c>
      <c r="D2299" s="261">
        <f t="shared" si="35"/>
        <v>-1.7966391602291187E-2</v>
      </c>
    </row>
    <row r="2300" spans="2:4" ht="14" thickBot="1" x14ac:dyDescent="0.2">
      <c r="B2300" s="251">
        <v>45660</v>
      </c>
      <c r="C2300" s="451">
        <v>79223.11</v>
      </c>
      <c r="D2300" s="261">
        <f t="shared" si="35"/>
        <v>9.0958307493862467E-3</v>
      </c>
    </row>
    <row r="2301" spans="2:4" ht="14" thickBot="1" x14ac:dyDescent="0.2">
      <c r="B2301" s="251">
        <v>45663</v>
      </c>
      <c r="C2301" s="451">
        <v>77964.990000000005</v>
      </c>
      <c r="D2301" s="261">
        <f t="shared" si="35"/>
        <v>1.6136986614119886E-2</v>
      </c>
    </row>
    <row r="2302" spans="2:4" ht="14" thickBot="1" x14ac:dyDescent="0.2">
      <c r="B2302" s="251">
        <v>45664</v>
      </c>
      <c r="C2302" s="451">
        <v>78199.11</v>
      </c>
      <c r="D2302" s="261">
        <f t="shared" si="35"/>
        <v>-2.9938959663351472E-3</v>
      </c>
    </row>
    <row r="2303" spans="2:4" ht="14" thickBot="1" x14ac:dyDescent="0.2">
      <c r="B2303" s="251">
        <v>45665</v>
      </c>
      <c r="C2303" s="451">
        <v>78148.490000000005</v>
      </c>
      <c r="D2303" s="261">
        <f t="shared" si="35"/>
        <v>6.4774124234512342E-4</v>
      </c>
    </row>
    <row r="2304" spans="2:4" ht="14" thickBot="1" x14ac:dyDescent="0.2">
      <c r="B2304" s="251">
        <v>45666</v>
      </c>
      <c r="C2304" s="451">
        <v>77620.210000000006</v>
      </c>
      <c r="D2304" s="261">
        <f t="shared" si="35"/>
        <v>6.8059594273193191E-3</v>
      </c>
    </row>
    <row r="2305" spans="2:4" ht="14" thickBot="1" x14ac:dyDescent="0.2">
      <c r="B2305" s="251">
        <v>45667</v>
      </c>
      <c r="C2305" s="451">
        <v>77378.91</v>
      </c>
      <c r="D2305" s="261">
        <f t="shared" si="35"/>
        <v>3.1184207686565379E-3</v>
      </c>
    </row>
    <row r="2306" spans="2:4" ht="14" thickBot="1" x14ac:dyDescent="0.2">
      <c r="B2306" s="251">
        <v>45670</v>
      </c>
      <c r="C2306" s="451">
        <v>76330.009999999995</v>
      </c>
      <c r="D2306" s="261">
        <f t="shared" si="35"/>
        <v>1.3741646306610011E-2</v>
      </c>
    </row>
    <row r="2307" spans="2:4" ht="14" thickBot="1" x14ac:dyDescent="0.2">
      <c r="B2307" s="251">
        <v>45671</v>
      </c>
      <c r="C2307" s="451">
        <v>76499.63</v>
      </c>
      <c r="D2307" s="261">
        <f t="shared" si="35"/>
        <v>-2.217265625990783E-3</v>
      </c>
    </row>
    <row r="2308" spans="2:4" ht="14" thickBot="1" x14ac:dyDescent="0.2">
      <c r="B2308" s="251">
        <v>45672</v>
      </c>
      <c r="C2308" s="451">
        <v>76724.08</v>
      </c>
      <c r="D2308" s="261">
        <f t="shared" si="35"/>
        <v>-2.9254179391919877E-3</v>
      </c>
    </row>
    <row r="2309" spans="2:4" ht="14" thickBot="1" x14ac:dyDescent="0.2">
      <c r="B2309" s="251">
        <v>45673</v>
      </c>
      <c r="C2309" s="451">
        <v>77042.820000000007</v>
      </c>
      <c r="D2309" s="261">
        <f t="shared" si="35"/>
        <v>-4.1371798176651486E-3</v>
      </c>
    </row>
    <row r="2310" spans="2:4" ht="14" thickBot="1" x14ac:dyDescent="0.2">
      <c r="B2310" s="251">
        <v>45674</v>
      </c>
      <c r="C2310" s="451">
        <v>76619.33</v>
      </c>
      <c r="D2310" s="261">
        <f t="shared" si="35"/>
        <v>5.5271952913189537E-3</v>
      </c>
    </row>
    <row r="2311" spans="2:4" ht="14" thickBot="1" x14ac:dyDescent="0.2">
      <c r="B2311" s="251">
        <v>45677</v>
      </c>
      <c r="C2311" s="451">
        <v>77073.440000000002</v>
      </c>
      <c r="D2311" s="261">
        <f t="shared" si="35"/>
        <v>-5.8919129598989928E-3</v>
      </c>
    </row>
    <row r="2312" spans="2:4" ht="14" thickBot="1" x14ac:dyDescent="0.2">
      <c r="B2312" s="251">
        <v>45678</v>
      </c>
      <c r="C2312" s="451">
        <v>75838.36</v>
      </c>
      <c r="D2312" s="261">
        <f t="shared" si="35"/>
        <v>1.6285689722193464E-2</v>
      </c>
    </row>
    <row r="2313" spans="2:4" ht="14" thickBot="1" x14ac:dyDescent="0.2">
      <c r="B2313" s="251">
        <v>45679</v>
      </c>
      <c r="C2313" s="451">
        <v>76404.990000000005</v>
      </c>
      <c r="D2313" s="261">
        <f t="shared" si="35"/>
        <v>-7.4161386579594257E-3</v>
      </c>
    </row>
    <row r="2314" spans="2:4" ht="14" thickBot="1" x14ac:dyDescent="0.2">
      <c r="B2314" s="251">
        <v>45680</v>
      </c>
      <c r="C2314" s="451">
        <v>76520.38</v>
      </c>
      <c r="D2314" s="261">
        <f t="shared" ref="D2314:D2377" si="36">C2313/C2314-1</f>
        <v>-1.5079642835019724E-3</v>
      </c>
    </row>
    <row r="2315" spans="2:4" ht="14" thickBot="1" x14ac:dyDescent="0.2">
      <c r="B2315" s="251">
        <v>45681</v>
      </c>
      <c r="C2315" s="451">
        <v>76190.460000000006</v>
      </c>
      <c r="D2315" s="261">
        <f t="shared" si="36"/>
        <v>4.3302009201677816E-3</v>
      </c>
    </row>
    <row r="2316" spans="2:4" ht="14" thickBot="1" x14ac:dyDescent="0.2">
      <c r="B2316" s="251">
        <v>45684</v>
      </c>
      <c r="C2316" s="451">
        <v>75366.17</v>
      </c>
      <c r="D2316" s="261">
        <f t="shared" si="36"/>
        <v>1.0937135322121483E-2</v>
      </c>
    </row>
    <row r="2317" spans="2:4" ht="14" thickBot="1" x14ac:dyDescent="0.2">
      <c r="B2317" s="251">
        <v>45685</v>
      </c>
      <c r="C2317" s="451">
        <v>75901.41</v>
      </c>
      <c r="D2317" s="261">
        <f t="shared" si="36"/>
        <v>-7.0517794069966389E-3</v>
      </c>
    </row>
    <row r="2318" spans="2:4" ht="14" thickBot="1" x14ac:dyDescent="0.2">
      <c r="B2318" s="251">
        <v>45686</v>
      </c>
      <c r="C2318" s="451">
        <v>76532.960000000006</v>
      </c>
      <c r="D2318" s="261">
        <f t="shared" si="36"/>
        <v>-8.2520001839730961E-3</v>
      </c>
    </row>
    <row r="2319" spans="2:4" ht="14" thickBot="1" x14ac:dyDescent="0.2">
      <c r="B2319" s="251">
        <v>45687</v>
      </c>
      <c r="C2319" s="451">
        <v>76759.81</v>
      </c>
      <c r="D2319" s="261">
        <f t="shared" si="36"/>
        <v>-2.9553225835237118E-3</v>
      </c>
    </row>
    <row r="2320" spans="2:4" ht="14" thickBot="1" x14ac:dyDescent="0.2">
      <c r="B2320" s="251">
        <v>45688</v>
      </c>
      <c r="C2320" s="451">
        <v>77500.570000000007</v>
      </c>
      <c r="D2320" s="261">
        <f t="shared" si="36"/>
        <v>-9.5581232499323265E-3</v>
      </c>
    </row>
    <row r="2321" spans="2:4" ht="14" thickBot="1" x14ac:dyDescent="0.2">
      <c r="B2321" s="251">
        <v>45689</v>
      </c>
      <c r="C2321" s="451">
        <v>77505.960000000006</v>
      </c>
      <c r="D2321" s="261">
        <f t="shared" si="36"/>
        <v>-6.9543039012742724E-5</v>
      </c>
    </row>
    <row r="2322" spans="2:4" ht="14" thickBot="1" x14ac:dyDescent="0.2">
      <c r="B2322" s="251">
        <v>45691</v>
      </c>
      <c r="C2322" s="451">
        <v>77186.740000000005</v>
      </c>
      <c r="D2322" s="261">
        <f t="shared" si="36"/>
        <v>4.1356844452817842E-3</v>
      </c>
    </row>
    <row r="2323" spans="2:4" ht="14" thickBot="1" x14ac:dyDescent="0.2">
      <c r="B2323" s="251">
        <v>45692</v>
      </c>
      <c r="C2323" s="451">
        <v>78583.81</v>
      </c>
      <c r="D2323" s="261">
        <f t="shared" si="36"/>
        <v>-1.7778089405438458E-2</v>
      </c>
    </row>
    <row r="2324" spans="2:4" ht="14" thickBot="1" x14ac:dyDescent="0.2">
      <c r="B2324" s="251">
        <v>45693</v>
      </c>
      <c r="C2324" s="451">
        <v>78271.28</v>
      </c>
      <c r="D2324" s="261">
        <f t="shared" si="36"/>
        <v>3.9929077434277538E-3</v>
      </c>
    </row>
    <row r="2325" spans="2:4" ht="14" thickBot="1" x14ac:dyDescent="0.2">
      <c r="B2325" s="251">
        <v>45694</v>
      </c>
      <c r="C2325" s="451">
        <v>78058.16</v>
      </c>
      <c r="D2325" s="261">
        <f t="shared" si="36"/>
        <v>2.7302718895756417E-3</v>
      </c>
    </row>
    <row r="2326" spans="2:4" ht="14" thickBot="1" x14ac:dyDescent="0.2">
      <c r="B2326" s="251">
        <v>45695</v>
      </c>
      <c r="C2326" s="451">
        <v>77860.19</v>
      </c>
      <c r="D2326" s="261">
        <f t="shared" si="36"/>
        <v>2.5426344323074002E-3</v>
      </c>
    </row>
    <row r="2327" spans="2:4" ht="14" thickBot="1" x14ac:dyDescent="0.2">
      <c r="B2327" s="251">
        <v>45698</v>
      </c>
      <c r="C2327" s="451">
        <v>77311.8</v>
      </c>
      <c r="D2327" s="261">
        <f t="shared" si="36"/>
        <v>7.0932250962982835E-3</v>
      </c>
    </row>
    <row r="2328" spans="2:4" ht="14" thickBot="1" x14ac:dyDescent="0.2">
      <c r="B2328" s="251">
        <v>45699</v>
      </c>
      <c r="C2328" s="451">
        <v>76293.600000000006</v>
      </c>
      <c r="D2328" s="261">
        <f t="shared" si="36"/>
        <v>1.3345811444210209E-2</v>
      </c>
    </row>
    <row r="2329" spans="2:4" ht="14" thickBot="1" x14ac:dyDescent="0.2">
      <c r="B2329" s="251">
        <v>45700</v>
      </c>
      <c r="C2329" s="451">
        <v>76171.08</v>
      </c>
      <c r="D2329" s="261">
        <f t="shared" si="36"/>
        <v>1.6084844799364451E-3</v>
      </c>
    </row>
    <row r="2330" spans="2:4" ht="14" thickBot="1" x14ac:dyDescent="0.2">
      <c r="B2330" s="251">
        <v>45701</v>
      </c>
      <c r="C2330" s="451">
        <v>76138.97</v>
      </c>
      <c r="D2330" s="261">
        <f t="shared" si="36"/>
        <v>4.2172884660773846E-4</v>
      </c>
    </row>
    <row r="2331" spans="2:4" ht="14" thickBot="1" x14ac:dyDescent="0.2">
      <c r="B2331" s="251">
        <v>45702</v>
      </c>
      <c r="C2331" s="451">
        <v>75939.210000000006</v>
      </c>
      <c r="D2331" s="261">
        <f t="shared" si="36"/>
        <v>2.6305251266109941E-3</v>
      </c>
    </row>
    <row r="2332" spans="2:4" ht="14" thickBot="1" x14ac:dyDescent="0.2">
      <c r="B2332" s="251">
        <v>45705</v>
      </c>
      <c r="C2332" s="451">
        <v>75996.86</v>
      </c>
      <c r="D2332" s="261">
        <f t="shared" si="36"/>
        <v>-7.5858397307460024E-4</v>
      </c>
    </row>
    <row r="2333" spans="2:4" ht="14" thickBot="1" x14ac:dyDescent="0.2">
      <c r="B2333" s="251">
        <v>45706</v>
      </c>
      <c r="C2333" s="451">
        <v>75967.39</v>
      </c>
      <c r="D2333" s="261">
        <f t="shared" si="36"/>
        <v>3.8792961032352302E-4</v>
      </c>
    </row>
    <row r="2334" spans="2:4" ht="14" thickBot="1" x14ac:dyDescent="0.2">
      <c r="B2334" s="251">
        <v>45707</v>
      </c>
      <c r="C2334" s="451">
        <v>75939.179999999993</v>
      </c>
      <c r="D2334" s="261">
        <f t="shared" si="36"/>
        <v>3.7148149347943082E-4</v>
      </c>
    </row>
    <row r="2335" spans="2:4" ht="14" thickBot="1" x14ac:dyDescent="0.2">
      <c r="B2335" s="251">
        <v>45708</v>
      </c>
      <c r="C2335" s="451">
        <v>75735.960000000006</v>
      </c>
      <c r="D2335" s="261">
        <f t="shared" si="36"/>
        <v>2.6832696119516442E-3</v>
      </c>
    </row>
    <row r="2336" spans="2:4" ht="14" thickBot="1" x14ac:dyDescent="0.2">
      <c r="B2336" s="251">
        <v>45709</v>
      </c>
      <c r="C2336" s="451">
        <v>75311.06</v>
      </c>
      <c r="D2336" s="261">
        <f t="shared" si="36"/>
        <v>5.6419336017845545E-3</v>
      </c>
    </row>
    <row r="2337" spans="2:4" ht="14" thickBot="1" x14ac:dyDescent="0.2">
      <c r="B2337" s="251">
        <v>45712</v>
      </c>
      <c r="C2337" s="451">
        <v>74454.41</v>
      </c>
      <c r="D2337" s="261">
        <f t="shared" si="36"/>
        <v>1.1505698587900959E-2</v>
      </c>
    </row>
    <row r="2338" spans="2:4" ht="14" thickBot="1" x14ac:dyDescent="0.2">
      <c r="B2338" s="251">
        <v>45713</v>
      </c>
      <c r="C2338" s="451">
        <v>74602.12</v>
      </c>
      <c r="D2338" s="261">
        <f t="shared" si="36"/>
        <v>-1.9799705423919622E-3</v>
      </c>
    </row>
    <row r="2339" spans="2:4" ht="14" thickBot="1" x14ac:dyDescent="0.2">
      <c r="B2339" s="251">
        <v>45715</v>
      </c>
      <c r="C2339" s="451">
        <v>74612.429999999993</v>
      </c>
      <c r="D2339" s="261">
        <f t="shared" si="36"/>
        <v>-1.3818072940385839E-4</v>
      </c>
    </row>
    <row r="2340" spans="2:4" ht="14" thickBot="1" x14ac:dyDescent="0.2">
      <c r="B2340" s="251">
        <v>45716</v>
      </c>
      <c r="C2340" s="451">
        <v>73198.100000000006</v>
      </c>
      <c r="D2340" s="261">
        <f t="shared" si="36"/>
        <v>1.9321949613446021E-2</v>
      </c>
    </row>
    <row r="2341" spans="2:4" ht="14" thickBot="1" x14ac:dyDescent="0.2">
      <c r="B2341" s="251">
        <v>45719</v>
      </c>
      <c r="C2341" s="451">
        <v>73085.94</v>
      </c>
      <c r="D2341" s="261">
        <f t="shared" si="36"/>
        <v>1.5346316952344896E-3</v>
      </c>
    </row>
    <row r="2342" spans="2:4" ht="14" thickBot="1" x14ac:dyDescent="0.2">
      <c r="B2342" s="251">
        <v>45720</v>
      </c>
      <c r="C2342" s="451">
        <v>72989.929999999993</v>
      </c>
      <c r="D2342" s="261">
        <f t="shared" si="36"/>
        <v>1.3153869307727106E-3</v>
      </c>
    </row>
    <row r="2343" spans="2:4" ht="14" thickBot="1" x14ac:dyDescent="0.2">
      <c r="B2343" s="251">
        <v>45721</v>
      </c>
      <c r="C2343" s="451">
        <v>73730.23</v>
      </c>
      <c r="D2343" s="261">
        <f t="shared" si="36"/>
        <v>-1.0040657678675347E-2</v>
      </c>
    </row>
    <row r="2344" spans="2:4" ht="14" thickBot="1" x14ac:dyDescent="0.2">
      <c r="B2344" s="251">
        <v>45722</v>
      </c>
      <c r="C2344" s="451">
        <v>74340.09</v>
      </c>
      <c r="D2344" s="261">
        <f t="shared" si="36"/>
        <v>-8.2036489328974893E-3</v>
      </c>
    </row>
    <row r="2345" spans="2:4" ht="14" thickBot="1" x14ac:dyDescent="0.2">
      <c r="B2345" s="251">
        <v>45723</v>
      </c>
      <c r="C2345" s="451">
        <v>74332.58</v>
      </c>
      <c r="D2345" s="261">
        <f t="shared" si="36"/>
        <v>1.0103241405046148E-4</v>
      </c>
    </row>
    <row r="2346" spans="2:4" ht="14" thickBot="1" x14ac:dyDescent="0.2">
      <c r="B2346" s="251">
        <v>45726</v>
      </c>
      <c r="C2346" s="451">
        <v>74115.17</v>
      </c>
      <c r="D2346" s="261">
        <f t="shared" si="36"/>
        <v>2.933407560152812E-3</v>
      </c>
    </row>
    <row r="2347" spans="2:4" ht="14" thickBot="1" x14ac:dyDescent="0.2">
      <c r="B2347" s="251">
        <v>45727</v>
      </c>
      <c r="C2347" s="451">
        <v>74102.320000000007</v>
      </c>
      <c r="D2347" s="261">
        <f t="shared" si="36"/>
        <v>1.7340887572747654E-4</v>
      </c>
    </row>
    <row r="2348" spans="2:4" ht="14" thickBot="1" x14ac:dyDescent="0.2">
      <c r="B2348" s="251">
        <v>45728</v>
      </c>
      <c r="C2348" s="451">
        <v>74029.759999999995</v>
      </c>
      <c r="D2348" s="261">
        <f t="shared" si="36"/>
        <v>9.801463627601148E-4</v>
      </c>
    </row>
    <row r="2349" spans="2:4" ht="14" thickBot="1" x14ac:dyDescent="0.2">
      <c r="B2349" s="251">
        <v>45729</v>
      </c>
      <c r="C2349" s="451">
        <v>73828.91</v>
      </c>
      <c r="D2349" s="261">
        <f t="shared" si="36"/>
        <v>2.7204790101871268E-3</v>
      </c>
    </row>
    <row r="2350" spans="2:4" ht="14" thickBot="1" x14ac:dyDescent="0.2">
      <c r="B2350" s="251">
        <v>45733</v>
      </c>
      <c r="C2350" s="451">
        <v>74169.95</v>
      </c>
      <c r="D2350" s="261">
        <f t="shared" si="36"/>
        <v>-4.5980885789999038E-3</v>
      </c>
    </row>
    <row r="2351" spans="2:4" ht="14" thickBot="1" x14ac:dyDescent="0.2">
      <c r="B2351" s="251">
        <v>45734</v>
      </c>
      <c r="C2351" s="451">
        <v>75301.259999999995</v>
      </c>
      <c r="D2351" s="261">
        <f t="shared" si="36"/>
        <v>-1.5023785790569733E-2</v>
      </c>
    </row>
    <row r="2352" spans="2:4" ht="14" thickBot="1" x14ac:dyDescent="0.2">
      <c r="B2352" s="251">
        <v>45735</v>
      </c>
      <c r="C2352" s="451">
        <v>75449.05</v>
      </c>
      <c r="D2352" s="261">
        <f t="shared" si="36"/>
        <v>-1.9588053129894201E-3</v>
      </c>
    </row>
    <row r="2353" spans="2:4" ht="14" thickBot="1" x14ac:dyDescent="0.2">
      <c r="B2353" s="251">
        <v>45736</v>
      </c>
      <c r="C2353" s="451">
        <v>76348.06</v>
      </c>
      <c r="D2353" s="261">
        <f t="shared" si="36"/>
        <v>-1.1775151850616727E-2</v>
      </c>
    </row>
    <row r="2354" spans="2:4" ht="14" thickBot="1" x14ac:dyDescent="0.2">
      <c r="B2354" s="251">
        <v>45737</v>
      </c>
      <c r="C2354" s="451">
        <v>76905.509999999995</v>
      </c>
      <c r="D2354" s="261">
        <f t="shared" si="36"/>
        <v>-7.2485053411647238E-3</v>
      </c>
    </row>
    <row r="2355" spans="2:4" ht="14" thickBot="1" x14ac:dyDescent="0.2">
      <c r="B2355" s="251">
        <v>45740</v>
      </c>
      <c r="C2355" s="451">
        <v>77984.38</v>
      </c>
      <c r="D2355" s="261">
        <f t="shared" si="36"/>
        <v>-1.383443710137866E-2</v>
      </c>
    </row>
    <row r="2356" spans="2:4" ht="14" thickBot="1" x14ac:dyDescent="0.2">
      <c r="B2356" s="251">
        <v>45741</v>
      </c>
      <c r="C2356" s="451">
        <v>78017.19</v>
      </c>
      <c r="D2356" s="261">
        <f t="shared" si="36"/>
        <v>-4.2054834325611079E-4</v>
      </c>
    </row>
    <row r="2357" spans="2:4" ht="14" thickBot="1" x14ac:dyDescent="0.2">
      <c r="B2357" s="251">
        <v>45742</v>
      </c>
      <c r="C2357" s="451">
        <v>77288.5</v>
      </c>
      <c r="D2357" s="261">
        <f t="shared" si="36"/>
        <v>9.4281814241445883E-3</v>
      </c>
    </row>
    <row r="2358" spans="2:4" ht="14" thickBot="1" x14ac:dyDescent="0.2">
      <c r="B2358" s="251">
        <v>45743</v>
      </c>
      <c r="C2358" s="451">
        <v>77606.429999999993</v>
      </c>
      <c r="D2358" s="261">
        <f t="shared" si="36"/>
        <v>-4.0966966268128902E-3</v>
      </c>
    </row>
    <row r="2359" spans="2:4" ht="14" thickBot="1" x14ac:dyDescent="0.2">
      <c r="B2359" s="251">
        <v>45744</v>
      </c>
      <c r="C2359" s="451">
        <v>77414.92</v>
      </c>
      <c r="D2359" s="261">
        <f t="shared" si="36"/>
        <v>2.4738125415617596E-3</v>
      </c>
    </row>
    <row r="2360" spans="2:4" ht="14" thickBot="1" x14ac:dyDescent="0.2">
      <c r="B2360" s="251">
        <v>45748</v>
      </c>
      <c r="C2360" s="451">
        <v>76024.509999999995</v>
      </c>
      <c r="D2360" s="261">
        <f t="shared" si="36"/>
        <v>1.8288970228154122E-2</v>
      </c>
    </row>
    <row r="2361" spans="2:4" ht="14" thickBot="1" x14ac:dyDescent="0.2">
      <c r="B2361" s="251">
        <v>45749</v>
      </c>
      <c r="C2361" s="451">
        <v>76617.440000000002</v>
      </c>
      <c r="D2361" s="261">
        <f t="shared" si="36"/>
        <v>-7.7388385725235542E-3</v>
      </c>
    </row>
    <row r="2362" spans="2:4" ht="14" thickBot="1" x14ac:dyDescent="0.2">
      <c r="B2362" s="251">
        <v>45750</v>
      </c>
      <c r="C2362" s="451">
        <v>76295.360000000001</v>
      </c>
      <c r="D2362" s="261">
        <f t="shared" si="36"/>
        <v>4.2214886986573497E-3</v>
      </c>
    </row>
    <row r="2363" spans="2:4" ht="14" thickBot="1" x14ac:dyDescent="0.2">
      <c r="B2363" s="251">
        <v>45751</v>
      </c>
      <c r="C2363" s="451">
        <v>75364.69</v>
      </c>
      <c r="D2363" s="261">
        <f t="shared" si="36"/>
        <v>1.2348886461285735E-2</v>
      </c>
    </row>
    <row r="2364" spans="2:4" ht="14" thickBot="1" x14ac:dyDescent="0.2">
      <c r="B2364" s="251">
        <v>45754</v>
      </c>
      <c r="C2364" s="451">
        <v>73137.899999999994</v>
      </c>
      <c r="D2364" s="261">
        <f t="shared" si="36"/>
        <v>3.0446457992368003E-2</v>
      </c>
    </row>
    <row r="2365" spans="2:4" ht="14" thickBot="1" x14ac:dyDescent="0.2">
      <c r="B2365" s="251">
        <v>45755</v>
      </c>
      <c r="C2365" s="451">
        <v>74227.08</v>
      </c>
      <c r="D2365" s="261">
        <f t="shared" si="36"/>
        <v>-1.4673620463044101E-2</v>
      </c>
    </row>
    <row r="2366" spans="2:4" ht="14" thickBot="1" x14ac:dyDescent="0.2">
      <c r="B2366" s="251">
        <v>45756</v>
      </c>
      <c r="C2366" s="451">
        <v>73847.149999999994</v>
      </c>
      <c r="D2366" s="261">
        <f t="shared" si="36"/>
        <v>5.1448160152423039E-3</v>
      </c>
    </row>
    <row r="2367" spans="2:4" ht="14" thickBot="1" x14ac:dyDescent="0.2">
      <c r="B2367" s="251">
        <v>45758</v>
      </c>
      <c r="C2367" s="451">
        <v>75157.259999999995</v>
      </c>
      <c r="D2367" s="261">
        <f t="shared" si="36"/>
        <v>-1.7431582790538136E-2</v>
      </c>
    </row>
    <row r="2368" spans="2:4" ht="14" thickBot="1" x14ac:dyDescent="0.2">
      <c r="B2368" s="251">
        <v>45762</v>
      </c>
      <c r="C2368" s="451">
        <v>76734.89</v>
      </c>
      <c r="D2368" s="261">
        <f t="shared" si="36"/>
        <v>-2.055948734662949E-2</v>
      </c>
    </row>
    <row r="2369" spans="2:4" ht="14" thickBot="1" x14ac:dyDescent="0.2">
      <c r="B2369" s="251">
        <v>45763</v>
      </c>
      <c r="C2369" s="451">
        <v>77044.289999999994</v>
      </c>
      <c r="D2369" s="261">
        <f t="shared" si="36"/>
        <v>-4.0158719095210182E-3</v>
      </c>
    </row>
    <row r="2370" spans="2:4" ht="14" thickBot="1" x14ac:dyDescent="0.2">
      <c r="B2370" s="251">
        <v>45764</v>
      </c>
      <c r="C2370" s="451">
        <v>78553.2</v>
      </c>
      <c r="D2370" s="261">
        <f t="shared" si="36"/>
        <v>-1.9208765524510785E-2</v>
      </c>
    </row>
    <row r="2371" spans="2:4" ht="14" thickBot="1" x14ac:dyDescent="0.2">
      <c r="B2371" s="251">
        <v>45768</v>
      </c>
      <c r="C2371" s="451">
        <v>79408.5</v>
      </c>
      <c r="D2371" s="261">
        <f t="shared" si="36"/>
        <v>-1.0770887247586902E-2</v>
      </c>
    </row>
    <row r="2372" spans="2:4" ht="14" thickBot="1" x14ac:dyDescent="0.2">
      <c r="B2372" s="251">
        <v>45769</v>
      </c>
      <c r="C2372" s="451">
        <v>79595.59</v>
      </c>
      <c r="D2372" s="261">
        <f t="shared" si="36"/>
        <v>-2.3505071072404959E-3</v>
      </c>
    </row>
    <row r="2373" spans="2:4" ht="14" thickBot="1" x14ac:dyDescent="0.2">
      <c r="B2373" s="251">
        <v>45770</v>
      </c>
      <c r="C2373" s="451">
        <v>80116.490000000005</v>
      </c>
      <c r="D2373" s="261">
        <f t="shared" si="36"/>
        <v>-6.5017825918235461E-3</v>
      </c>
    </row>
    <row r="2374" spans="2:4" ht="14" thickBot="1" x14ac:dyDescent="0.2">
      <c r="B2374" s="251">
        <v>45771</v>
      </c>
      <c r="C2374" s="451">
        <v>79801.429999999993</v>
      </c>
      <c r="D2374" s="261">
        <f t="shared" si="36"/>
        <v>3.9480495524957249E-3</v>
      </c>
    </row>
    <row r="2375" spans="2:4" ht="14" thickBot="1" x14ac:dyDescent="0.2">
      <c r="B2375" s="251">
        <v>45772</v>
      </c>
      <c r="C2375" s="451">
        <v>79212.53</v>
      </c>
      <c r="D2375" s="261">
        <f t="shared" si="36"/>
        <v>7.4344298812321075E-3</v>
      </c>
    </row>
    <row r="2376" spans="2:4" ht="14" thickBot="1" x14ac:dyDescent="0.2">
      <c r="B2376" s="251">
        <v>45775</v>
      </c>
      <c r="C2376" s="451">
        <v>80218.37</v>
      </c>
      <c r="D2376" s="261">
        <f t="shared" si="36"/>
        <v>-1.2538773849431251E-2</v>
      </c>
    </row>
    <row r="2377" spans="2:4" ht="14" thickBot="1" x14ac:dyDescent="0.2">
      <c r="B2377" s="251">
        <v>45776</v>
      </c>
      <c r="C2377" s="451">
        <v>80288.38</v>
      </c>
      <c r="D2377" s="261">
        <f t="shared" si="36"/>
        <v>-8.7198172388092132E-4</v>
      </c>
    </row>
    <row r="2378" spans="2:4" ht="14" thickBot="1" x14ac:dyDescent="0.2">
      <c r="B2378" s="251">
        <v>45777</v>
      </c>
      <c r="C2378" s="451">
        <v>80242.240000000005</v>
      </c>
      <c r="D2378" s="261">
        <f t="shared" ref="D2378:D2441" si="37">C2377/C2378-1</f>
        <v>5.7500887313222115E-4</v>
      </c>
    </row>
    <row r="2379" spans="2:4" ht="14" thickBot="1" x14ac:dyDescent="0.2">
      <c r="B2379" s="251">
        <v>45779</v>
      </c>
      <c r="C2379" s="451">
        <v>80501.990000000005</v>
      </c>
      <c r="D2379" s="261">
        <f t="shared" si="37"/>
        <v>-3.2266283106789917E-3</v>
      </c>
    </row>
    <row r="2380" spans="2:4" ht="14" thickBot="1" x14ac:dyDescent="0.2">
      <c r="B2380" s="251">
        <v>45782</v>
      </c>
      <c r="C2380" s="451">
        <v>80796.84</v>
      </c>
      <c r="D2380" s="261">
        <f t="shared" si="37"/>
        <v>-3.649276382591049E-3</v>
      </c>
    </row>
    <row r="2381" spans="2:4" ht="14" thickBot="1" x14ac:dyDescent="0.2">
      <c r="B2381" s="251">
        <v>45783</v>
      </c>
      <c r="C2381" s="451">
        <v>80641.070000000007</v>
      </c>
      <c r="D2381" s="261">
        <f t="shared" si="37"/>
        <v>1.9316459962646082E-3</v>
      </c>
    </row>
    <row r="2382" spans="2:4" ht="14" thickBot="1" x14ac:dyDescent="0.2">
      <c r="B2382" s="251">
        <v>45784</v>
      </c>
      <c r="C2382" s="451">
        <v>80746.78</v>
      </c>
      <c r="D2382" s="261">
        <f t="shared" si="37"/>
        <v>-1.3091543712330234E-3</v>
      </c>
    </row>
    <row r="2383" spans="2:4" ht="14" thickBot="1" x14ac:dyDescent="0.2">
      <c r="B2383" s="251">
        <v>45785</v>
      </c>
      <c r="C2383" s="451">
        <v>80334.81</v>
      </c>
      <c r="D2383" s="261">
        <f t="shared" si="37"/>
        <v>5.1281629968378262E-3</v>
      </c>
    </row>
    <row r="2384" spans="2:4" ht="14" thickBot="1" x14ac:dyDescent="0.2">
      <c r="B2384" s="251">
        <v>45786</v>
      </c>
      <c r="C2384" s="451">
        <v>79454.47</v>
      </c>
      <c r="D2384" s="261">
        <f t="shared" si="37"/>
        <v>1.1079804572354357E-2</v>
      </c>
    </row>
    <row r="2385" spans="2:4" ht="14" thickBot="1" x14ac:dyDescent="0.2">
      <c r="B2385" s="251">
        <v>45789</v>
      </c>
      <c r="C2385" s="451">
        <v>82429.899999999994</v>
      </c>
      <c r="D2385" s="261">
        <f t="shared" si="37"/>
        <v>-3.6096489259358489E-2</v>
      </c>
    </row>
    <row r="2386" spans="2:4" ht="14" thickBot="1" x14ac:dyDescent="0.2">
      <c r="B2386" s="251">
        <v>45790</v>
      </c>
      <c r="C2386" s="451">
        <v>81148.22</v>
      </c>
      <c r="D2386" s="261">
        <f t="shared" si="37"/>
        <v>1.5794308242374155E-2</v>
      </c>
    </row>
    <row r="2387" spans="2:4" ht="14" thickBot="1" x14ac:dyDescent="0.2">
      <c r="B2387" s="251">
        <v>45791</v>
      </c>
      <c r="C2387" s="451">
        <v>81330.559999999998</v>
      </c>
      <c r="D2387" s="261">
        <f t="shared" si="37"/>
        <v>-2.2419616931199648E-3</v>
      </c>
    </row>
    <row r="2388" spans="2:4" ht="14" thickBot="1" x14ac:dyDescent="0.2">
      <c r="B2388" s="251">
        <v>45792</v>
      </c>
      <c r="C2388" s="451">
        <v>82530.740000000005</v>
      </c>
      <c r="D2388" s="261">
        <f t="shared" si="37"/>
        <v>-1.4542217845132654E-2</v>
      </c>
    </row>
    <row r="2389" spans="2:4" ht="14" thickBot="1" x14ac:dyDescent="0.2">
      <c r="B2389" s="251">
        <v>45793</v>
      </c>
      <c r="C2389" s="451">
        <v>82330.59</v>
      </c>
      <c r="D2389" s="261">
        <f t="shared" si="37"/>
        <v>2.4310526622002282E-3</v>
      </c>
    </row>
    <row r="2390" spans="2:4" ht="14" thickBot="1" x14ac:dyDescent="0.2">
      <c r="B2390" s="251">
        <v>45796</v>
      </c>
      <c r="C2390" s="451">
        <v>82059.42</v>
      </c>
      <c r="D2390" s="261">
        <f t="shared" si="37"/>
        <v>3.3045566249432223E-3</v>
      </c>
    </row>
    <row r="2391" spans="2:4" ht="14" thickBot="1" x14ac:dyDescent="0.2">
      <c r="B2391" s="251">
        <v>45797</v>
      </c>
      <c r="C2391" s="451">
        <v>81186.44</v>
      </c>
      <c r="D2391" s="261">
        <f t="shared" si="37"/>
        <v>1.0752780883112933E-2</v>
      </c>
    </row>
    <row r="2392" spans="2:4" ht="14" thickBot="1" x14ac:dyDescent="0.2">
      <c r="B2392" s="251">
        <v>45798</v>
      </c>
      <c r="C2392" s="451">
        <v>81596.63</v>
      </c>
      <c r="D2392" s="261">
        <f t="shared" si="37"/>
        <v>-5.0270458473591351E-3</v>
      </c>
    </row>
    <row r="2393" spans="2:4" ht="14" thickBot="1" x14ac:dyDescent="0.2">
      <c r="B2393" s="251">
        <v>45799</v>
      </c>
      <c r="C2393" s="451">
        <v>80951.990000000005</v>
      </c>
      <c r="D2393" s="261">
        <f t="shared" si="37"/>
        <v>7.9632384577574822E-3</v>
      </c>
    </row>
    <row r="2394" spans="2:4" ht="14" thickBot="1" x14ac:dyDescent="0.2">
      <c r="B2394" s="251">
        <v>45800</v>
      </c>
      <c r="C2394" s="451">
        <v>81721.08</v>
      </c>
      <c r="D2394" s="261">
        <f t="shared" si="37"/>
        <v>-9.4111580512641346E-3</v>
      </c>
    </row>
    <row r="2395" spans="2:4" ht="14" thickBot="1" x14ac:dyDescent="0.2">
      <c r="B2395" s="251">
        <v>45803</v>
      </c>
      <c r="C2395" s="451">
        <v>82176.45</v>
      </c>
      <c r="D2395" s="261">
        <f t="shared" si="37"/>
        <v>-5.5413686037787402E-3</v>
      </c>
    </row>
    <row r="2396" spans="2:4" ht="14" thickBot="1" x14ac:dyDescent="0.2">
      <c r="B2396" s="251">
        <v>45804</v>
      </c>
      <c r="C2396" s="451">
        <v>81551.63</v>
      </c>
      <c r="D2396" s="261">
        <f t="shared" si="37"/>
        <v>7.6616494360688403E-3</v>
      </c>
    </row>
    <row r="2397" spans="2:4" ht="14" thickBot="1" x14ac:dyDescent="0.2">
      <c r="B2397" s="251">
        <v>45805</v>
      </c>
      <c r="C2397" s="451">
        <v>81312.320000000007</v>
      </c>
      <c r="D2397" s="261">
        <f t="shared" si="37"/>
        <v>2.9430964459014053E-3</v>
      </c>
    </row>
    <row r="2398" spans="2:4" ht="14" thickBot="1" x14ac:dyDescent="0.2">
      <c r="B2398" s="251">
        <v>45806</v>
      </c>
      <c r="C2398" s="451">
        <v>81633.02</v>
      </c>
      <c r="D2398" s="261">
        <f t="shared" si="37"/>
        <v>-3.9285573411347308E-3</v>
      </c>
    </row>
    <row r="2399" spans="2:4" ht="14" thickBot="1" x14ac:dyDescent="0.2">
      <c r="B2399" s="251">
        <v>45807</v>
      </c>
      <c r="C2399" s="451">
        <v>81451.009999999995</v>
      </c>
      <c r="D2399" s="261">
        <f t="shared" si="37"/>
        <v>2.2345947582480541E-3</v>
      </c>
    </row>
    <row r="2400" spans="2:4" ht="14" thickBot="1" x14ac:dyDescent="0.2">
      <c r="B2400" s="251">
        <v>45810</v>
      </c>
      <c r="C2400" s="451">
        <v>81373.75</v>
      </c>
      <c r="D2400" s="261">
        <f t="shared" si="37"/>
        <v>9.4944622805259726E-4</v>
      </c>
    </row>
    <row r="2401" spans="2:4" ht="14" thickBot="1" x14ac:dyDescent="0.2">
      <c r="B2401" s="251">
        <v>45811</v>
      </c>
      <c r="C2401" s="451">
        <v>80737.509999999995</v>
      </c>
      <c r="D2401" s="261">
        <f t="shared" si="37"/>
        <v>7.8803520197738841E-3</v>
      </c>
    </row>
    <row r="2402" spans="2:4" ht="14" thickBot="1" x14ac:dyDescent="0.2">
      <c r="B2402" s="251">
        <v>45812</v>
      </c>
      <c r="C2402" s="451">
        <v>80998.25</v>
      </c>
      <c r="D2402" s="261">
        <f t="shared" si="37"/>
        <v>-3.2190818937446464E-3</v>
      </c>
    </row>
    <row r="2403" spans="2:4" ht="14" thickBot="1" x14ac:dyDescent="0.2">
      <c r="B2403" s="251">
        <v>45813</v>
      </c>
      <c r="C2403" s="451">
        <v>81442.039999999994</v>
      </c>
      <c r="D2403" s="261">
        <f t="shared" si="37"/>
        <v>-5.4491513228301924E-3</v>
      </c>
    </row>
    <row r="2404" spans="2:4" ht="14" thickBot="1" x14ac:dyDescent="0.2">
      <c r="B2404" s="251">
        <v>45814</v>
      </c>
      <c r="C2404" s="451">
        <v>82188.990000000005</v>
      </c>
      <c r="D2404" s="261">
        <f t="shared" si="37"/>
        <v>-9.0882002565064735E-3</v>
      </c>
    </row>
    <row r="2405" spans="2:4" ht="14" thickBot="1" x14ac:dyDescent="0.2">
      <c r="B2405" s="251">
        <v>45817</v>
      </c>
      <c r="C2405" s="451">
        <v>82445.210000000006</v>
      </c>
      <c r="D2405" s="261">
        <f t="shared" si="37"/>
        <v>-3.1077608996326056E-3</v>
      </c>
    </row>
    <row r="2406" spans="2:4" ht="14" thickBot="1" x14ac:dyDescent="0.2">
      <c r="B2406" s="251">
        <v>45818</v>
      </c>
      <c r="C2406" s="451">
        <v>82391.72</v>
      </c>
      <c r="D2406" s="261">
        <f t="shared" si="37"/>
        <v>6.4921572216247725E-4</v>
      </c>
    </row>
    <row r="2407" spans="2:4" ht="14" thickBot="1" x14ac:dyDescent="0.2">
      <c r="B2407" s="251">
        <v>45819</v>
      </c>
      <c r="C2407" s="451">
        <v>82515.14</v>
      </c>
      <c r="D2407" s="261">
        <f t="shared" si="37"/>
        <v>-1.4957255117060697E-3</v>
      </c>
    </row>
    <row r="2408" spans="2:4" ht="14" thickBot="1" x14ac:dyDescent="0.2">
      <c r="B2408" s="251">
        <v>45820</v>
      </c>
      <c r="C2408" s="451">
        <v>81691.98</v>
      </c>
      <c r="D2408" s="261">
        <f t="shared" si="37"/>
        <v>1.0076386935412796E-2</v>
      </c>
    </row>
    <row r="2409" spans="2:4" ht="14" thickBot="1" x14ac:dyDescent="0.2">
      <c r="B2409" s="251">
        <v>45821</v>
      </c>
      <c r="C2409" s="451">
        <v>81118.600000000006</v>
      </c>
      <c r="D2409" s="261">
        <f t="shared" si="37"/>
        <v>7.0684158750273784E-3</v>
      </c>
    </row>
    <row r="2410" spans="2:4" ht="14" thickBot="1" x14ac:dyDescent="0.2">
      <c r="B2410" s="251">
        <v>45824</v>
      </c>
      <c r="C2410" s="451">
        <v>81796.149999999994</v>
      </c>
      <c r="D2410" s="261">
        <f t="shared" si="37"/>
        <v>-8.283397201457432E-3</v>
      </c>
    </row>
    <row r="2411" spans="2:4" ht="14" thickBot="1" x14ac:dyDescent="0.2">
      <c r="B2411" s="251">
        <v>45825</v>
      </c>
      <c r="C2411" s="451">
        <v>81583.3</v>
      </c>
      <c r="D2411" s="261">
        <f t="shared" si="37"/>
        <v>2.6089898300263314E-3</v>
      </c>
    </row>
    <row r="2412" spans="2:4" ht="14" thickBot="1" x14ac:dyDescent="0.2">
      <c r="B2412" s="251">
        <v>45826</v>
      </c>
      <c r="C2412" s="451">
        <v>81444.66</v>
      </c>
      <c r="D2412" s="261">
        <f t="shared" si="37"/>
        <v>1.7022601604574916E-3</v>
      </c>
    </row>
    <row r="2413" spans="2:4" ht="14" thickBot="1" x14ac:dyDescent="0.2">
      <c r="B2413" s="251">
        <v>45827</v>
      </c>
      <c r="C2413" s="451">
        <v>81361.87</v>
      </c>
      <c r="D2413" s="261">
        <f t="shared" si="37"/>
        <v>1.0175528168170356E-3</v>
      </c>
    </row>
    <row r="2414" spans="2:4" ht="14" thickBot="1" x14ac:dyDescent="0.2">
      <c r="B2414" s="251">
        <v>45828</v>
      </c>
      <c r="C2414" s="451">
        <v>82408.17</v>
      </c>
      <c r="D2414" s="261">
        <f t="shared" si="37"/>
        <v>-1.2696556664223979E-2</v>
      </c>
    </row>
    <row r="2415" spans="2:4" ht="14" thickBot="1" x14ac:dyDescent="0.2">
      <c r="B2415" s="251">
        <v>45831</v>
      </c>
      <c r="C2415" s="451">
        <v>81896.789999999994</v>
      </c>
      <c r="D2415" s="261">
        <f t="shared" si="37"/>
        <v>6.2442007800307398E-3</v>
      </c>
    </row>
    <row r="2416" spans="2:4" ht="14" thickBot="1" x14ac:dyDescent="0.2">
      <c r="B2416" s="251">
        <v>45832</v>
      </c>
      <c r="C2416" s="451">
        <v>82055.11</v>
      </c>
      <c r="D2416" s="261">
        <f t="shared" si="37"/>
        <v>-1.9294349858285376E-3</v>
      </c>
    </row>
    <row r="2417" spans="2:4" ht="14" thickBot="1" x14ac:dyDescent="0.2">
      <c r="B2417" s="251">
        <v>45833</v>
      </c>
      <c r="C2417" s="451">
        <v>82755.509999999995</v>
      </c>
      <c r="D2417" s="261">
        <f t="shared" si="37"/>
        <v>-8.4634847879010433E-3</v>
      </c>
    </row>
    <row r="2418" spans="2:4" ht="14" thickBot="1" x14ac:dyDescent="0.2">
      <c r="B2418" s="251">
        <v>45834</v>
      </c>
      <c r="C2418" s="451">
        <v>83755.87</v>
      </c>
      <c r="D2418" s="261">
        <f t="shared" si="37"/>
        <v>-1.1943759882143246E-2</v>
      </c>
    </row>
    <row r="2419" spans="2:4" ht="14" thickBot="1" x14ac:dyDescent="0.2">
      <c r="B2419" s="251">
        <v>45835</v>
      </c>
      <c r="C2419" s="451">
        <v>84058.9</v>
      </c>
      <c r="D2419" s="261">
        <f t="shared" si="37"/>
        <v>-3.6049722278068685E-3</v>
      </c>
    </row>
    <row r="2420" spans="2:4" ht="14" thickBot="1" x14ac:dyDescent="0.2">
      <c r="B2420" s="251">
        <v>45838</v>
      </c>
      <c r="C2420" s="451">
        <v>83606.460000000006</v>
      </c>
      <c r="D2420" s="261">
        <f t="shared" si="37"/>
        <v>5.4115435577584137E-3</v>
      </c>
    </row>
    <row r="2421" spans="2:4" ht="14" thickBot="1" x14ac:dyDescent="0.2">
      <c r="B2421" s="251">
        <v>45839</v>
      </c>
      <c r="C2421" s="451">
        <v>83697.289999999994</v>
      </c>
      <c r="D2421" s="261">
        <f t="shared" si="37"/>
        <v>-1.0852203219481327E-3</v>
      </c>
    </row>
    <row r="2422" spans="2:4" ht="14" thickBot="1" x14ac:dyDescent="0.2">
      <c r="B2422" s="251">
        <v>45840</v>
      </c>
      <c r="C2422" s="451">
        <v>83409.69</v>
      </c>
      <c r="D2422" s="261">
        <f t="shared" si="37"/>
        <v>3.4480406293320165E-3</v>
      </c>
    </row>
    <row r="2423" spans="2:4" ht="14" thickBot="1" x14ac:dyDescent="0.2">
      <c r="B2423" s="251">
        <v>45841</v>
      </c>
      <c r="C2423" s="451">
        <v>83239.47</v>
      </c>
      <c r="D2423" s="261">
        <f t="shared" si="37"/>
        <v>2.0449433423830321E-3</v>
      </c>
    </row>
    <row r="2424" spans="2:4" ht="14" thickBot="1" x14ac:dyDescent="0.2">
      <c r="B2424" s="251">
        <v>45842</v>
      </c>
      <c r="C2424" s="451">
        <v>83432.89</v>
      </c>
      <c r="D2424" s="261">
        <f t="shared" si="37"/>
        <v>-2.3182704087081341E-3</v>
      </c>
    </row>
    <row r="2425" spans="2:4" ht="14" thickBot="1" x14ac:dyDescent="0.2">
      <c r="B2425" s="251">
        <v>45845</v>
      </c>
      <c r="C2425" s="451">
        <v>83442.5</v>
      </c>
      <c r="D2425" s="261">
        <f t="shared" si="37"/>
        <v>-1.1516912844178329E-4</v>
      </c>
    </row>
    <row r="2426" spans="2:4" ht="14" thickBot="1" x14ac:dyDescent="0.2">
      <c r="B2426" s="251">
        <v>45846</v>
      </c>
      <c r="C2426" s="451">
        <v>83712.509999999995</v>
      </c>
      <c r="D2426" s="261">
        <f t="shared" si="37"/>
        <v>-3.2254438434589083E-3</v>
      </c>
    </row>
    <row r="2427" spans="2:4" ht="14" thickBot="1" x14ac:dyDescent="0.2">
      <c r="B2427" s="251">
        <v>45847</v>
      </c>
      <c r="C2427" s="451">
        <v>83536.08</v>
      </c>
      <c r="D2427" s="261">
        <f t="shared" si="37"/>
        <v>2.1120215360834749E-3</v>
      </c>
    </row>
    <row r="2428" spans="2:4" ht="14" thickBot="1" x14ac:dyDescent="0.2">
      <c r="B2428" s="251">
        <v>45848</v>
      </c>
      <c r="C2428" s="451">
        <v>83190.28</v>
      </c>
      <c r="D2428" s="261">
        <f t="shared" si="37"/>
        <v>4.1567356186325011E-3</v>
      </c>
    </row>
    <row r="2429" spans="2:4" ht="14" thickBot="1" x14ac:dyDescent="0.2">
      <c r="B2429" s="251">
        <v>45849</v>
      </c>
      <c r="C2429" s="451">
        <v>82500.47</v>
      </c>
      <c r="D2429" s="261">
        <f t="shared" si="37"/>
        <v>8.3612856993420248E-3</v>
      </c>
    </row>
    <row r="2430" spans="2:4" ht="14" thickBot="1" x14ac:dyDescent="0.2">
      <c r="B2430" s="251">
        <v>45852</v>
      </c>
      <c r="C2430" s="451">
        <v>82253.460000000006</v>
      </c>
      <c r="D2430" s="261">
        <f t="shared" si="37"/>
        <v>3.0030347659537604E-3</v>
      </c>
    </row>
    <row r="2431" spans="2:4" ht="14" thickBot="1" x14ac:dyDescent="0.2">
      <c r="B2431" s="251">
        <v>45853</v>
      </c>
      <c r="C2431" s="451">
        <v>82570.91</v>
      </c>
      <c r="D2431" s="261">
        <f t="shared" si="37"/>
        <v>-3.844574318001337E-3</v>
      </c>
    </row>
    <row r="2432" spans="2:4" ht="14" thickBot="1" x14ac:dyDescent="0.2">
      <c r="B2432" s="251">
        <v>45854</v>
      </c>
      <c r="C2432" s="451">
        <v>82634.48</v>
      </c>
      <c r="D2432" s="261">
        <f t="shared" si="37"/>
        <v>-7.6929146283721828E-4</v>
      </c>
    </row>
    <row r="2433" spans="2:4" ht="14" thickBot="1" x14ac:dyDescent="0.2">
      <c r="B2433" s="251">
        <v>45855</v>
      </c>
      <c r="C2433" s="451">
        <v>82259.240000000005</v>
      </c>
      <c r="D2433" s="261">
        <f t="shared" si="37"/>
        <v>4.5616759892261882E-3</v>
      </c>
    </row>
    <row r="2434" spans="2:4" ht="14" thickBot="1" x14ac:dyDescent="0.2">
      <c r="B2434" s="251">
        <v>45856</v>
      </c>
      <c r="C2434" s="451">
        <v>81757.73</v>
      </c>
      <c r="D2434" s="261">
        <f t="shared" si="37"/>
        <v>6.1340988797022877E-3</v>
      </c>
    </row>
    <row r="2435" spans="2:4" ht="14" thickBot="1" x14ac:dyDescent="0.2">
      <c r="B2435" s="251">
        <v>45859</v>
      </c>
      <c r="C2435" s="451">
        <v>82200.34</v>
      </c>
      <c r="D2435" s="261">
        <f t="shared" si="37"/>
        <v>-5.3845276065768166E-3</v>
      </c>
    </row>
    <row r="2436" spans="2:4" ht="14" thickBot="1" x14ac:dyDescent="0.2">
      <c r="B2436" s="251">
        <v>45860</v>
      </c>
      <c r="C2436" s="451">
        <v>82186.81</v>
      </c>
      <c r="D2436" s="261">
        <f t="shared" si="37"/>
        <v>1.6462495624303131E-4</v>
      </c>
    </row>
    <row r="2437" spans="2:4" ht="14" thickBot="1" x14ac:dyDescent="0.2">
      <c r="B2437" s="251">
        <v>45861</v>
      </c>
      <c r="C2437" s="451">
        <v>82726.64</v>
      </c>
      <c r="D2437" s="261">
        <f t="shared" si="37"/>
        <v>-6.5254674914876354E-3</v>
      </c>
    </row>
    <row r="2438" spans="2:4" ht="14" thickBot="1" x14ac:dyDescent="0.2">
      <c r="B2438" s="251">
        <v>45862</v>
      </c>
      <c r="C2438" s="451">
        <v>82184.17</v>
      </c>
      <c r="D2438" s="261">
        <f t="shared" si="37"/>
        <v>6.6006628770480802E-3</v>
      </c>
    </row>
    <row r="2439" spans="2:4" ht="14" thickBot="1" x14ac:dyDescent="0.2">
      <c r="B2439" s="251">
        <v>45863</v>
      </c>
      <c r="C2439" s="451">
        <v>81463.09</v>
      </c>
      <c r="D2439" s="261">
        <f t="shared" si="37"/>
        <v>8.8516161122786929E-3</v>
      </c>
    </row>
    <row r="2440" spans="2:4" ht="14" thickBot="1" x14ac:dyDescent="0.2">
      <c r="B2440" s="251">
        <v>45866</v>
      </c>
      <c r="C2440" s="451">
        <v>80891.02</v>
      </c>
      <c r="D2440" s="261">
        <f t="shared" si="37"/>
        <v>7.0721076332080912E-3</v>
      </c>
    </row>
    <row r="2441" spans="2:4" ht="14" thickBot="1" x14ac:dyDescent="0.2">
      <c r="B2441" s="251">
        <v>45867</v>
      </c>
      <c r="C2441" s="451">
        <v>81337.95</v>
      </c>
      <c r="D2441" s="261">
        <f t="shared" si="37"/>
        <v>-5.4947290901724566E-3</v>
      </c>
    </row>
    <row r="2442" spans="2:4" ht="14" thickBot="1" x14ac:dyDescent="0.2">
      <c r="B2442" s="251">
        <v>45868</v>
      </c>
      <c r="C2442" s="451">
        <v>81481.86</v>
      </c>
      <c r="D2442" s="261">
        <f t="shared" ref="D2442:D2485" si="38">C2441/C2442-1</f>
        <v>-1.7661599772023084E-3</v>
      </c>
    </row>
    <row r="2443" spans="2:4" ht="14" thickBot="1" x14ac:dyDescent="0.2">
      <c r="B2443" s="251">
        <v>45869</v>
      </c>
      <c r="C2443" s="451">
        <v>81185.58</v>
      </c>
      <c r="D2443" s="261">
        <f t="shared" si="38"/>
        <v>3.6494165589504579E-3</v>
      </c>
    </row>
    <row r="2444" spans="2:4" ht="14" thickBot="1" x14ac:dyDescent="0.2">
      <c r="B2444" s="251">
        <v>45870</v>
      </c>
      <c r="C2444" s="451">
        <v>80599.91</v>
      </c>
      <c r="D2444" s="261">
        <f t="shared" si="38"/>
        <v>7.2663852850456401E-3</v>
      </c>
    </row>
    <row r="2445" spans="2:4" ht="14" thickBot="1" x14ac:dyDescent="0.2">
      <c r="B2445" s="251">
        <v>45873</v>
      </c>
      <c r="C2445" s="451">
        <v>81018.720000000001</v>
      </c>
      <c r="D2445" s="261">
        <f t="shared" si="38"/>
        <v>-5.1692991446914416E-3</v>
      </c>
    </row>
    <row r="2446" spans="2:4" ht="14" thickBot="1" x14ac:dyDescent="0.2">
      <c r="B2446" s="251">
        <v>45874</v>
      </c>
      <c r="C2446" s="451">
        <v>80710.25</v>
      </c>
      <c r="D2446" s="261">
        <f t="shared" si="38"/>
        <v>3.821943309554765E-3</v>
      </c>
    </row>
    <row r="2447" spans="2:4" ht="14" thickBot="1" x14ac:dyDescent="0.2">
      <c r="B2447" s="251">
        <v>45875</v>
      </c>
      <c r="C2447" s="451">
        <v>80543.990000000005</v>
      </c>
      <c r="D2447" s="261">
        <f t="shared" si="38"/>
        <v>2.0642136055091242E-3</v>
      </c>
    </row>
    <row r="2448" spans="2:4" ht="14" thickBot="1" x14ac:dyDescent="0.2">
      <c r="B2448" s="251">
        <v>45876</v>
      </c>
      <c r="C2448" s="451">
        <v>80623.259999999995</v>
      </c>
      <c r="D2448" s="261">
        <f t="shared" si="38"/>
        <v>-9.8321501760145757E-4</v>
      </c>
    </row>
    <row r="2449" spans="2:4" ht="14" thickBot="1" x14ac:dyDescent="0.2">
      <c r="B2449" s="251">
        <v>45877</v>
      </c>
      <c r="C2449" s="451">
        <v>79857.789999999994</v>
      </c>
      <c r="D2449" s="261">
        <f t="shared" si="38"/>
        <v>9.5854142720452895E-3</v>
      </c>
    </row>
    <row r="2450" spans="2:4" ht="14" thickBot="1" x14ac:dyDescent="0.2">
      <c r="B2450" s="251">
        <v>45880</v>
      </c>
      <c r="C2450" s="451">
        <v>80604.08</v>
      </c>
      <c r="D2450" s="261">
        <f t="shared" si="38"/>
        <v>-9.2587124621980044E-3</v>
      </c>
    </row>
    <row r="2451" spans="2:4" ht="14" thickBot="1" x14ac:dyDescent="0.2">
      <c r="B2451" s="251">
        <v>45881</v>
      </c>
      <c r="C2451" s="451">
        <v>80235.59</v>
      </c>
      <c r="D2451" s="261">
        <f t="shared" si="38"/>
        <v>4.5926003659972903E-3</v>
      </c>
    </row>
    <row r="2452" spans="2:4" ht="14" thickBot="1" x14ac:dyDescent="0.2">
      <c r="B2452" s="251">
        <v>45882</v>
      </c>
      <c r="C2452" s="451">
        <v>80539.91</v>
      </c>
      <c r="D2452" s="261">
        <f t="shared" si="38"/>
        <v>-3.778499379996858E-3</v>
      </c>
    </row>
    <row r="2453" spans="2:4" ht="14" thickBot="1" x14ac:dyDescent="0.2">
      <c r="B2453" s="251">
        <v>45883</v>
      </c>
      <c r="C2453" s="451">
        <v>80597.66</v>
      </c>
      <c r="D2453" s="261">
        <f t="shared" si="38"/>
        <v>-7.1652204294769817E-4</v>
      </c>
    </row>
    <row r="2454" spans="2:4" ht="14" thickBot="1" x14ac:dyDescent="0.2">
      <c r="B2454" s="251">
        <v>45887</v>
      </c>
      <c r="C2454" s="451">
        <v>81273.75</v>
      </c>
      <c r="D2454" s="261">
        <f t="shared" si="38"/>
        <v>-8.3186760792998138E-3</v>
      </c>
    </row>
    <row r="2455" spans="2:4" ht="14" thickBot="1" x14ac:dyDescent="0.2">
      <c r="B2455" s="251">
        <v>45888</v>
      </c>
      <c r="C2455" s="451">
        <v>81644.39</v>
      </c>
      <c r="D2455" s="261">
        <f t="shared" si="38"/>
        <v>-4.5396872951098954E-3</v>
      </c>
    </row>
    <row r="2456" spans="2:4" ht="14" thickBot="1" x14ac:dyDescent="0.2">
      <c r="B2456" s="251">
        <v>45889</v>
      </c>
      <c r="C2456" s="451">
        <v>81857.84</v>
      </c>
      <c r="D2456" s="261">
        <f t="shared" si="38"/>
        <v>-2.6075694154645834E-3</v>
      </c>
    </row>
    <row r="2457" spans="2:4" ht="14" thickBot="1" x14ac:dyDescent="0.2">
      <c r="B2457" s="251">
        <v>45890</v>
      </c>
      <c r="C2457" s="451">
        <v>82000.710000000006</v>
      </c>
      <c r="D2457" s="261">
        <f t="shared" si="38"/>
        <v>-1.7423019873853418E-3</v>
      </c>
    </row>
    <row r="2458" spans="2:4" ht="14" thickBot="1" x14ac:dyDescent="0.2">
      <c r="B2458" s="251">
        <v>45891</v>
      </c>
      <c r="C2458" s="451">
        <v>81306.850000000006</v>
      </c>
      <c r="D2458" s="261">
        <f t="shared" si="38"/>
        <v>8.5338443193900826E-3</v>
      </c>
    </row>
    <row r="2459" spans="2:4" ht="14" thickBot="1" x14ac:dyDescent="0.2">
      <c r="B2459" s="251">
        <v>45894</v>
      </c>
      <c r="C2459" s="451">
        <v>81635.91</v>
      </c>
      <c r="D2459" s="261">
        <f t="shared" si="38"/>
        <v>-4.0308241801922939E-3</v>
      </c>
    </row>
    <row r="2460" spans="2:4" ht="14" thickBot="1" x14ac:dyDescent="0.2">
      <c r="B2460" s="251">
        <v>45895</v>
      </c>
      <c r="C2460" s="451">
        <v>80786.539999999994</v>
      </c>
      <c r="D2460" s="261">
        <f t="shared" si="38"/>
        <v>1.0513756375752914E-2</v>
      </c>
    </row>
    <row r="2461" spans="2:4" ht="14" thickBot="1" x14ac:dyDescent="0.2">
      <c r="B2461" s="251">
        <v>45897</v>
      </c>
      <c r="C2461" s="451">
        <v>80080.570000000007</v>
      </c>
      <c r="D2461" s="261">
        <f t="shared" si="38"/>
        <v>8.8157464413651798E-3</v>
      </c>
    </row>
    <row r="2462" spans="2:4" ht="14" thickBot="1" x14ac:dyDescent="0.2">
      <c r="B2462" s="251">
        <v>45898</v>
      </c>
      <c r="C2462" s="451">
        <v>79809.649999999994</v>
      </c>
      <c r="D2462" s="261">
        <f t="shared" si="38"/>
        <v>3.394576971581964E-3</v>
      </c>
    </row>
    <row r="2463" spans="2:4" ht="14" thickBot="1" x14ac:dyDescent="0.2">
      <c r="B2463" s="251">
        <v>45901</v>
      </c>
      <c r="C2463" s="451">
        <v>80364.490000000005</v>
      </c>
      <c r="D2463" s="261">
        <f t="shared" si="38"/>
        <v>-6.9040443111131333E-3</v>
      </c>
    </row>
    <row r="2464" spans="2:4" ht="14" thickBot="1" x14ac:dyDescent="0.2">
      <c r="B2464" s="251">
        <v>45902</v>
      </c>
      <c r="C2464" s="451">
        <v>80157.88</v>
      </c>
      <c r="D2464" s="261">
        <f t="shared" si="38"/>
        <v>2.5775382283064197E-3</v>
      </c>
    </row>
    <row r="2465" spans="2:4" ht="14" thickBot="1" x14ac:dyDescent="0.2">
      <c r="B2465" s="251">
        <v>45903</v>
      </c>
      <c r="C2465" s="451">
        <v>80567.710000000006</v>
      </c>
      <c r="D2465" s="261">
        <f t="shared" si="38"/>
        <v>-5.0867773205915956E-3</v>
      </c>
    </row>
    <row r="2466" spans="2:4" ht="14" thickBot="1" x14ac:dyDescent="0.2">
      <c r="B2466" s="251">
        <v>45904</v>
      </c>
      <c r="C2466" s="451">
        <v>80718.009999999995</v>
      </c>
      <c r="D2466" s="261">
        <f t="shared" si="38"/>
        <v>-1.8620379764068273E-3</v>
      </c>
    </row>
    <row r="2467" spans="2:4" ht="14" thickBot="1" x14ac:dyDescent="0.2">
      <c r="B2467" s="251">
        <v>45905</v>
      </c>
      <c r="C2467" s="451">
        <v>80710.759999999995</v>
      </c>
      <c r="D2467" s="261">
        <f t="shared" si="38"/>
        <v>8.9826932617054212E-5</v>
      </c>
    </row>
    <row r="2468" spans="2:4" ht="14" thickBot="1" x14ac:dyDescent="0.2">
      <c r="B2468" s="251">
        <v>45908</v>
      </c>
      <c r="C2468" s="451">
        <v>80787.3</v>
      </c>
      <c r="D2468" s="261">
        <f t="shared" si="38"/>
        <v>-9.4742614247544932E-4</v>
      </c>
    </row>
    <row r="2469" spans="2:4" ht="14" thickBot="1" x14ac:dyDescent="0.2">
      <c r="B2469" s="251">
        <v>45909</v>
      </c>
      <c r="C2469" s="451">
        <v>81101.320000000007</v>
      </c>
      <c r="D2469" s="261">
        <f t="shared" si="38"/>
        <v>-3.8719468437752314E-3</v>
      </c>
    </row>
    <row r="2470" spans="2:4" ht="14" thickBot="1" x14ac:dyDescent="0.2">
      <c r="B2470" s="251">
        <v>45910</v>
      </c>
      <c r="C2470" s="451">
        <v>81425.149999999994</v>
      </c>
      <c r="D2470" s="261">
        <f t="shared" si="38"/>
        <v>-3.9770267540186754E-3</v>
      </c>
    </row>
    <row r="2471" spans="2:4" ht="14" thickBot="1" x14ac:dyDescent="0.2">
      <c r="B2471" s="251">
        <v>45911</v>
      </c>
      <c r="C2471" s="451">
        <v>81548.73</v>
      </c>
      <c r="D2471" s="261">
        <f t="shared" si="38"/>
        <v>-1.5154129316299336E-3</v>
      </c>
    </row>
    <row r="2472" spans="2:4" ht="14" thickBot="1" x14ac:dyDescent="0.2">
      <c r="B2472" s="251">
        <v>45912</v>
      </c>
      <c r="C2472" s="451">
        <v>81904.7</v>
      </c>
      <c r="D2472" s="261">
        <f t="shared" si="38"/>
        <v>-4.3461486337169619E-3</v>
      </c>
    </row>
    <row r="2473" spans="2:4" ht="14" thickBot="1" x14ac:dyDescent="0.2">
      <c r="B2473" s="251">
        <v>45915</v>
      </c>
      <c r="C2473" s="451">
        <v>81785.740000000005</v>
      </c>
      <c r="D2473" s="261">
        <f t="shared" si="38"/>
        <v>1.454532293771349E-3</v>
      </c>
    </row>
    <row r="2474" spans="2:4" ht="14" thickBot="1" x14ac:dyDescent="0.2">
      <c r="B2474" s="251">
        <v>45916</v>
      </c>
      <c r="C2474" s="451">
        <v>82380.69</v>
      </c>
      <c r="D2474" s="261">
        <f t="shared" si="38"/>
        <v>-7.2219594179169233E-3</v>
      </c>
    </row>
    <row r="2475" spans="2:4" ht="14" thickBot="1" x14ac:dyDescent="0.2">
      <c r="B2475" s="251">
        <v>45917</v>
      </c>
      <c r="C2475" s="451">
        <v>82693.710000000006</v>
      </c>
      <c r="D2475" s="261">
        <f t="shared" si="38"/>
        <v>-3.7852939479919856E-3</v>
      </c>
    </row>
    <row r="2476" spans="2:4" ht="14" thickBot="1" x14ac:dyDescent="0.2">
      <c r="B2476" s="251">
        <v>45918</v>
      </c>
      <c r="C2476" s="451">
        <v>83013.960000000006</v>
      </c>
      <c r="D2476" s="261">
        <f t="shared" si="38"/>
        <v>-3.8577848834099315E-3</v>
      </c>
    </row>
    <row r="2477" spans="2:4" ht="14" thickBot="1" x14ac:dyDescent="0.2">
      <c r="B2477" s="251">
        <v>45919</v>
      </c>
      <c r="C2477" s="451">
        <v>82626.23</v>
      </c>
      <c r="D2477" s="261">
        <f t="shared" si="38"/>
        <v>4.6925776475583714E-3</v>
      </c>
    </row>
    <row r="2478" spans="2:4" ht="14" thickBot="1" x14ac:dyDescent="0.2">
      <c r="B2478" s="251">
        <v>45922</v>
      </c>
      <c r="C2478" s="451">
        <v>82159.97</v>
      </c>
      <c r="D2478" s="261">
        <f t="shared" si="38"/>
        <v>5.675026414931672E-3</v>
      </c>
    </row>
    <row r="2479" spans="2:4" ht="14" thickBot="1" x14ac:dyDescent="0.2">
      <c r="B2479" s="251">
        <v>45923</v>
      </c>
      <c r="C2479" s="451">
        <v>82102.100000000006</v>
      </c>
      <c r="D2479" s="261">
        <f t="shared" si="38"/>
        <v>7.0485407803211331E-4</v>
      </c>
    </row>
    <row r="2480" spans="2:4" ht="14" thickBot="1" x14ac:dyDescent="0.2">
      <c r="B2480" s="251">
        <v>45924</v>
      </c>
      <c r="C2480" s="451">
        <v>81715.63</v>
      </c>
      <c r="D2480" s="261">
        <f t="shared" si="38"/>
        <v>4.7294501676118372E-3</v>
      </c>
    </row>
    <row r="2481" spans="2:4" ht="14" thickBot="1" x14ac:dyDescent="0.2">
      <c r="B2481" s="251">
        <v>45925</v>
      </c>
      <c r="C2481" s="451">
        <v>81159.679999999993</v>
      </c>
      <c r="D2481" s="261">
        <f t="shared" si="38"/>
        <v>6.8500762940417737E-3</v>
      </c>
    </row>
    <row r="2482" spans="2:4" ht="14" thickBot="1" x14ac:dyDescent="0.2">
      <c r="B2482" s="251">
        <v>45926</v>
      </c>
      <c r="C2482" s="451">
        <v>80426.460000000006</v>
      </c>
      <c r="D2482" s="261">
        <f t="shared" si="38"/>
        <v>9.1166514104934482E-3</v>
      </c>
    </row>
    <row r="2483" spans="2:4" ht="14" thickBot="1" x14ac:dyDescent="0.2">
      <c r="B2483" s="251">
        <v>45929</v>
      </c>
      <c r="C2483" s="451">
        <v>80364.94</v>
      </c>
      <c r="D2483" s="261">
        <f t="shared" si="38"/>
        <v>7.6550794413599021E-4</v>
      </c>
    </row>
    <row r="2484" spans="2:4" ht="14" thickBot="1" x14ac:dyDescent="0.2">
      <c r="B2484" s="251">
        <v>45930</v>
      </c>
      <c r="C2484" s="451">
        <v>80267.62</v>
      </c>
      <c r="D2484" s="261">
        <f t="shared" si="38"/>
        <v>1.2124440714700313E-3</v>
      </c>
    </row>
    <row r="2485" spans="2:4" ht="14" thickBot="1" x14ac:dyDescent="0.2">
      <c r="B2485" s="251">
        <v>45931</v>
      </c>
      <c r="C2485" s="451">
        <v>80983.31</v>
      </c>
      <c r="D2485" s="261">
        <f t="shared" si="38"/>
        <v>-8.8374999737600435E-3</v>
      </c>
    </row>
    <row r="2486" spans="2:4" x14ac:dyDescent="0.15">
      <c r="B2486" s="283"/>
      <c r="C2486" s="452"/>
      <c r="D2486" s="284"/>
    </row>
    <row r="2487" spans="2:4" ht="15" x14ac:dyDescent="0.2">
      <c r="B2487" s="255" t="s">
        <v>266</v>
      </c>
      <c r="C2487" s="256" t="s">
        <v>376</v>
      </c>
    </row>
    <row r="2488" spans="2:4" ht="15" x14ac:dyDescent="0.2">
      <c r="B2488" s="255"/>
      <c r="C2488" s="256"/>
    </row>
    <row r="2489" spans="2:4" ht="15" x14ac:dyDescent="0.2">
      <c r="B2489" s="255" t="s">
        <v>265</v>
      </c>
      <c r="C2489" s="424">
        <f>YEARFRAC(B8,B2485)</f>
        <v>10</v>
      </c>
    </row>
    <row r="2490" spans="2:4" ht="15" x14ac:dyDescent="0.2">
      <c r="B2490" s="255"/>
      <c r="C2490" s="257"/>
    </row>
    <row r="2491" spans="2:4" ht="15" x14ac:dyDescent="0.2">
      <c r="B2491" s="255" t="s">
        <v>221</v>
      </c>
      <c r="C2491" s="425">
        <f>RATE(C2489,0,-C8,C2485)</f>
        <v>0.11937269813830663</v>
      </c>
    </row>
  </sheetData>
  <autoFilter ref="B7:D7" xr:uid="{00000000-0001-0000-0F00-000000000000}"/>
  <conditionalFormatting sqref="C2486">
    <cfRule type="expression" dxfId="2" priority="4">
      <formula>$C$10&gt;$C$9</formula>
    </cfRule>
  </conditionalFormatting>
  <conditionalFormatting sqref="D8:D2486">
    <cfRule type="cellIs" dxfId="1" priority="5" operator="greaterThan">
      <formula>0</formula>
    </cfRule>
    <cfRule type="cellIs" dxfId="0" priority="6" operator="lessThan">
      <formula>0</formula>
    </cfRule>
  </conditionalFormatting>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974AA-EF5C-4849-8C25-6940E3C7AD6A}">
  <sheetPr codeName="Sheet19">
    <tabColor rgb="FF92D050"/>
  </sheetPr>
  <dimension ref="A1:P29"/>
  <sheetViews>
    <sheetView showGridLines="0" zoomScale="110" workbookViewId="0">
      <selection activeCell="H13" sqref="H13"/>
    </sheetView>
  </sheetViews>
  <sheetFormatPr baseColWidth="10" defaultColWidth="9" defaultRowHeight="15" x14ac:dyDescent="0.2"/>
  <cols>
    <col min="1" max="2" width="1.1640625" style="256" customWidth="1"/>
    <col min="3" max="3" width="1.1640625" style="331" customWidth="1"/>
    <col min="4" max="4" width="40.6640625" style="329" customWidth="1"/>
    <col min="5" max="6" width="12.6640625" style="329" customWidth="1"/>
    <col min="7" max="7" width="2.6640625" style="329" customWidth="1"/>
    <col min="8" max="8" width="19.33203125" style="330" customWidth="1"/>
    <col min="9" max="11" width="11.6640625" style="329" customWidth="1"/>
    <col min="12" max="16" width="11.6640625" style="256" customWidth="1"/>
    <col min="17" max="16384" width="9" style="256"/>
  </cols>
  <sheetData>
    <row r="1" spans="1:16" ht="33" x14ac:dyDescent="0.4">
      <c r="A1" s="351"/>
      <c r="B1" s="276"/>
      <c r="C1" s="276"/>
      <c r="D1" s="276"/>
      <c r="E1" s="276"/>
      <c r="F1" s="276"/>
      <c r="G1" s="276"/>
      <c r="H1" s="276"/>
      <c r="I1" s="276"/>
      <c r="J1" s="276"/>
      <c r="K1" s="276"/>
      <c r="L1" s="276"/>
      <c r="M1" s="276"/>
      <c r="N1" s="276"/>
      <c r="O1" s="276"/>
      <c r="P1" s="276"/>
    </row>
    <row r="2" spans="1:16" ht="16" x14ac:dyDescent="0.2">
      <c r="A2" s="352"/>
      <c r="B2" s="276"/>
      <c r="C2" s="276"/>
      <c r="D2" s="276"/>
      <c r="E2" s="276"/>
      <c r="F2" s="276"/>
      <c r="G2" s="276"/>
      <c r="H2" s="276"/>
      <c r="I2" s="276"/>
      <c r="J2" s="276"/>
      <c r="K2" s="276"/>
      <c r="L2" s="276"/>
      <c r="M2" s="276"/>
      <c r="N2" s="276"/>
      <c r="O2" s="276"/>
      <c r="P2" s="276"/>
    </row>
    <row r="5" spans="1:16" x14ac:dyDescent="0.2">
      <c r="C5" s="256"/>
      <c r="D5" s="347" t="s">
        <v>330</v>
      </c>
      <c r="E5" s="348"/>
      <c r="F5" s="348"/>
      <c r="G5" s="348"/>
      <c r="H5" s="349" t="s">
        <v>268</v>
      </c>
      <c r="I5" s="350" t="s">
        <v>331</v>
      </c>
      <c r="J5" s="350" t="s">
        <v>270</v>
      </c>
      <c r="K5" s="350" t="s">
        <v>272</v>
      </c>
      <c r="L5" s="350" t="s">
        <v>273</v>
      </c>
      <c r="M5" s="350" t="s">
        <v>278</v>
      </c>
      <c r="N5" s="314" t="s">
        <v>14</v>
      </c>
      <c r="O5" s="350" t="s">
        <v>332</v>
      </c>
      <c r="P5" s="350" t="s">
        <v>333</v>
      </c>
    </row>
    <row r="6" spans="1:16" s="316" customFormat="1" ht="16" x14ac:dyDescent="0.2">
      <c r="D6" s="273" t="s">
        <v>334</v>
      </c>
      <c r="H6" s="273" t="s">
        <v>340</v>
      </c>
      <c r="I6" s="273">
        <f>Assumptions!C14</f>
        <v>2200.6</v>
      </c>
      <c r="J6" s="268">
        <v>3.0939893999999999</v>
      </c>
      <c r="K6" s="445">
        <v>583</v>
      </c>
      <c r="L6" s="273">
        <v>461.47</v>
      </c>
      <c r="M6" s="445">
        <v>3455.23</v>
      </c>
      <c r="N6" s="445">
        <v>546.45000000000005</v>
      </c>
      <c r="O6" s="445">
        <v>376</v>
      </c>
      <c r="P6" s="21">
        <v>0.18</v>
      </c>
    </row>
    <row r="7" spans="1:16" s="316" customFormat="1" ht="16" x14ac:dyDescent="0.2">
      <c r="D7" s="321"/>
      <c r="E7" s="322"/>
      <c r="F7" s="322"/>
      <c r="G7" s="322"/>
      <c r="H7" s="323"/>
      <c r="I7" s="324"/>
      <c r="J7" s="444"/>
      <c r="K7" s="353"/>
      <c r="L7" s="447"/>
      <c r="M7" s="448"/>
      <c r="N7" s="449"/>
      <c r="O7" s="449"/>
      <c r="P7" s="354"/>
    </row>
    <row r="8" spans="1:16" s="316" customFormat="1" ht="16" x14ac:dyDescent="0.2">
      <c r="D8" s="273" t="s">
        <v>335</v>
      </c>
      <c r="H8" s="273" t="s">
        <v>335</v>
      </c>
      <c r="I8" s="273">
        <v>2915.1</v>
      </c>
      <c r="J8" s="268">
        <v>361.81</v>
      </c>
      <c r="K8" s="445">
        <v>9392</v>
      </c>
      <c r="L8" s="273">
        <v>15463</v>
      </c>
      <c r="M8" s="445">
        <v>255324</v>
      </c>
      <c r="N8" s="445">
        <v>67407</v>
      </c>
      <c r="O8" s="445">
        <v>48797</v>
      </c>
      <c r="P8" s="21">
        <v>0.25</v>
      </c>
    </row>
    <row r="9" spans="1:16" s="316" customFormat="1" ht="16" x14ac:dyDescent="0.2">
      <c r="D9" s="273" t="s">
        <v>336</v>
      </c>
      <c r="H9" s="273" t="s">
        <v>341</v>
      </c>
      <c r="I9" s="273">
        <v>1447.9</v>
      </c>
      <c r="J9" s="268">
        <v>415.44</v>
      </c>
      <c r="K9" s="445">
        <v>8227</v>
      </c>
      <c r="L9" s="273">
        <v>24455</v>
      </c>
      <c r="M9" s="445">
        <v>162990</v>
      </c>
      <c r="N9" s="445">
        <v>39236</v>
      </c>
      <c r="O9" s="445">
        <v>26750</v>
      </c>
      <c r="P9" s="21">
        <v>0.28999999999999998</v>
      </c>
    </row>
    <row r="10" spans="1:16" s="316" customFormat="1" ht="16" x14ac:dyDescent="0.2">
      <c r="D10" s="273" t="s">
        <v>337</v>
      </c>
      <c r="H10" s="273" t="s">
        <v>342</v>
      </c>
      <c r="I10" s="273">
        <v>1391</v>
      </c>
      <c r="J10" s="268">
        <v>271.37</v>
      </c>
      <c r="K10" s="445">
        <v>6276</v>
      </c>
      <c r="L10" s="273">
        <v>21289</v>
      </c>
      <c r="M10" s="445">
        <v>117055</v>
      </c>
      <c r="N10" s="445">
        <v>25504</v>
      </c>
      <c r="O10" s="445">
        <v>17399</v>
      </c>
      <c r="P10" s="21">
        <v>0.25</v>
      </c>
    </row>
    <row r="11" spans="1:16" s="316" customFormat="1" ht="16" x14ac:dyDescent="0.2">
      <c r="D11" s="273" t="s">
        <v>338</v>
      </c>
      <c r="H11" s="273" t="s">
        <v>343</v>
      </c>
      <c r="I11" s="273">
        <v>241.8</v>
      </c>
      <c r="J11" s="268">
        <v>1048.33</v>
      </c>
      <c r="K11" s="445">
        <v>19204</v>
      </c>
      <c r="L11" s="273">
        <v>12197</v>
      </c>
      <c r="M11" s="445">
        <v>89088</v>
      </c>
      <c r="N11" s="445">
        <v>18021</v>
      </c>
      <c r="O11" s="445">
        <v>13218</v>
      </c>
      <c r="P11" s="21">
        <v>0.24</v>
      </c>
    </row>
    <row r="12" spans="1:16" s="316" customFormat="1" ht="16" x14ac:dyDescent="0.2">
      <c r="D12" s="273" t="s">
        <v>347</v>
      </c>
      <c r="H12" s="273" t="s">
        <v>344</v>
      </c>
      <c r="I12" s="273">
        <v>5134.5</v>
      </c>
      <c r="J12" s="268">
        <v>29.64</v>
      </c>
      <c r="K12" s="445">
        <v>2187</v>
      </c>
      <c r="L12" s="273">
        <v>3588.2</v>
      </c>
      <c r="M12" s="445">
        <v>38008</v>
      </c>
      <c r="N12" s="445">
        <v>6495</v>
      </c>
      <c r="O12" s="445">
        <v>4602</v>
      </c>
      <c r="P12" s="21">
        <v>0.26</v>
      </c>
    </row>
    <row r="13" spans="1:16" s="316" customFormat="1" ht="16" x14ac:dyDescent="0.2">
      <c r="D13" s="273" t="s">
        <v>339</v>
      </c>
      <c r="H13" s="273" t="s">
        <v>345</v>
      </c>
      <c r="I13" s="273">
        <v>1418</v>
      </c>
      <c r="J13" s="268">
        <v>97.93</v>
      </c>
      <c r="K13" s="445">
        <v>2025</v>
      </c>
      <c r="L13" s="273">
        <v>4542.2</v>
      </c>
      <c r="M13" s="445">
        <v>52988</v>
      </c>
      <c r="N13" s="445">
        <v>6964</v>
      </c>
      <c r="O13" s="445">
        <v>4253</v>
      </c>
      <c r="P13" s="21">
        <v>0.25</v>
      </c>
    </row>
    <row r="14" spans="1:16" s="316" customFormat="1" ht="16" x14ac:dyDescent="0.2">
      <c r="D14" s="273" t="s">
        <v>348</v>
      </c>
      <c r="H14" s="273" t="s">
        <v>346</v>
      </c>
      <c r="I14" s="273">
        <v>4960</v>
      </c>
      <c r="J14" s="268">
        <v>15.64</v>
      </c>
      <c r="K14" s="445">
        <v>311</v>
      </c>
      <c r="L14" s="273">
        <v>1025.47</v>
      </c>
      <c r="M14" s="445">
        <v>11939</v>
      </c>
      <c r="N14" s="445">
        <v>2058</v>
      </c>
      <c r="O14" s="445">
        <v>1400</v>
      </c>
      <c r="P14" s="21">
        <v>0.23</v>
      </c>
    </row>
    <row r="15" spans="1:16" s="316" customFormat="1" ht="16" x14ac:dyDescent="0.2">
      <c r="D15" s="317"/>
      <c r="H15" s="317"/>
      <c r="I15" s="318"/>
      <c r="J15" s="319"/>
      <c r="K15" s="319"/>
      <c r="L15" s="319"/>
      <c r="M15" s="319"/>
      <c r="N15" s="319"/>
      <c r="O15" s="319"/>
      <c r="P15" s="320"/>
    </row>
    <row r="16" spans="1:16" s="316" customFormat="1" ht="16" x14ac:dyDescent="0.2">
      <c r="D16" s="325"/>
      <c r="H16" s="326"/>
      <c r="I16" s="325"/>
      <c r="J16" s="325"/>
      <c r="M16" s="327"/>
      <c r="N16" s="327"/>
      <c r="O16" s="325"/>
      <c r="P16" s="328"/>
    </row>
    <row r="17" spans="1:16" ht="16" x14ac:dyDescent="0.2">
      <c r="B17" s="446" t="s">
        <v>459</v>
      </c>
      <c r="C17" s="273"/>
      <c r="D17" s="273"/>
      <c r="J17" s="317"/>
      <c r="L17" s="325"/>
    </row>
    <row r="18" spans="1:16" ht="16" x14ac:dyDescent="0.2">
      <c r="J18" s="317"/>
      <c r="L18" s="329"/>
      <c r="M18" s="329"/>
      <c r="O18" s="329"/>
      <c r="P18" s="329"/>
    </row>
    <row r="19" spans="1:16" ht="16" x14ac:dyDescent="0.2">
      <c r="I19" s="317"/>
      <c r="J19" s="317"/>
      <c r="K19" s="332"/>
      <c r="M19" s="333"/>
    </row>
    <row r="20" spans="1:16" x14ac:dyDescent="0.2">
      <c r="A20" s="334"/>
      <c r="B20" s="334"/>
      <c r="C20" s="335"/>
      <c r="D20" s="336"/>
      <c r="E20" s="334"/>
      <c r="F20" s="334"/>
      <c r="G20" s="334"/>
      <c r="H20" s="337"/>
      <c r="I20" s="338"/>
      <c r="J20" s="338"/>
      <c r="K20" s="338"/>
      <c r="L20" s="338"/>
      <c r="M20" s="338"/>
      <c r="N20" s="339"/>
      <c r="O20" s="338"/>
      <c r="P20" s="338"/>
    </row>
    <row r="21" spans="1:16" ht="16" x14ac:dyDescent="0.2">
      <c r="A21" s="334"/>
      <c r="B21" s="334"/>
      <c r="C21" s="335"/>
      <c r="D21" s="340"/>
      <c r="E21" s="341"/>
      <c r="F21" s="341"/>
      <c r="G21" s="341"/>
      <c r="H21" s="340"/>
      <c r="I21" s="342"/>
      <c r="J21" s="343"/>
      <c r="K21" s="343"/>
      <c r="L21" s="343"/>
      <c r="M21" s="343"/>
      <c r="N21" s="343"/>
      <c r="O21" s="343"/>
      <c r="P21" s="344"/>
    </row>
    <row r="22" spans="1:16" ht="16" x14ac:dyDescent="0.2">
      <c r="A22" s="334"/>
      <c r="B22" s="334"/>
      <c r="C22" s="335"/>
      <c r="D22" s="345"/>
      <c r="E22" s="341"/>
      <c r="F22" s="341"/>
      <c r="G22" s="341"/>
      <c r="H22" s="345"/>
      <c r="I22" s="342"/>
      <c r="J22" s="346"/>
      <c r="K22" s="346"/>
      <c r="L22" s="346"/>
      <c r="M22" s="346"/>
      <c r="N22" s="346"/>
      <c r="O22" s="346"/>
      <c r="P22" s="344"/>
    </row>
    <row r="23" spans="1:16" ht="16" x14ac:dyDescent="0.2">
      <c r="A23" s="334"/>
      <c r="B23" s="334"/>
      <c r="C23" s="335"/>
      <c r="D23" s="340"/>
      <c r="E23" s="341"/>
      <c r="F23" s="341"/>
      <c r="G23" s="341"/>
      <c r="H23" s="345"/>
      <c r="I23" s="342"/>
      <c r="J23" s="343"/>
      <c r="K23" s="343"/>
      <c r="L23" s="343"/>
      <c r="M23" s="343"/>
      <c r="N23" s="343"/>
      <c r="O23" s="343"/>
      <c r="P23" s="344"/>
    </row>
    <row r="24" spans="1:16" ht="16" x14ac:dyDescent="0.2">
      <c r="A24" s="334"/>
      <c r="B24" s="334"/>
      <c r="C24" s="335"/>
      <c r="D24" s="340"/>
      <c r="E24" s="341"/>
      <c r="F24" s="341"/>
      <c r="G24" s="341"/>
      <c r="H24" s="340"/>
      <c r="I24" s="342"/>
      <c r="J24" s="343"/>
      <c r="K24" s="343"/>
      <c r="L24" s="343"/>
      <c r="M24" s="343"/>
      <c r="N24" s="343"/>
      <c r="O24" s="343"/>
      <c r="P24" s="344"/>
    </row>
    <row r="25" spans="1:16" ht="16" x14ac:dyDescent="0.2">
      <c r="A25" s="334"/>
      <c r="B25" s="334"/>
      <c r="C25" s="335"/>
      <c r="D25" s="340"/>
      <c r="E25" s="341"/>
      <c r="F25" s="341"/>
      <c r="G25" s="341"/>
      <c r="H25" s="340"/>
      <c r="I25" s="342"/>
      <c r="J25" s="343"/>
      <c r="K25" s="343"/>
      <c r="L25" s="343"/>
      <c r="M25" s="343"/>
      <c r="N25" s="343"/>
      <c r="O25" s="343"/>
      <c r="P25" s="344"/>
    </row>
    <row r="26" spans="1:16" ht="16" x14ac:dyDescent="0.2">
      <c r="A26" s="334"/>
      <c r="B26" s="334"/>
      <c r="C26" s="335"/>
      <c r="D26" s="340"/>
      <c r="E26" s="341"/>
      <c r="F26" s="341"/>
      <c r="G26" s="341"/>
      <c r="H26" s="340"/>
      <c r="I26" s="342"/>
      <c r="J26" s="343"/>
      <c r="K26" s="343"/>
      <c r="L26" s="343"/>
      <c r="M26" s="343"/>
      <c r="N26" s="343"/>
      <c r="O26" s="343"/>
      <c r="P26" s="344"/>
    </row>
    <row r="27" spans="1:16" ht="16" x14ac:dyDescent="0.2">
      <c r="A27" s="334"/>
      <c r="B27" s="334"/>
      <c r="C27" s="335"/>
      <c r="D27" s="340"/>
      <c r="E27" s="341"/>
      <c r="F27" s="341"/>
      <c r="G27" s="341"/>
      <c r="H27" s="340"/>
      <c r="I27" s="342"/>
      <c r="J27" s="343"/>
      <c r="K27" s="343"/>
      <c r="L27" s="343"/>
      <c r="M27" s="343"/>
      <c r="N27" s="343"/>
      <c r="O27" s="343"/>
      <c r="P27" s="344"/>
    </row>
    <row r="28" spans="1:16" ht="16" x14ac:dyDescent="0.2">
      <c r="A28" s="334"/>
      <c r="B28" s="334"/>
      <c r="C28" s="335"/>
      <c r="D28" s="340"/>
      <c r="E28" s="341"/>
      <c r="F28" s="341"/>
      <c r="G28" s="341"/>
      <c r="H28" s="340"/>
      <c r="I28" s="342"/>
      <c r="J28" s="343"/>
      <c r="K28" s="343"/>
      <c r="L28" s="343"/>
      <c r="M28" s="343"/>
      <c r="N28" s="343"/>
      <c r="O28" s="343"/>
      <c r="P28" s="344"/>
    </row>
    <row r="29" spans="1:16" ht="16" x14ac:dyDescent="0.2">
      <c r="A29" s="334"/>
      <c r="B29" s="334"/>
      <c r="C29" s="335"/>
      <c r="D29" s="340"/>
      <c r="E29" s="341"/>
      <c r="F29" s="341"/>
      <c r="G29" s="341"/>
      <c r="H29" s="340"/>
      <c r="I29" s="342"/>
      <c r="J29" s="343"/>
      <c r="K29" s="343"/>
      <c r="L29" s="343"/>
      <c r="M29" s="343"/>
      <c r="N29" s="343"/>
      <c r="O29" s="343"/>
      <c r="P29" s="344"/>
    </row>
  </sheetData>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74AFA-509A-B642-8938-B51449DEAB90}">
  <sheetPr codeName="Sheet20">
    <tabColor rgb="FF92D050"/>
  </sheetPr>
  <dimension ref="A6:R29"/>
  <sheetViews>
    <sheetView showGridLines="0" topLeftCell="G1" workbookViewId="0">
      <selection activeCell="K14" sqref="K14"/>
    </sheetView>
  </sheetViews>
  <sheetFormatPr baseColWidth="10" defaultColWidth="8.83203125" defaultRowHeight="14" x14ac:dyDescent="0.15"/>
  <cols>
    <col min="1" max="1" width="6.33203125" style="2" customWidth="1"/>
    <col min="2" max="2" width="20" style="2" bestFit="1" customWidth="1"/>
    <col min="3" max="3" width="15.1640625" style="2" customWidth="1"/>
    <col min="4" max="4" width="11.33203125" style="2" bestFit="1" customWidth="1"/>
    <col min="5" max="5" width="14" style="2" bestFit="1" customWidth="1"/>
    <col min="6" max="6" width="12.5" style="2" bestFit="1" customWidth="1"/>
    <col min="7" max="7" width="11.33203125" style="2" bestFit="1" customWidth="1"/>
    <col min="8" max="8" width="12.83203125" style="2" bestFit="1" customWidth="1"/>
    <col min="9" max="9" width="12.6640625" style="2" bestFit="1" customWidth="1"/>
    <col min="10" max="10" width="11.33203125" style="2" customWidth="1"/>
    <col min="11" max="11" width="11.33203125" style="2" bestFit="1" customWidth="1"/>
    <col min="12" max="13" width="12.1640625" style="2" bestFit="1" customWidth="1"/>
    <col min="14" max="14" width="12.1640625" style="2" customWidth="1"/>
    <col min="15" max="16" width="12.1640625" style="2" bestFit="1" customWidth="1"/>
    <col min="17" max="17" width="13.1640625" style="2" bestFit="1" customWidth="1"/>
    <col min="18" max="16384" width="8.83203125" style="2"/>
  </cols>
  <sheetData>
    <row r="6" spans="2:17" ht="14" customHeight="1" x14ac:dyDescent="0.15">
      <c r="P6" s="507" t="s">
        <v>64</v>
      </c>
      <c r="Q6" s="507"/>
    </row>
    <row r="7" spans="2:17" ht="16" x14ac:dyDescent="0.2">
      <c r="B7" s="542" t="s">
        <v>387</v>
      </c>
      <c r="C7" s="543"/>
      <c r="D7" s="543"/>
      <c r="E7" s="543"/>
      <c r="F7" s="543"/>
      <c r="G7" s="543"/>
      <c r="H7" s="543"/>
      <c r="I7" s="543"/>
      <c r="J7" s="543"/>
      <c r="K7" s="543"/>
      <c r="L7" s="543"/>
      <c r="M7" s="543"/>
      <c r="N7" s="543"/>
      <c r="O7" s="543"/>
      <c r="P7" s="543"/>
      <c r="Q7" s="543"/>
    </row>
    <row r="8" spans="2:17" ht="16" customHeight="1" x14ac:dyDescent="0.2">
      <c r="B8" s="293"/>
      <c r="C8" s="293"/>
      <c r="D8" s="539" t="s">
        <v>284</v>
      </c>
      <c r="E8" s="539"/>
      <c r="F8" s="539"/>
      <c r="G8" s="539"/>
      <c r="H8" s="539"/>
      <c r="I8" s="539"/>
      <c r="J8" s="298"/>
      <c r="K8" s="547" t="s">
        <v>285</v>
      </c>
      <c r="L8" s="547"/>
      <c r="M8" s="547"/>
      <c r="N8" s="298"/>
      <c r="O8" s="547" t="s">
        <v>286</v>
      </c>
      <c r="P8" s="547"/>
      <c r="Q8" s="547"/>
    </row>
    <row r="9" spans="2:17" x14ac:dyDescent="0.15">
      <c r="B9" s="544" t="s">
        <v>267</v>
      </c>
      <c r="C9" s="545" t="s">
        <v>268</v>
      </c>
      <c r="D9" s="546" t="s">
        <v>269</v>
      </c>
      <c r="E9" s="263" t="s">
        <v>270</v>
      </c>
      <c r="F9" s="263" t="s">
        <v>271</v>
      </c>
      <c r="G9" s="263" t="s">
        <v>272</v>
      </c>
      <c r="H9" s="263" t="s">
        <v>273</v>
      </c>
      <c r="I9" s="263" t="s">
        <v>274</v>
      </c>
      <c r="J9" s="10"/>
      <c r="K9" s="269" t="s">
        <v>278</v>
      </c>
      <c r="L9" s="269" t="s">
        <v>14</v>
      </c>
      <c r="M9" s="269" t="s">
        <v>279</v>
      </c>
      <c r="N9" s="266"/>
      <c r="O9" s="269" t="s">
        <v>280</v>
      </c>
      <c r="P9" s="269" t="s">
        <v>281</v>
      </c>
      <c r="Q9" s="269" t="s">
        <v>282</v>
      </c>
    </row>
    <row r="10" spans="2:17" ht="14" customHeight="1" x14ac:dyDescent="0.15">
      <c r="B10" s="544"/>
      <c r="C10" s="545"/>
      <c r="D10" s="546"/>
      <c r="E10" s="279" t="s">
        <v>275</v>
      </c>
      <c r="F10" s="279" t="s">
        <v>276</v>
      </c>
      <c r="G10" s="279" t="s">
        <v>276</v>
      </c>
      <c r="H10" s="263" t="s">
        <v>277</v>
      </c>
      <c r="I10" s="279" t="s">
        <v>276</v>
      </c>
      <c r="J10" s="280"/>
      <c r="K10" s="281" t="s">
        <v>276</v>
      </c>
      <c r="L10" s="281" t="s">
        <v>276</v>
      </c>
      <c r="M10" s="281" t="s">
        <v>276</v>
      </c>
      <c r="N10" s="282"/>
      <c r="O10" s="281" t="s">
        <v>283</v>
      </c>
      <c r="P10" s="281" t="s">
        <v>283</v>
      </c>
      <c r="Q10" s="281" t="s">
        <v>283</v>
      </c>
    </row>
    <row r="11" spans="2:17" ht="16" x14ac:dyDescent="0.15">
      <c r="B11" s="2" t="str">
        <f>'Comps Data'!D8</f>
        <v>TCS</v>
      </c>
      <c r="C11" s="267" t="str">
        <f>'Comps Data'!H8</f>
        <v>TCS</v>
      </c>
      <c r="D11" s="272">
        <f>'Comps Data'!I8</f>
        <v>2915.1</v>
      </c>
      <c r="E11" s="268">
        <f>'Comps Data'!J8</f>
        <v>361.81</v>
      </c>
      <c r="F11" s="270">
        <f t="shared" ref="F11:F17" si="0">PRODUCT(D11:E11)</f>
        <v>1054712.331</v>
      </c>
      <c r="G11" s="273">
        <f>'Comps Data'!K8</f>
        <v>9392</v>
      </c>
      <c r="H11" s="273">
        <f>'Comps Data'!L8</f>
        <v>15463</v>
      </c>
      <c r="I11" s="270">
        <f t="shared" ref="I11:I17" si="1">SUM(F11:G11)-H11</f>
        <v>1048641.331</v>
      </c>
      <c r="K11" s="273">
        <f>'Comps Data'!M8</f>
        <v>255324</v>
      </c>
      <c r="L11" s="273">
        <f>'Comps Data'!N8</f>
        <v>67407</v>
      </c>
      <c r="M11" s="273">
        <f>'Comps Data'!O8</f>
        <v>48797</v>
      </c>
      <c r="O11" s="274">
        <f>I11/K11</f>
        <v>4.1071005115069479</v>
      </c>
      <c r="P11" s="274">
        <f>I11/L11</f>
        <v>15.556861023335856</v>
      </c>
      <c r="Q11" s="274">
        <f>F11/M11</f>
        <v>21.614286349570669</v>
      </c>
    </row>
    <row r="12" spans="2:17" ht="16" x14ac:dyDescent="0.15">
      <c r="B12" s="2" t="str">
        <f>'Comps Data'!D9</f>
        <v>Infosys</v>
      </c>
      <c r="C12" s="267" t="str">
        <f>'Comps Data'!H9</f>
        <v>INFOSYS</v>
      </c>
      <c r="D12" s="272">
        <f>'Comps Data'!I9</f>
        <v>1447.9</v>
      </c>
      <c r="E12" s="268">
        <f>'Comps Data'!J9</f>
        <v>415.44</v>
      </c>
      <c r="F12" s="270">
        <f t="shared" si="0"/>
        <v>601515.576</v>
      </c>
      <c r="G12" s="273">
        <f>'Comps Data'!K9</f>
        <v>8227</v>
      </c>
      <c r="H12" s="273">
        <f>'Comps Data'!L9</f>
        <v>24455</v>
      </c>
      <c r="I12" s="270">
        <f t="shared" si="1"/>
        <v>585287.576</v>
      </c>
      <c r="J12" s="264"/>
      <c r="K12" s="273">
        <f>'Comps Data'!M9</f>
        <v>162990</v>
      </c>
      <c r="L12" s="273">
        <f>'Comps Data'!N9</f>
        <v>39236</v>
      </c>
      <c r="M12" s="273">
        <f>'Comps Data'!O9</f>
        <v>26750</v>
      </c>
      <c r="N12" s="264"/>
      <c r="O12" s="274">
        <f t="shared" ref="O12:O17" si="2">I12/K12</f>
        <v>3.5909416283207558</v>
      </c>
      <c r="P12" s="274">
        <f>I12/L12</f>
        <v>14.9171061270262</v>
      </c>
      <c r="Q12" s="274">
        <f t="shared" ref="Q12:Q17" si="3">F12/M12</f>
        <v>22.486563588785046</v>
      </c>
    </row>
    <row r="13" spans="2:17" ht="16" x14ac:dyDescent="0.15">
      <c r="B13" s="2" t="str">
        <f>'Comps Data'!D10</f>
        <v>HCL Tech</v>
      </c>
      <c r="C13" s="267" t="str">
        <f>'Comps Data'!H10</f>
        <v>HCLTECH</v>
      </c>
      <c r="D13" s="272">
        <f>'Comps Data'!I10</f>
        <v>1391</v>
      </c>
      <c r="E13" s="268">
        <f>'Comps Data'!J10</f>
        <v>271.37</v>
      </c>
      <c r="F13" s="270">
        <f t="shared" si="0"/>
        <v>377475.67</v>
      </c>
      <c r="G13" s="273">
        <f>'Comps Data'!K10</f>
        <v>6276</v>
      </c>
      <c r="H13" s="273">
        <f>'Comps Data'!L10</f>
        <v>21289</v>
      </c>
      <c r="I13" s="270">
        <f t="shared" si="1"/>
        <v>362462.67</v>
      </c>
      <c r="J13" s="264"/>
      <c r="K13" s="273">
        <f>'Comps Data'!M10</f>
        <v>117055</v>
      </c>
      <c r="L13" s="273">
        <f>'Comps Data'!N10</f>
        <v>25504</v>
      </c>
      <c r="M13" s="273">
        <f>'Comps Data'!O10</f>
        <v>17399</v>
      </c>
      <c r="N13" s="264"/>
      <c r="O13" s="274">
        <f t="shared" si="2"/>
        <v>3.0965159113237366</v>
      </c>
      <c r="P13" s="274">
        <f t="shared" ref="P13:P17" si="4">I13/L13</f>
        <v>14.211993020702634</v>
      </c>
      <c r="Q13" s="274">
        <f t="shared" si="3"/>
        <v>21.695250876487155</v>
      </c>
    </row>
    <row r="14" spans="2:17" ht="16" x14ac:dyDescent="0.15">
      <c r="B14" s="2" t="str">
        <f>'Comps Data'!D11</f>
        <v>Wipro</v>
      </c>
      <c r="C14" s="267" t="str">
        <f>'Comps Data'!H11</f>
        <v>WIPRO</v>
      </c>
      <c r="D14" s="272">
        <f>'Comps Data'!I11</f>
        <v>241.8</v>
      </c>
      <c r="E14" s="268">
        <f>'Comps Data'!J11</f>
        <v>1048.33</v>
      </c>
      <c r="F14" s="270">
        <f t="shared" si="0"/>
        <v>253486.19399999999</v>
      </c>
      <c r="G14" s="273">
        <f>'Comps Data'!K11</f>
        <v>19204</v>
      </c>
      <c r="H14" s="273">
        <f>'Comps Data'!L11</f>
        <v>12197</v>
      </c>
      <c r="I14" s="270">
        <f t="shared" si="1"/>
        <v>260493.19400000002</v>
      </c>
      <c r="J14" s="264"/>
      <c r="K14" s="273">
        <f>'Comps Data'!M11</f>
        <v>89088</v>
      </c>
      <c r="L14" s="273">
        <f>'Comps Data'!N11</f>
        <v>18021</v>
      </c>
      <c r="M14" s="273">
        <f>'Comps Data'!O11</f>
        <v>13218</v>
      </c>
      <c r="N14" s="264"/>
      <c r="O14" s="274">
        <f t="shared" si="2"/>
        <v>2.923998675466954</v>
      </c>
      <c r="P14" s="274">
        <f t="shared" si="4"/>
        <v>14.454979967815328</v>
      </c>
      <c r="Q14" s="274">
        <f t="shared" si="3"/>
        <v>19.177348615524284</v>
      </c>
    </row>
    <row r="15" spans="2:17" ht="16" x14ac:dyDescent="0.15">
      <c r="B15" s="2" t="str">
        <f>'Comps Data'!D12</f>
        <v>LTIMindtree</v>
      </c>
      <c r="C15" s="267" t="str">
        <f>'Comps Data'!H12</f>
        <v>LTIM</v>
      </c>
      <c r="D15" s="272">
        <f>'Comps Data'!I12</f>
        <v>5134.5</v>
      </c>
      <c r="E15" s="268">
        <f>'Comps Data'!J12</f>
        <v>29.64</v>
      </c>
      <c r="F15" s="270">
        <f t="shared" si="0"/>
        <v>152186.58000000002</v>
      </c>
      <c r="G15" s="273">
        <f>'Comps Data'!K12</f>
        <v>2187</v>
      </c>
      <c r="H15" s="273">
        <f>'Comps Data'!L12</f>
        <v>3588.2</v>
      </c>
      <c r="I15" s="270">
        <f t="shared" si="1"/>
        <v>150785.38</v>
      </c>
      <c r="K15" s="273">
        <f>'Comps Data'!M12</f>
        <v>38008</v>
      </c>
      <c r="L15" s="273">
        <f>'Comps Data'!N12</f>
        <v>6495</v>
      </c>
      <c r="M15" s="273">
        <f>'Comps Data'!O12</f>
        <v>4602</v>
      </c>
      <c r="O15" s="274">
        <f t="shared" si="2"/>
        <v>3.9672011155546203</v>
      </c>
      <c r="P15" s="274">
        <f t="shared" si="4"/>
        <v>23.215608929946114</v>
      </c>
      <c r="Q15" s="274">
        <f t="shared" si="3"/>
        <v>33.069661016949155</v>
      </c>
    </row>
    <row r="16" spans="2:17" s="4" customFormat="1" ht="16" x14ac:dyDescent="0.15">
      <c r="B16" s="2" t="str">
        <f>'Comps Data'!D13</f>
        <v>Tech Mahindra</v>
      </c>
      <c r="C16" s="267" t="str">
        <f>'Comps Data'!H13</f>
        <v>TECHM</v>
      </c>
      <c r="D16" s="272">
        <f>'Comps Data'!I13</f>
        <v>1418</v>
      </c>
      <c r="E16" s="268">
        <f>'Comps Data'!J13</f>
        <v>97.93</v>
      </c>
      <c r="F16" s="270">
        <f t="shared" si="0"/>
        <v>138864.74000000002</v>
      </c>
      <c r="G16" s="273">
        <f>'Comps Data'!K13</f>
        <v>2025</v>
      </c>
      <c r="H16" s="273">
        <f>'Comps Data'!L13</f>
        <v>4542.2</v>
      </c>
      <c r="I16" s="270">
        <f t="shared" si="1"/>
        <v>136347.54</v>
      </c>
      <c r="J16" s="43"/>
      <c r="K16" s="273">
        <f>'Comps Data'!M13</f>
        <v>52988</v>
      </c>
      <c r="L16" s="273">
        <f>'Comps Data'!N13</f>
        <v>6964</v>
      </c>
      <c r="M16" s="273">
        <f>'Comps Data'!O13</f>
        <v>4253</v>
      </c>
      <c r="N16" s="43"/>
      <c r="O16" s="274">
        <f t="shared" si="2"/>
        <v>2.5731777006114593</v>
      </c>
      <c r="P16" s="274">
        <f t="shared" si="4"/>
        <v>19.578911545089031</v>
      </c>
      <c r="Q16" s="274">
        <f t="shared" si="3"/>
        <v>32.651008699741361</v>
      </c>
    </row>
    <row r="17" spans="1:18" s="38" customFormat="1" ht="16" x14ac:dyDescent="0.15">
      <c r="A17" s="265"/>
      <c r="B17" s="265" t="str">
        <f>'Comps Data'!D14</f>
        <v>Persistent Systems</v>
      </c>
      <c r="C17" s="267" t="str">
        <f>'Comps Data'!H14</f>
        <v>PERSISTENT</v>
      </c>
      <c r="D17" s="272">
        <f>'Comps Data'!I14</f>
        <v>4960</v>
      </c>
      <c r="E17" s="268">
        <f>'Comps Data'!J14</f>
        <v>15.64</v>
      </c>
      <c r="F17" s="271">
        <f t="shared" si="0"/>
        <v>77574.400000000009</v>
      </c>
      <c r="G17" s="273">
        <f>'Comps Data'!K14</f>
        <v>311</v>
      </c>
      <c r="H17" s="273">
        <f>'Comps Data'!L14</f>
        <v>1025.47</v>
      </c>
      <c r="I17" s="271">
        <f t="shared" si="1"/>
        <v>76859.930000000008</v>
      </c>
      <c r="J17" s="265"/>
      <c r="K17" s="273">
        <f>'Comps Data'!M14</f>
        <v>11939</v>
      </c>
      <c r="L17" s="273">
        <f>'Comps Data'!N14</f>
        <v>2058</v>
      </c>
      <c r="M17" s="273">
        <f>'Comps Data'!O14</f>
        <v>1400</v>
      </c>
      <c r="N17" s="265"/>
      <c r="O17" s="274">
        <f t="shared" si="2"/>
        <v>6.4377192394672926</v>
      </c>
      <c r="P17" s="274">
        <f t="shared" si="4"/>
        <v>37.346904761904767</v>
      </c>
      <c r="Q17" s="274">
        <f t="shared" si="3"/>
        <v>55.41028571428572</v>
      </c>
      <c r="R17" s="265"/>
    </row>
    <row r="18" spans="1:18" ht="16" x14ac:dyDescent="0.15">
      <c r="O18" s="274"/>
      <c r="P18" s="274"/>
      <c r="Q18" s="274"/>
    </row>
    <row r="19" spans="1:18" ht="16" x14ac:dyDescent="0.15">
      <c r="C19" s="264"/>
      <c r="D19" s="264"/>
      <c r="E19" s="264"/>
      <c r="F19" s="264"/>
      <c r="G19" s="175"/>
      <c r="H19" s="175"/>
      <c r="I19" s="175"/>
      <c r="J19" s="175"/>
      <c r="K19" s="175"/>
      <c r="L19" s="175"/>
      <c r="M19" s="175"/>
      <c r="N19" s="175"/>
      <c r="O19" s="274"/>
      <c r="P19" s="274"/>
      <c r="Q19" s="274"/>
    </row>
    <row r="20" spans="1:18" ht="16" x14ac:dyDescent="0.2">
      <c r="B20" s="299" t="s">
        <v>287</v>
      </c>
      <c r="C20" s="293"/>
      <c r="D20" s="293"/>
      <c r="E20" s="293"/>
      <c r="F20" s="293"/>
      <c r="G20" s="293"/>
      <c r="H20" s="293"/>
      <c r="I20" s="293"/>
      <c r="J20" s="293"/>
      <c r="K20" s="293"/>
      <c r="L20" s="293"/>
      <c r="M20" s="293"/>
      <c r="N20" s="293"/>
      <c r="O20" s="300">
        <f>AVERAGE(O11:O19)</f>
        <v>3.8138078260359665</v>
      </c>
      <c r="P20" s="300">
        <f>AVERAGE(P11:P19)</f>
        <v>19.897480767974276</v>
      </c>
      <c r="Q20" s="300">
        <f t="shared" ref="Q20" si="5">AVERAGE(Q11:Q19)</f>
        <v>29.443486408763341</v>
      </c>
    </row>
    <row r="21" spans="1:18" ht="16" x14ac:dyDescent="0.2">
      <c r="B21" s="299" t="s">
        <v>288</v>
      </c>
      <c r="C21" s="293"/>
      <c r="D21" s="293"/>
      <c r="E21" s="293"/>
      <c r="F21" s="293"/>
      <c r="G21" s="293"/>
      <c r="H21" s="293"/>
      <c r="I21" s="293"/>
      <c r="J21" s="293"/>
      <c r="K21" s="293"/>
      <c r="L21" s="293"/>
      <c r="M21" s="293"/>
      <c r="N21" s="293"/>
      <c r="O21" s="300">
        <f>MEDIAN(O11:O19)</f>
        <v>3.5909416283207558</v>
      </c>
      <c r="P21" s="300">
        <f>MEDIAN(P11:P19)</f>
        <v>15.556861023335856</v>
      </c>
      <c r="Q21" s="300">
        <f t="shared" ref="Q21" si="6">MEDIAN(Q11:Q19)</f>
        <v>22.486563588785046</v>
      </c>
    </row>
    <row r="23" spans="1:18" s="4" customFormat="1" ht="16" x14ac:dyDescent="0.15">
      <c r="B23" s="2" t="str">
        <f>'Comps Data'!D6</f>
        <v>Mastek</v>
      </c>
      <c r="C23" s="267" t="str">
        <f>'Comps Data'!H6</f>
        <v>MASTEK</v>
      </c>
      <c r="D23" s="272">
        <f>'Comps Data'!I6</f>
        <v>2200.6</v>
      </c>
      <c r="E23" s="268">
        <f>'Comps Data'!J6</f>
        <v>3.0939893999999999</v>
      </c>
      <c r="F23" s="271">
        <f t="shared" ref="F23" si="7">PRODUCT(D23:E23)</f>
        <v>6808.6330736399996</v>
      </c>
      <c r="G23" s="273">
        <f>'Comps Data'!K6</f>
        <v>583</v>
      </c>
      <c r="H23" s="273">
        <f>'Comps Data'!L6</f>
        <v>461.47</v>
      </c>
      <c r="I23" s="271">
        <f>SUM(F23:G23)-H23</f>
        <v>6930.1630736399993</v>
      </c>
      <c r="J23" s="265"/>
      <c r="K23" s="273">
        <f>'Comps Data'!M6</f>
        <v>3455.23</v>
      </c>
      <c r="L23" s="273">
        <f>'Comps Data'!N6</f>
        <v>546.45000000000005</v>
      </c>
      <c r="M23" s="273">
        <f>'Comps Data'!O6</f>
        <v>376</v>
      </c>
      <c r="N23" s="43"/>
      <c r="O23" s="274">
        <f t="shared" ref="O23" si="8">I23/K23</f>
        <v>2.0057023913429783</v>
      </c>
      <c r="P23" s="274">
        <f t="shared" ref="P23" si="9">I23/L23</f>
        <v>12.682154037222068</v>
      </c>
      <c r="Q23" s="274">
        <f t="shared" ref="Q23" si="10">F23/M23</f>
        <v>18.108066685212766</v>
      </c>
    </row>
    <row r="25" spans="1:18" ht="16" x14ac:dyDescent="0.2">
      <c r="B25" s="299" t="s">
        <v>289</v>
      </c>
      <c r="C25" s="301" t="s">
        <v>290</v>
      </c>
      <c r="D25" s="299"/>
      <c r="E25" s="299"/>
      <c r="F25" s="293" t="s">
        <v>274</v>
      </c>
      <c r="G25" s="293" t="s">
        <v>291</v>
      </c>
      <c r="H25" s="301" t="s">
        <v>292</v>
      </c>
      <c r="I25" s="293" t="s">
        <v>270</v>
      </c>
      <c r="J25" s="301" t="s">
        <v>293</v>
      </c>
      <c r="K25" s="301"/>
      <c r="L25" s="41"/>
      <c r="M25" s="41"/>
      <c r="N25" s="41"/>
      <c r="O25" s="41"/>
      <c r="P25" s="41"/>
      <c r="Q25" s="41"/>
    </row>
    <row r="26" spans="1:18" ht="16" x14ac:dyDescent="0.2">
      <c r="B26" s="275"/>
      <c r="C26" s="276"/>
      <c r="D26" s="276"/>
      <c r="E26" s="276"/>
      <c r="F26" s="276"/>
      <c r="G26" s="276"/>
      <c r="H26" s="276"/>
      <c r="I26" s="276"/>
      <c r="J26" s="276"/>
      <c r="K26" s="41"/>
      <c r="L26" s="41"/>
      <c r="M26" s="41"/>
      <c r="N26" s="41"/>
      <c r="O26" s="41"/>
      <c r="P26" s="41"/>
      <c r="Q26" s="41"/>
    </row>
    <row r="27" spans="1:18" x14ac:dyDescent="0.15">
      <c r="B27" s="2" t="s">
        <v>294</v>
      </c>
      <c r="C27" s="277">
        <f>O21</f>
        <v>3.5909416283207558</v>
      </c>
      <c r="F27" s="278">
        <f>C27*K23</f>
        <v>12407.529242422725</v>
      </c>
      <c r="G27" s="272">
        <f>$G$23-$H$23</f>
        <v>121.52999999999997</v>
      </c>
      <c r="H27" s="278">
        <f t="shared" ref="H27:H28" si="11">F27-G27</f>
        <v>12285.999242422724</v>
      </c>
      <c r="I27" s="45">
        <f>$E$23</f>
        <v>3.0939893999999999</v>
      </c>
      <c r="J27" s="278">
        <f>H27/I27</f>
        <v>3970.9248009778976</v>
      </c>
      <c r="K27" s="278"/>
      <c r="L27" s="41"/>
      <c r="M27" s="41"/>
      <c r="N27" s="41"/>
      <c r="O27" s="41"/>
      <c r="P27" s="41"/>
      <c r="Q27" s="41"/>
    </row>
    <row r="28" spans="1:18" x14ac:dyDescent="0.15">
      <c r="B28" s="2" t="s">
        <v>281</v>
      </c>
      <c r="C28" s="277">
        <f>P21</f>
        <v>15.556861023335856</v>
      </c>
      <c r="F28" s="278">
        <f>C28*L23</f>
        <v>8501.0467062018797</v>
      </c>
      <c r="G28" s="272">
        <f t="shared" ref="G28:G29" si="12">$G$23-$H$23</f>
        <v>121.52999999999997</v>
      </c>
      <c r="H28" s="278">
        <f t="shared" si="11"/>
        <v>8379.5167062018791</v>
      </c>
      <c r="I28" s="45">
        <f>$E$23</f>
        <v>3.0939893999999999</v>
      </c>
      <c r="J28" s="278">
        <f>H28/I28</f>
        <v>2708.3210777004856</v>
      </c>
      <c r="K28" s="278"/>
      <c r="L28" s="41"/>
      <c r="M28" s="41"/>
      <c r="N28" s="41"/>
      <c r="O28" s="41"/>
      <c r="P28" s="41"/>
      <c r="Q28" s="41"/>
    </row>
    <row r="29" spans="1:18" x14ac:dyDescent="0.15">
      <c r="B29" s="2" t="s">
        <v>282</v>
      </c>
      <c r="C29" s="277">
        <f>Q21</f>
        <v>22.486563588785046</v>
      </c>
      <c r="F29" s="278">
        <f>H29+G29</f>
        <v>8576.4779093831785</v>
      </c>
      <c r="G29" s="272">
        <f t="shared" si="12"/>
        <v>121.52999999999997</v>
      </c>
      <c r="H29" s="278">
        <f>C29*M23</f>
        <v>8454.9479093831778</v>
      </c>
      <c r="I29" s="45">
        <f>$E$23</f>
        <v>3.0939893999999999</v>
      </c>
      <c r="J29" s="278">
        <f>H29/I29</f>
        <v>2732.7009941867213</v>
      </c>
      <c r="K29" s="278"/>
    </row>
  </sheetData>
  <mergeCells count="8">
    <mergeCell ref="P6:Q6"/>
    <mergeCell ref="D8:I8"/>
    <mergeCell ref="B7:Q7"/>
    <mergeCell ref="B9:B10"/>
    <mergeCell ref="C9:C10"/>
    <mergeCell ref="D9:D10"/>
    <mergeCell ref="K8:M8"/>
    <mergeCell ref="O8:Q8"/>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1">
    <tabColor rgb="FF92D050"/>
  </sheetPr>
  <dimension ref="B6:R62"/>
  <sheetViews>
    <sheetView showGridLines="0" tabSelected="1" zoomScale="125" zoomScaleNormal="125" workbookViewId="0">
      <selection activeCell="K23" sqref="K23"/>
    </sheetView>
  </sheetViews>
  <sheetFormatPr baseColWidth="10" defaultColWidth="8.83203125" defaultRowHeight="14" x14ac:dyDescent="0.15"/>
  <cols>
    <col min="1" max="1" width="5.1640625" style="2" customWidth="1"/>
    <col min="2" max="2" width="36.83203125" style="2" bestFit="1" customWidth="1"/>
    <col min="3" max="3" width="14.5" style="2" customWidth="1"/>
    <col min="4" max="5" width="13.1640625" style="2" bestFit="1" customWidth="1"/>
    <col min="6" max="6" width="14.5" style="2" customWidth="1"/>
    <col min="7" max="7" width="12.83203125" style="2" customWidth="1"/>
    <col min="8" max="8" width="13.1640625" style="2" bestFit="1" customWidth="1"/>
    <col min="9" max="9" width="12.1640625" style="2" customWidth="1"/>
    <col min="10" max="16" width="13.1640625" style="2" bestFit="1" customWidth="1"/>
    <col min="17" max="17" width="12" style="2" bestFit="1" customWidth="1"/>
    <col min="18" max="16384" width="8.83203125" style="2"/>
  </cols>
  <sheetData>
    <row r="6" spans="2:18" ht="13.75" customHeight="1" x14ac:dyDescent="0.15">
      <c r="K6" s="503"/>
      <c r="L6" s="503"/>
      <c r="P6" s="503" t="s">
        <v>64</v>
      </c>
      <c r="Q6" s="503"/>
      <c r="R6" s="111"/>
    </row>
    <row r="7" spans="2:18" ht="16" x14ac:dyDescent="0.2">
      <c r="B7" s="538" t="s">
        <v>105</v>
      </c>
      <c r="C7" s="539"/>
      <c r="D7" s="539"/>
      <c r="E7" s="539"/>
      <c r="F7" s="539"/>
      <c r="G7" s="539"/>
      <c r="H7" s="539"/>
      <c r="I7" s="539"/>
      <c r="J7" s="539"/>
      <c r="K7" s="539"/>
      <c r="L7" s="539"/>
      <c r="M7" s="539"/>
      <c r="N7" s="539"/>
      <c r="O7" s="539"/>
      <c r="P7" s="539"/>
      <c r="Q7" s="539"/>
    </row>
    <row r="8" spans="2:18" ht="14.5" customHeight="1" x14ac:dyDescent="0.15">
      <c r="B8" s="549" t="s">
        <v>0</v>
      </c>
      <c r="C8" s="195">
        <f>'Standard Income Statement'!C8</f>
        <v>2021</v>
      </c>
      <c r="D8" s="195">
        <f>'Standard Income Statement'!D8</f>
        <v>2022</v>
      </c>
      <c r="E8" s="195">
        <f>'Standard Income Statement'!E8</f>
        <v>2023</v>
      </c>
      <c r="F8" s="195">
        <f>'Standard Income Statement'!F8</f>
        <v>2024</v>
      </c>
      <c r="G8" s="195">
        <f>'Standard Income Statement'!G8</f>
        <v>2025</v>
      </c>
      <c r="H8" s="217">
        <f>'Standard Income Statement'!H8</f>
        <v>2026</v>
      </c>
      <c r="I8" s="217">
        <f>'Standard Income Statement'!I8</f>
        <v>2027</v>
      </c>
      <c r="J8" s="217">
        <f>'Standard Income Statement'!J8</f>
        <v>2028</v>
      </c>
      <c r="K8" s="217">
        <f>'Standard Income Statement'!K8</f>
        <v>2029</v>
      </c>
      <c r="L8" s="217">
        <f>'Standard Income Statement'!L8</f>
        <v>2030</v>
      </c>
      <c r="M8" s="217">
        <f>'Standard Income Statement'!M8</f>
        <v>2031</v>
      </c>
      <c r="N8" s="217">
        <f>'Standard Income Statement'!N8</f>
        <v>2032</v>
      </c>
      <c r="O8" s="217">
        <f>'Standard Income Statement'!O8</f>
        <v>2033</v>
      </c>
      <c r="P8" s="217">
        <f>'Standard Income Statement'!P8</f>
        <v>2034</v>
      </c>
      <c r="Q8" s="217">
        <f>'Standard Income Statement'!Q8</f>
        <v>2035</v>
      </c>
    </row>
    <row r="9" spans="2:18" x14ac:dyDescent="0.15">
      <c r="B9" s="550"/>
      <c r="C9" s="13" t="s">
        <v>1</v>
      </c>
      <c r="D9" s="13" t="s">
        <v>1</v>
      </c>
      <c r="E9" s="13" t="s">
        <v>1</v>
      </c>
      <c r="F9" s="13" t="s">
        <v>1</v>
      </c>
      <c r="G9" s="13" t="s">
        <v>1</v>
      </c>
      <c r="H9" s="110" t="s">
        <v>52</v>
      </c>
      <c r="I9" s="110" t="s">
        <v>53</v>
      </c>
      <c r="J9" s="110" t="s">
        <v>53</v>
      </c>
      <c r="K9" s="110" t="s">
        <v>53</v>
      </c>
      <c r="L9" s="110" t="s">
        <v>53</v>
      </c>
      <c r="M9" s="110" t="s">
        <v>53</v>
      </c>
      <c r="N9" s="110" t="s">
        <v>53</v>
      </c>
      <c r="O9" s="110" t="s">
        <v>53</v>
      </c>
      <c r="P9" s="110" t="s">
        <v>53</v>
      </c>
      <c r="Q9" s="110" t="s">
        <v>53</v>
      </c>
    </row>
    <row r="10" spans="2:18" x14ac:dyDescent="0.15">
      <c r="H10" s="30"/>
      <c r="I10" s="30"/>
      <c r="J10" s="30"/>
      <c r="K10" s="30"/>
      <c r="L10" s="30"/>
      <c r="M10" s="30"/>
      <c r="N10" s="30"/>
      <c r="O10" s="30"/>
      <c r="P10" s="30"/>
      <c r="Q10" s="30"/>
    </row>
    <row r="11" spans="2:18" x14ac:dyDescent="0.15">
      <c r="B11" s="2" t="s">
        <v>15</v>
      </c>
      <c r="D11" s="41">
        <f>'Income Statement'!D26</f>
        <v>419.6400000000001</v>
      </c>
      <c r="E11" s="41">
        <f>'Income Statement'!E26</f>
        <v>388.4799999999999</v>
      </c>
      <c r="F11" s="41">
        <f>'Income Statement'!F26</f>
        <v>418.75999999999988</v>
      </c>
      <c r="G11" s="67">
        <f>'Income Statement'!G26</f>
        <v>471.33000000000004</v>
      </c>
      <c r="H11" s="32">
        <f ca="1">'Income Statement'!H26</f>
        <v>700.94504552100807</v>
      </c>
      <c r="I11" s="32">
        <f ca="1">'Income Statement'!I26</f>
        <v>849.65378235341609</v>
      </c>
      <c r="J11" s="32">
        <f ca="1">'Income Statement'!J26</f>
        <v>1017.6949215002057</v>
      </c>
      <c r="K11" s="32">
        <f ca="1">'Income Statement'!K26</f>
        <v>1202.9444574344971</v>
      </c>
      <c r="L11" s="32">
        <f ca="1">'Income Statement'!L26</f>
        <v>1409.9590459757569</v>
      </c>
      <c r="M11" s="32">
        <f ca="1">'Income Statement'!M26</f>
        <v>1635.4970395474857</v>
      </c>
      <c r="N11" s="32">
        <f ca="1">'Income Statement'!N26</f>
        <v>1875.5633178927553</v>
      </c>
      <c r="O11" s="32">
        <f ca="1">'Income Statement'!O26</f>
        <v>2132.9570956171983</v>
      </c>
      <c r="P11" s="32">
        <f ca="1">'Income Statement'!P26</f>
        <v>2402.2848180990163</v>
      </c>
      <c r="Q11" s="32">
        <f ca="1">'Income Statement'!Q26</f>
        <v>2677.3721534850124</v>
      </c>
    </row>
    <row r="12" spans="2:18" x14ac:dyDescent="0.15">
      <c r="B12" s="2" t="s">
        <v>101</v>
      </c>
      <c r="D12" s="63">
        <f>-D11*'Cost Buildup'!D22</f>
        <v>-107.35455941433798</v>
      </c>
      <c r="E12" s="63">
        <f>-E11*'Cost Buildup'!E22</f>
        <v>-106.44408358097198</v>
      </c>
      <c r="F12" s="63">
        <f>-F11*'Cost Buildup'!F22</f>
        <v>-81.563808488049887</v>
      </c>
      <c r="G12" s="63">
        <f>-G11*'Cost Buildup'!G22</f>
        <v>-85.436004660684688</v>
      </c>
      <c r="H12" s="59">
        <f ca="1">-H11*'Cost Buildup'!H22</f>
        <v>-134.06680766993583</v>
      </c>
      <c r="I12" s="59">
        <f ca="1">-I11*'Cost Buildup'!I22</f>
        <v>-162.50970165591238</v>
      </c>
      <c r="J12" s="59">
        <f ca="1">-J11*'Cost Buildup'!J22</f>
        <v>-204.82717205240607</v>
      </c>
      <c r="K12" s="59">
        <f ca="1">-K11*'Cost Buildup'!K22</f>
        <v>-242.11156619432359</v>
      </c>
      <c r="L12" s="59">
        <f ca="1">-L11*'Cost Buildup'!L22</f>
        <v>-297.87611129686616</v>
      </c>
      <c r="M12" s="59">
        <f ca="1">-M11*'Cost Buildup'!M22</f>
        <v>-345.52457361681303</v>
      </c>
      <c r="N12" s="59">
        <f ca="1">-N11*'Cost Buildup'!N22</f>
        <v>-414.99799867139876</v>
      </c>
      <c r="O12" s="59">
        <f ca="1">-O11*'Cost Buildup'!O22</f>
        <v>-471.95043616421958</v>
      </c>
      <c r="P12" s="59">
        <f ca="1">-P11*'Cost Buildup'!P22</f>
        <v>-555.56629554904237</v>
      </c>
      <c r="Q12" s="59">
        <f ca="1">-Q11*'Cost Buildup'!Q22</f>
        <v>-619.18458540436109</v>
      </c>
    </row>
    <row r="13" spans="2:18" x14ac:dyDescent="0.15">
      <c r="B13" s="2" t="s">
        <v>102</v>
      </c>
      <c r="D13" s="41">
        <f>'Income Statement'!D24</f>
        <v>42.87</v>
      </c>
      <c r="E13" s="41">
        <f>'Income Statement'!E24</f>
        <v>67.37</v>
      </c>
      <c r="F13" s="41">
        <f>'Income Statement'!F24</f>
        <v>89.91</v>
      </c>
      <c r="G13" s="41">
        <f>'Income Statement'!G24</f>
        <v>75.12</v>
      </c>
      <c r="H13" s="32">
        <f ca="1">'Income Statement'!H24</f>
        <v>60.048000000000002</v>
      </c>
      <c r="I13" s="32">
        <f ca="1">'Income Statement'!I24</f>
        <v>60.048000000000002</v>
      </c>
      <c r="J13" s="32">
        <f ca="1">'Income Statement'!J24</f>
        <v>60.048000000000002</v>
      </c>
      <c r="K13" s="32">
        <f ca="1">'Income Statement'!K24</f>
        <v>62.448320000000002</v>
      </c>
      <c r="L13" s="32">
        <f ca="1">'Income Statement'!L24</f>
        <v>62.448320000000002</v>
      </c>
      <c r="M13" s="32">
        <f ca="1">'Income Statement'!M24</f>
        <v>62.448320000000002</v>
      </c>
      <c r="N13" s="32">
        <f ca="1">'Income Statement'!N24</f>
        <v>64.9446528</v>
      </c>
      <c r="O13" s="32">
        <f ca="1">'Income Statement'!O24</f>
        <v>64.9446528</v>
      </c>
      <c r="P13" s="32">
        <f ca="1">'Income Statement'!P24</f>
        <v>64.9446528</v>
      </c>
      <c r="Q13" s="32">
        <f ca="1">'Income Statement'!Q24</f>
        <v>67.540838911999998</v>
      </c>
    </row>
    <row r="14" spans="2:18" x14ac:dyDescent="0.15">
      <c r="B14" s="2" t="s">
        <v>103</v>
      </c>
      <c r="D14" s="63">
        <f>-SUM('Cash Flows'!D44:D45)</f>
        <v>-43.360000000000007</v>
      </c>
      <c r="E14" s="63">
        <f>-SUM('Cash Flows'!E44:E45)</f>
        <v>38.730000000000018</v>
      </c>
      <c r="F14" s="63">
        <f>-SUM('Cash Flows'!F44:F45)</f>
        <v>-95.610000000000014</v>
      </c>
      <c r="G14" s="63">
        <f>-SUM('Cash Flows'!G44:G45)</f>
        <v>-124.08999999999997</v>
      </c>
      <c r="H14" s="59">
        <f ca="1">-SUM('Cash Flows'!H44:H45)</f>
        <v>-49.820800000000077</v>
      </c>
      <c r="I14" s="59">
        <f ca="1">-SUM('Cash Flows'!I44:I45)</f>
        <v>-76.607680000000002</v>
      </c>
      <c r="J14" s="59">
        <f ca="1">-SUM('Cash Flows'!J44:J45)</f>
        <v>-76.594494400000002</v>
      </c>
      <c r="K14" s="59">
        <f ca="1">-SUM('Cash Flows'!K44:K45)</f>
        <v>-79.747834872000027</v>
      </c>
      <c r="L14" s="59">
        <f ca="1">-SUM('Cash Flows'!L44:L45)</f>
        <v>-79.73451708636</v>
      </c>
      <c r="M14" s="59">
        <f ca="1">-SUM('Cash Flows'!M44:M45)</f>
        <v>-79.721132711791782</v>
      </c>
      <c r="N14" s="59">
        <f ca="1">-SUM('Cash Flows'!N44:N45)</f>
        <v>-83.000937095350736</v>
      </c>
      <c r="O14" s="59">
        <f ca="1">-SUM('Cash Flows'!O44:O45)</f>
        <v>-82.987418542427548</v>
      </c>
      <c r="P14" s="59">
        <f ca="1">-SUM('Cash Flows'!P44:P45)</f>
        <v>-82.973832396739652</v>
      </c>
      <c r="Q14" s="59">
        <f ca="1">-SUM('Cash Flows'!Q44:Q45)</f>
        <v>-86.385164227523347</v>
      </c>
    </row>
    <row r="15" spans="2:18" x14ac:dyDescent="0.15">
      <c r="B15" s="2" t="s">
        <v>104</v>
      </c>
      <c r="D15" s="63">
        <f>SUM('Cash Flows'!D18:D25)+SUM('Cash Flows'!D32:D35)</f>
        <v>-48.739999999999981</v>
      </c>
      <c r="E15" s="63">
        <f>SUM('Cash Flows'!E18:E25)+SUM('Cash Flows'!E32:E35)</f>
        <v>-359.14000000000004</v>
      </c>
      <c r="F15" s="63">
        <f>SUM('Cash Flows'!F18:F25)+SUM('Cash Flows'!F32:F35)</f>
        <v>246.78000000000003</v>
      </c>
      <c r="G15" s="63">
        <f>SUM('Cash Flows'!G18:G25)+SUM('Cash Flows'!G32:G35)</f>
        <v>-271.61</v>
      </c>
      <c r="H15" s="59">
        <f>SUM('Cash Flows'!H18:H25)+SUM('Cash Flows'!H32:H35)</f>
        <v>252.22973570861851</v>
      </c>
      <c r="I15" s="59">
        <f>SUM('Cash Flows'!I18:I25)+SUM('Cash Flows'!I32:I35)</f>
        <v>-2.5482509231137556</v>
      </c>
      <c r="J15" s="59">
        <f>SUM('Cash Flows'!J18:J25)+SUM('Cash Flows'!J32:J35)</f>
        <v>-2.8795281102716785</v>
      </c>
      <c r="K15" s="59">
        <f>SUM('Cash Flows'!K18:K25)+SUM('Cash Flows'!K32:K35)</f>
        <v>-3.2155401813788558</v>
      </c>
      <c r="L15" s="59">
        <f>SUM('Cash Flows'!L18:L25)+SUM('Cash Flows'!L32:L35)</f>
        <v>-3.5473713756498455</v>
      </c>
      <c r="M15" s="59">
        <f>SUM('Cash Flows'!M18:M25)+SUM('Cash Flows'!M32:M35)</f>
        <v>-3.8647857049855361</v>
      </c>
      <c r="N15" s="59">
        <f>SUM('Cash Flows'!N18:N25)+SUM('Cash Flows'!N32:N35)</f>
        <v>-4.1565170341029898</v>
      </c>
      <c r="O15" s="59">
        <f>SUM('Cash Flows'!O18:O25)+SUM('Cash Flows'!O32:O35)</f>
        <v>-4.4106617113508264</v>
      </c>
      <c r="P15" s="59">
        <f>SUM('Cash Flows'!P18:P25)+SUM('Cash Flows'!P32:P35)</f>
        <v>-4.6151600239053323</v>
      </c>
      <c r="Q15" s="59">
        <f>SUM('Cash Flows'!Q18:Q25)+SUM('Cash Flows'!Q32:Q35)</f>
        <v>-4.7583437601803098</v>
      </c>
    </row>
    <row r="16" spans="2:18" x14ac:dyDescent="0.15">
      <c r="H16" s="30"/>
      <c r="I16" s="30"/>
      <c r="J16" s="30"/>
      <c r="K16" s="30"/>
      <c r="L16" s="30"/>
      <c r="M16" s="30"/>
      <c r="N16" s="30"/>
      <c r="O16" s="30"/>
      <c r="P16" s="30"/>
      <c r="Q16" s="30"/>
    </row>
    <row r="17" spans="2:18" s="4" customFormat="1" x14ac:dyDescent="0.15">
      <c r="B17" s="4" t="s">
        <v>105</v>
      </c>
      <c r="C17" s="42"/>
      <c r="D17" s="182">
        <f>SUM(D11:D16)</f>
        <v>263.05544058566215</v>
      </c>
      <c r="E17" s="42">
        <f t="shared" ref="E17:G17" si="0">SUM(E11:E16)</f>
        <v>28.995916419027878</v>
      </c>
      <c r="F17" s="42">
        <f t="shared" si="0"/>
        <v>578.27619151194995</v>
      </c>
      <c r="G17" s="182">
        <f t="shared" si="0"/>
        <v>65.313995339315341</v>
      </c>
      <c r="H17" s="214">
        <f ca="1">SUM(H11:H16)</f>
        <v>829.3351735596907</v>
      </c>
      <c r="I17" s="214">
        <f t="shared" ref="I17:Q17" ca="1" si="1">SUM(I11:I16)</f>
        <v>668.03614977438997</v>
      </c>
      <c r="J17" s="214">
        <f t="shared" ca="1" si="1"/>
        <v>793.44172693752807</v>
      </c>
      <c r="K17" s="214">
        <f t="shared" ca="1" si="1"/>
        <v>940.31783618679458</v>
      </c>
      <c r="L17" s="214">
        <f t="shared" ca="1" si="1"/>
        <v>1091.2493662168808</v>
      </c>
      <c r="M17" s="214">
        <f t="shared" ca="1" si="1"/>
        <v>1268.8348675138952</v>
      </c>
      <c r="N17" s="214">
        <f t="shared" ca="1" si="1"/>
        <v>1438.3525178919028</v>
      </c>
      <c r="O17" s="214">
        <f t="shared" ca="1" si="1"/>
        <v>1638.5532319992003</v>
      </c>
      <c r="P17" s="214">
        <f t="shared" ca="1" si="1"/>
        <v>1824.0741829293288</v>
      </c>
      <c r="Q17" s="214">
        <f t="shared" ca="1" si="1"/>
        <v>2034.5848990049476</v>
      </c>
    </row>
    <row r="18" spans="2:18" x14ac:dyDescent="0.15">
      <c r="E18" s="210"/>
      <c r="F18" s="210"/>
      <c r="G18" s="210"/>
      <c r="H18" s="210"/>
      <c r="I18" s="210"/>
      <c r="J18" s="210"/>
      <c r="K18" s="210"/>
      <c r="L18" s="210"/>
      <c r="M18" s="210"/>
      <c r="N18" s="210"/>
      <c r="O18" s="210"/>
      <c r="P18" s="210"/>
      <c r="Q18" s="210"/>
    </row>
    <row r="19" spans="2:18" x14ac:dyDescent="0.15">
      <c r="E19" s="14"/>
      <c r="F19" s="14"/>
      <c r="G19" s="14"/>
      <c r="H19" s="14"/>
      <c r="I19" s="38"/>
      <c r="J19" s="38"/>
      <c r="K19" s="38"/>
      <c r="L19" s="38"/>
      <c r="M19" s="38"/>
      <c r="N19" s="38"/>
      <c r="O19" s="38"/>
      <c r="P19" s="38"/>
      <c r="Q19" s="38"/>
      <c r="R19" s="210"/>
    </row>
    <row r="20" spans="2:18" x14ac:dyDescent="0.15">
      <c r="B20" s="481" t="s">
        <v>106</v>
      </c>
      <c r="C20" s="481"/>
      <c r="H20" s="41"/>
      <c r="K20" s="41"/>
    </row>
    <row r="21" spans="2:18" ht="18" x14ac:dyDescent="0.25">
      <c r="B21" s="2" t="s">
        <v>107</v>
      </c>
      <c r="C21" s="92">
        <f>Assumptions!D31</f>
        <v>6.5229999999999996E-2</v>
      </c>
      <c r="H21" s="41"/>
    </row>
    <row r="22" spans="2:18" ht="18" x14ac:dyDescent="0.25">
      <c r="B22" s="2" t="s">
        <v>108</v>
      </c>
      <c r="C22" s="92">
        <f>'Market data'!C2491</f>
        <v>0.11937269813830663</v>
      </c>
    </row>
    <row r="23" spans="2:18" x14ac:dyDescent="0.15">
      <c r="B23" s="2" t="s">
        <v>100</v>
      </c>
      <c r="C23" s="93">
        <f>'Equity Beta'!C262</f>
        <v>1.3545168084281307</v>
      </c>
    </row>
    <row r="24" spans="2:18" ht="18" x14ac:dyDescent="0.25">
      <c r="B24" s="2" t="s">
        <v>109</v>
      </c>
      <c r="C24" s="92">
        <f>C22-C21</f>
        <v>5.4142698138306633E-2</v>
      </c>
    </row>
    <row r="26" spans="2:18" s="4" customFormat="1" x14ac:dyDescent="0.15">
      <c r="B26" s="4" t="s">
        <v>110</v>
      </c>
      <c r="C26" s="194">
        <f>C21+C23*C24</f>
        <v>0.13856719468198681</v>
      </c>
    </row>
    <row r="27" spans="2:18" x14ac:dyDescent="0.15">
      <c r="C27" s="38"/>
    </row>
    <row r="29" spans="2:18" x14ac:dyDescent="0.15">
      <c r="B29" s="481" t="s">
        <v>111</v>
      </c>
      <c r="C29" s="481"/>
      <c r="D29" s="481"/>
      <c r="E29" s="481"/>
    </row>
    <row r="30" spans="2:18" s="10" customFormat="1" x14ac:dyDescent="0.15">
      <c r="B30" s="10" t="s">
        <v>0</v>
      </c>
      <c r="C30" s="10" t="s">
        <v>116</v>
      </c>
      <c r="D30" s="10" t="s">
        <v>117</v>
      </c>
      <c r="E30" s="10" t="s">
        <v>118</v>
      </c>
    </row>
    <row r="31" spans="2:18" x14ac:dyDescent="0.15">
      <c r="B31" s="2" t="s">
        <v>112</v>
      </c>
      <c r="C31" s="92">
        <f>C26</f>
        <v>0.13856719468198681</v>
      </c>
      <c r="D31" s="38">
        <f>C35/C37</f>
        <v>0.92460825005120972</v>
      </c>
      <c r="E31" s="92">
        <f>D31*C31</f>
        <v>0.12812037138941712</v>
      </c>
    </row>
    <row r="32" spans="2:18" x14ac:dyDescent="0.15">
      <c r="B32" s="2" t="s">
        <v>113</v>
      </c>
      <c r="C32" s="38">
        <f>Assumptions!D32</f>
        <v>5.9053660221725042E-2</v>
      </c>
      <c r="D32" s="38">
        <f>C36/C37</f>
        <v>7.5391749948790276E-2</v>
      </c>
      <c r="E32" s="92">
        <f>D32*C32</f>
        <v>4.4521587849971171E-3</v>
      </c>
    </row>
    <row r="33" spans="2:5" x14ac:dyDescent="0.15">
      <c r="B33" s="4" t="s">
        <v>111</v>
      </c>
      <c r="E33" s="450">
        <f>SUM(E31:E32)</f>
        <v>0.13257253017441423</v>
      </c>
    </row>
    <row r="34" spans="2:5" x14ac:dyDescent="0.15">
      <c r="B34" s="4"/>
      <c r="E34" s="94"/>
    </row>
    <row r="35" spans="2:5" x14ac:dyDescent="0.15">
      <c r="B35" s="2" t="s">
        <v>114</v>
      </c>
      <c r="C35" s="41">
        <f>Assumptions!D26</f>
        <v>6808.6330736399996</v>
      </c>
    </row>
    <row r="36" spans="2:5" x14ac:dyDescent="0.15">
      <c r="B36" s="2" t="s">
        <v>115</v>
      </c>
      <c r="C36" s="41">
        <f>'Balance Sheet'!H53+'Balance Sheet'!H63</f>
        <v>555.17000000000007</v>
      </c>
    </row>
    <row r="37" spans="2:5" x14ac:dyDescent="0.15">
      <c r="B37" s="2" t="s">
        <v>119</v>
      </c>
      <c r="C37" s="42">
        <f>SUM(C35:C36)</f>
        <v>7363.8030736399996</v>
      </c>
    </row>
    <row r="40" spans="2:5" x14ac:dyDescent="0.15">
      <c r="B40" s="481" t="s">
        <v>120</v>
      </c>
      <c r="C40" s="481"/>
    </row>
    <row r="41" spans="2:5" x14ac:dyDescent="0.15">
      <c r="B41" s="2" t="s">
        <v>54</v>
      </c>
      <c r="C41" s="92">
        <f>Assumptions!D30</f>
        <v>0.04</v>
      </c>
    </row>
    <row r="42" spans="2:5" x14ac:dyDescent="0.15">
      <c r="B42" s="2" t="s">
        <v>120</v>
      </c>
      <c r="C42" s="9">
        <f ca="1">Q17*(1+C41)/(E33-C41)</f>
        <v>22857.410194779037</v>
      </c>
    </row>
    <row r="44" spans="2:5" x14ac:dyDescent="0.15">
      <c r="B44" s="481" t="s">
        <v>121</v>
      </c>
      <c r="C44" s="481"/>
    </row>
    <row r="45" spans="2:5" x14ac:dyDescent="0.15">
      <c r="B45" s="2" t="s">
        <v>122</v>
      </c>
      <c r="C45" s="9">
        <f ca="1">NPV(E33,H17:Q17)</f>
        <v>5945.2534763365165</v>
      </c>
    </row>
    <row r="46" spans="2:5" x14ac:dyDescent="0.15">
      <c r="B46" s="2" t="s">
        <v>123</v>
      </c>
      <c r="C46" s="9">
        <f ca="1">PV(E33,COUNT(H8:Q8),0,-C42)</f>
        <v>6582.1349674416952</v>
      </c>
    </row>
    <row r="48" spans="2:5" x14ac:dyDescent="0.15">
      <c r="B48" s="4" t="s">
        <v>124</v>
      </c>
      <c r="C48" s="42">
        <f ca="1">SUM(C45:C47)</f>
        <v>12527.388443778211</v>
      </c>
    </row>
    <row r="50" spans="2:12" x14ac:dyDescent="0.15">
      <c r="B50" s="2" t="s">
        <v>125</v>
      </c>
      <c r="C50" s="41">
        <f>'Balance Sheet'!H33</f>
        <v>461.46999999999997</v>
      </c>
    </row>
    <row r="51" spans="2:12" x14ac:dyDescent="0.15">
      <c r="B51" s="2" t="s">
        <v>126</v>
      </c>
      <c r="C51" s="41">
        <f>C36</f>
        <v>555.17000000000007</v>
      </c>
    </row>
    <row r="52" spans="2:12" x14ac:dyDescent="0.15">
      <c r="B52" s="2" t="s">
        <v>127</v>
      </c>
      <c r="C52" s="41">
        <f>'Balance Sheet'!H47</f>
        <v>0</v>
      </c>
    </row>
    <row r="53" spans="2:12" x14ac:dyDescent="0.15">
      <c r="B53" s="2" t="s">
        <v>128</v>
      </c>
      <c r="C53" s="9">
        <v>0</v>
      </c>
    </row>
    <row r="54" spans="2:12" x14ac:dyDescent="0.15">
      <c r="F54" s="508" t="s">
        <v>133</v>
      </c>
      <c r="G54" s="508"/>
      <c r="H54" s="508"/>
      <c r="I54" s="508"/>
      <c r="J54" s="508"/>
      <c r="K54" s="508"/>
      <c r="L54" s="508"/>
    </row>
    <row r="55" spans="2:12" s="4" customFormat="1" x14ac:dyDescent="0.15">
      <c r="B55" s="4" t="s">
        <v>114</v>
      </c>
      <c r="C55" s="42">
        <f ca="1">C48+C50-C51-C52-C53</f>
        <v>12433.68844377821</v>
      </c>
    </row>
    <row r="56" spans="2:12" x14ac:dyDescent="0.15">
      <c r="F56" s="29"/>
      <c r="G56" s="29"/>
      <c r="H56" s="481" t="s">
        <v>132</v>
      </c>
      <c r="I56" s="481"/>
      <c r="J56" s="481"/>
      <c r="K56" s="481"/>
      <c r="L56" s="481"/>
    </row>
    <row r="57" spans="2:12" ht="13.75" customHeight="1" x14ac:dyDescent="0.15">
      <c r="B57" s="2" t="s">
        <v>129</v>
      </c>
      <c r="C57" s="95">
        <f>Assumptions!D23</f>
        <v>30939894</v>
      </c>
      <c r="F57" s="29"/>
      <c r="G57" s="109">
        <f ca="1">C58</f>
        <v>4018.6590308868576</v>
      </c>
      <c r="H57" s="97">
        <v>0.11260000000000001</v>
      </c>
      <c r="I57" s="97">
        <v>0.1226</v>
      </c>
      <c r="J57" s="97">
        <v>0.13256999999999999</v>
      </c>
      <c r="K57" s="97">
        <v>0.1426</v>
      </c>
      <c r="L57" s="97">
        <v>0.15260000000000001</v>
      </c>
    </row>
    <row r="58" spans="2:12" ht="15.5" customHeight="1" x14ac:dyDescent="0.15">
      <c r="B58" s="144" t="s">
        <v>130</v>
      </c>
      <c r="C58" s="145">
        <f ca="1">C55*10^7/C57</f>
        <v>4018.6590308868576</v>
      </c>
      <c r="F58" s="548" t="s">
        <v>131</v>
      </c>
      <c r="G58" s="97">
        <v>0.02</v>
      </c>
      <c r="H58" s="98">
        <f t="dataTable" ref="H58:L62" dt2D="1" dtr="1" r1="E33" r2="C41" ca="1"/>
        <v>4582.4398362802722</v>
      </c>
      <c r="I58" s="98">
        <v>4043.7654621449806</v>
      </c>
      <c r="J58" s="98">
        <v>3607.156695364079</v>
      </c>
      <c r="K58" s="98">
        <v>3243.9998802984883</v>
      </c>
      <c r="L58" s="98">
        <v>2940.403197504289</v>
      </c>
    </row>
    <row r="59" spans="2:12" x14ac:dyDescent="0.15">
      <c r="C59" s="96"/>
      <c r="F59" s="548"/>
      <c r="G59" s="99">
        <v>0.03</v>
      </c>
      <c r="H59" s="100">
        <v>4911.5296659290243</v>
      </c>
      <c r="I59" s="100">
        <v>4288.2060429117919</v>
      </c>
      <c r="J59" s="100">
        <v>3792.906553487393</v>
      </c>
      <c r="K59" s="100">
        <v>3387.5092169809027</v>
      </c>
      <c r="L59" s="100">
        <v>3053.0750575255738</v>
      </c>
    </row>
    <row r="60" spans="2:12" x14ac:dyDescent="0.15">
      <c r="B60" s="2" t="s">
        <v>193</v>
      </c>
      <c r="C60" s="95">
        <f>Assumptions!D25</f>
        <v>2200.6</v>
      </c>
      <c r="D60" s="41"/>
      <c r="F60" s="548"/>
      <c r="G60" s="97">
        <v>0.04</v>
      </c>
      <c r="H60" s="98">
        <v>5331.2778508529163</v>
      </c>
      <c r="I60" s="98">
        <v>4591.8332049780747</v>
      </c>
      <c r="J60" s="146">
        <v>4018.7881731151492</v>
      </c>
      <c r="K60" s="98">
        <v>3558.9930832310388</v>
      </c>
      <c r="L60" s="98">
        <v>3185.7596813161817</v>
      </c>
    </row>
    <row r="61" spans="2:12" x14ac:dyDescent="0.15">
      <c r="F61" s="548"/>
      <c r="G61" s="97">
        <v>0.05</v>
      </c>
      <c r="H61" s="98">
        <v>5885.1308871901902</v>
      </c>
      <c r="I61" s="98">
        <v>4979.1042133436085</v>
      </c>
      <c r="J61" s="98">
        <v>4299.3825503129083</v>
      </c>
      <c r="K61" s="98">
        <v>3767.5145015870357</v>
      </c>
      <c r="L61" s="98">
        <v>3344.3087541887776</v>
      </c>
    </row>
    <row r="62" spans="2:12" x14ac:dyDescent="0.15">
      <c r="B62" s="2" t="s">
        <v>256</v>
      </c>
      <c r="C62" s="14">
        <f ca="1">(C58-C60)/C60</f>
        <v>0.82616515081653086</v>
      </c>
      <c r="F62" s="548"/>
      <c r="G62" s="97">
        <v>0.06</v>
      </c>
      <c r="H62" s="98">
        <v>6649.5744316404935</v>
      </c>
      <c r="I62" s="98">
        <v>5490.1039783754468</v>
      </c>
      <c r="J62" s="98">
        <v>4657.3076088384214</v>
      </c>
      <c r="K62" s="98">
        <v>4026.5253674868582</v>
      </c>
      <c r="L62" s="98">
        <v>3537.1016872930372</v>
      </c>
    </row>
  </sheetData>
  <mergeCells count="11">
    <mergeCell ref="B7:Q7"/>
    <mergeCell ref="P6:Q6"/>
    <mergeCell ref="B44:C44"/>
    <mergeCell ref="F58:F62"/>
    <mergeCell ref="H56:L56"/>
    <mergeCell ref="F54:L54"/>
    <mergeCell ref="K6:L6"/>
    <mergeCell ref="B8:B9"/>
    <mergeCell ref="B20:C20"/>
    <mergeCell ref="B29:E29"/>
    <mergeCell ref="B40:C40"/>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D6B7C0-62F4-DF48-B0B5-AD49135FAF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Assumptions</vt:lpstr>
      <vt:lpstr>P&amp;L Input</vt:lpstr>
      <vt:lpstr>BS Input</vt:lpstr>
      <vt:lpstr>CF Input</vt:lpstr>
      <vt:lpstr>Common Sizing</vt:lpstr>
      <vt:lpstr>Revenue Buildup</vt:lpstr>
      <vt:lpstr>Cost Buildup</vt:lpstr>
      <vt:lpstr>FAS</vt:lpstr>
      <vt:lpstr>BS items </vt:lpstr>
      <vt:lpstr>Working Capital</vt:lpstr>
      <vt:lpstr>Income Statement</vt:lpstr>
      <vt:lpstr>Balance Sheet</vt:lpstr>
      <vt:lpstr>Ratio Analysis</vt:lpstr>
      <vt:lpstr>Cash Flows</vt:lpstr>
      <vt:lpstr>Standard Income Statement</vt:lpstr>
      <vt:lpstr>Charts</vt:lpstr>
      <vt:lpstr>Equity Beta</vt:lpstr>
      <vt:lpstr>Market data</vt:lpstr>
      <vt:lpstr>Comps Data</vt:lpstr>
      <vt:lpstr>COMPS</vt:lpstr>
      <vt:lpstr>DCF Valuation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Raj</dc:creator>
  <cp:lastModifiedBy>.</cp:lastModifiedBy>
  <dcterms:created xsi:type="dcterms:W3CDTF">2006-09-16T00:00:00Z</dcterms:created>
  <dcterms:modified xsi:type="dcterms:W3CDTF">2025-10-07T05:45:26Z</dcterms:modified>
</cp:coreProperties>
</file>