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fin_guy/Downloads/Excel Files/"/>
    </mc:Choice>
  </mc:AlternateContent>
  <xr:revisionPtr revIDLastSave="0" documentId="13_ncr:1_{0E562714-058D-C642-B08F-E79AFA41BA8E}" xr6:coauthVersionLast="47" xr6:coauthVersionMax="47" xr10:uidLastSave="{00000000-0000-0000-0000-000000000000}"/>
  <bookViews>
    <workbookView xWindow="0" yWindow="500" windowWidth="28800" windowHeight="15920" xr2:uid="{B37B18B0-13FD-C844-84C1-CE5EBC7C6F31}"/>
  </bookViews>
  <sheets>
    <sheet name="Index" sheetId="14" r:id="rId1"/>
    <sheet name="Historical" sheetId="4" r:id="rId2"/>
    <sheet name="Assumptions" sheetId="23" r:id="rId3"/>
    <sheet name="Model" sheetId="5" r:id="rId4"/>
    <sheet name="Scenarios" sheetId="6" r:id="rId5"/>
    <sheet name="Ratio Analysis" sheetId="24" r:id="rId6"/>
    <sheet name="Comps" sheetId="7" r:id="rId7"/>
    <sheet name="Comps Data" sheetId="8" r:id="rId8"/>
    <sheet name="Market Data" sheetId="9" r:id="rId9"/>
    <sheet name="WACC" sheetId="10" r:id="rId10"/>
    <sheet name="Beta" sheetId="11" r:id="rId11"/>
    <sheet name="Summary"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9" l="1"/>
  <c r="E9" i="9"/>
  <c r="I30" i="5"/>
  <c r="J30" i="5"/>
  <c r="K30" i="5"/>
  <c r="L30" i="5"/>
  <c r="H30" i="5"/>
  <c r="I26" i="5"/>
  <c r="J26" i="5"/>
  <c r="K26" i="5"/>
  <c r="L26" i="5"/>
  <c r="H26" i="5"/>
  <c r="H22" i="4"/>
  <c r="I112" i="5"/>
  <c r="J112" i="5"/>
  <c r="K112" i="5"/>
  <c r="L112" i="5"/>
  <c r="K105" i="5"/>
  <c r="L105" i="5"/>
  <c r="K106" i="5"/>
  <c r="L106" i="5"/>
  <c r="K107" i="5"/>
  <c r="L107" i="5"/>
  <c r="H97" i="5"/>
  <c r="I97" i="5"/>
  <c r="J97" i="5"/>
  <c r="K97" i="5"/>
  <c r="L97" i="5"/>
  <c r="K91" i="5" l="1"/>
  <c r="L91" i="5"/>
  <c r="K92" i="5"/>
  <c r="L92" i="5"/>
  <c r="K93" i="5"/>
  <c r="L93" i="5"/>
  <c r="K83" i="5"/>
  <c r="L83" i="5"/>
  <c r="K84" i="5"/>
  <c r="L84" i="5"/>
  <c r="K85" i="5"/>
  <c r="L85" i="5"/>
  <c r="K86" i="5"/>
  <c r="L86" i="5"/>
  <c r="K87" i="5"/>
  <c r="L87" i="5"/>
  <c r="K76" i="5"/>
  <c r="L76" i="5"/>
  <c r="K77" i="5"/>
  <c r="L77" i="5"/>
  <c r="K65" i="5"/>
  <c r="L65" i="5"/>
  <c r="K66" i="5"/>
  <c r="L66" i="5"/>
  <c r="K67" i="5"/>
  <c r="L67" i="5"/>
  <c r="K58" i="5"/>
  <c r="L58" i="5"/>
  <c r="K59" i="5"/>
  <c r="L59" i="5"/>
  <c r="K61" i="5"/>
  <c r="L61" i="5"/>
  <c r="K62" i="5"/>
  <c r="L62" i="5"/>
  <c r="L53" i="5"/>
  <c r="L52" i="5"/>
  <c r="L51" i="5"/>
  <c r="L49" i="5"/>
  <c r="L48" i="5"/>
  <c r="L47" i="5"/>
  <c r="L46" i="5"/>
  <c r="M46" i="5" s="1"/>
  <c r="L45" i="5"/>
  <c r="K53" i="5"/>
  <c r="K52" i="5"/>
  <c r="K51" i="5"/>
  <c r="K49" i="5"/>
  <c r="K48" i="5"/>
  <c r="K47" i="5"/>
  <c r="K46" i="5"/>
  <c r="K45" i="5"/>
  <c r="K151" i="4"/>
  <c r="L151" i="4"/>
  <c r="L139" i="4"/>
  <c r="K139" i="4"/>
  <c r="L116" i="4"/>
  <c r="L79" i="5" s="1"/>
  <c r="K116" i="4"/>
  <c r="K79" i="5" s="1"/>
  <c r="L110" i="4"/>
  <c r="L111" i="4" s="1"/>
  <c r="L117" i="4" s="1"/>
  <c r="L119" i="4" s="1"/>
  <c r="L152" i="4" s="1"/>
  <c r="K110" i="4"/>
  <c r="K111" i="4" s="1"/>
  <c r="K117" i="4" s="1"/>
  <c r="K119" i="4" s="1"/>
  <c r="K152" i="4" s="1"/>
  <c r="L78" i="4"/>
  <c r="K78" i="4"/>
  <c r="K88" i="4"/>
  <c r="K89" i="4" s="1"/>
  <c r="L88" i="4"/>
  <c r="L66" i="4"/>
  <c r="L68" i="4" s="1"/>
  <c r="K66" i="4"/>
  <c r="K68" i="4" s="1"/>
  <c r="L60" i="4"/>
  <c r="K60" i="4"/>
  <c r="K49" i="4"/>
  <c r="L49" i="4"/>
  <c r="A1" i="24"/>
  <c r="L78" i="5" l="1"/>
  <c r="K78" i="5"/>
  <c r="K80" i="5"/>
  <c r="K155" i="4"/>
  <c r="K90" i="4"/>
  <c r="G4" i="5" a="1"/>
  <c r="G4" i="5" s="1"/>
  <c r="G7" i="5"/>
  <c r="W139" i="5" l="1"/>
  <c r="M20" i="5" l="1"/>
  <c r="N20" i="5" s="1"/>
  <c r="O20" i="5" s="1"/>
  <c r="P20" i="5" s="1"/>
  <c r="Q20" i="5" s="1"/>
  <c r="R20" i="5" s="1"/>
  <c r="S20" i="5" s="1"/>
  <c r="T20" i="5" s="1"/>
  <c r="U20" i="5" s="1"/>
  <c r="V20" i="5" s="1"/>
  <c r="V139" i="5"/>
  <c r="X137" i="5"/>
  <c r="H91" i="5"/>
  <c r="I91" i="5"/>
  <c r="J91" i="5"/>
  <c r="H92" i="5"/>
  <c r="I92" i="5"/>
  <c r="J92" i="5"/>
  <c r="H93" i="5"/>
  <c r="I93" i="5"/>
  <c r="J93" i="5"/>
  <c r="H85" i="5"/>
  <c r="I85" i="5"/>
  <c r="J85" i="5"/>
  <c r="H84" i="5"/>
  <c r="I84" i="5"/>
  <c r="J84" i="5"/>
  <c r="H86" i="5"/>
  <c r="I86" i="5"/>
  <c r="J86" i="5"/>
  <c r="H87" i="5"/>
  <c r="I87" i="5"/>
  <c r="J87" i="5"/>
  <c r="H83" i="5"/>
  <c r="I83" i="5"/>
  <c r="J83" i="5"/>
  <c r="H77" i="5"/>
  <c r="I77" i="5"/>
  <c r="J77" i="5"/>
  <c r="H76" i="5"/>
  <c r="I76" i="5"/>
  <c r="J76" i="5"/>
  <c r="H107" i="5"/>
  <c r="I107" i="5"/>
  <c r="J107" i="5"/>
  <c r="H106" i="5"/>
  <c r="I106" i="5"/>
  <c r="J106" i="5"/>
  <c r="H105" i="5"/>
  <c r="I105" i="5"/>
  <c r="J105" i="5"/>
  <c r="H67" i="5"/>
  <c r="I67" i="5"/>
  <c r="J67" i="5"/>
  <c r="M67" i="5"/>
  <c r="N67" i="5" s="1"/>
  <c r="O67" i="5" s="1"/>
  <c r="P67" i="5" s="1"/>
  <c r="Q67" i="5" s="1"/>
  <c r="R67" i="5" s="1"/>
  <c r="S67" i="5" s="1"/>
  <c r="T67" i="5" s="1"/>
  <c r="U67" i="5" s="1"/>
  <c r="V67" i="5" s="1"/>
  <c r="H66" i="5"/>
  <c r="I66" i="5"/>
  <c r="J66" i="5"/>
  <c r="H65" i="5"/>
  <c r="I65" i="5"/>
  <c r="J65" i="5"/>
  <c r="H62" i="5"/>
  <c r="I62" i="5"/>
  <c r="J62" i="5"/>
  <c r="H59" i="5"/>
  <c r="I59" i="5"/>
  <c r="J59" i="5"/>
  <c r="H61" i="5"/>
  <c r="I61" i="5"/>
  <c r="J61" i="5"/>
  <c r="H58" i="5"/>
  <c r="I58" i="5"/>
  <c r="J58" i="5"/>
  <c r="F41" i="24" l="1"/>
  <c r="E41" i="24"/>
  <c r="D41" i="24"/>
  <c r="E157" i="5"/>
  <c r="G41" i="24"/>
  <c r="L68" i="5"/>
  <c r="G34" i="24" s="1"/>
  <c r="I68" i="5"/>
  <c r="D34" i="24" s="1"/>
  <c r="K157" i="5"/>
  <c r="E158" i="5"/>
  <c r="H68" i="5"/>
  <c r="C33" i="24" s="1"/>
  <c r="K68" i="5"/>
  <c r="F33" i="24" s="1"/>
  <c r="J68" i="5"/>
  <c r="E34" i="24" s="1"/>
  <c r="H53" i="5"/>
  <c r="I53" i="5"/>
  <c r="J53" i="5"/>
  <c r="H52" i="5"/>
  <c r="I52" i="5"/>
  <c r="J52" i="5"/>
  <c r="H51" i="5"/>
  <c r="H114" i="5" s="1"/>
  <c r="I51" i="5"/>
  <c r="J51" i="5"/>
  <c r="C34" i="24" l="1"/>
  <c r="E33" i="24"/>
  <c r="F34" i="24"/>
  <c r="G33" i="24"/>
  <c r="D33" i="24"/>
  <c r="H35" i="5"/>
  <c r="I35" i="5"/>
  <c r="J35" i="5"/>
  <c r="K35" i="5"/>
  <c r="L35" i="5"/>
  <c r="H29" i="5"/>
  <c r="I29" i="5"/>
  <c r="J29" i="5"/>
  <c r="K29" i="5"/>
  <c r="L29" i="5"/>
  <c r="H36" i="10"/>
  <c r="M18" i="10"/>
  <c r="M17" i="10"/>
  <c r="N160" i="4"/>
  <c r="H6" i="11"/>
  <c r="N159" i="4"/>
  <c r="H139" i="4"/>
  <c r="H78" i="4"/>
  <c r="I78" i="4"/>
  <c r="J78" i="4"/>
  <c r="I28" i="4"/>
  <c r="J28" i="4"/>
  <c r="K28" i="4"/>
  <c r="L28" i="4"/>
  <c r="H28" i="4"/>
  <c r="T165" i="4"/>
  <c r="S165" i="4"/>
  <c r="R165" i="4"/>
  <c r="Q165" i="4"/>
  <c r="B1" i="23"/>
  <c r="D20" i="23"/>
  <c r="D21" i="23" l="1"/>
  <c r="U165" i="4"/>
  <c r="U164" i="4" s="1"/>
  <c r="H7" i="11"/>
  <c r="K9" i="13"/>
  <c r="K7" i="13"/>
  <c r="M112" i="5" l="1"/>
  <c r="N145" i="5" s="1"/>
  <c r="N112" i="5"/>
  <c r="O145" i="5" s="1"/>
  <c r="O112" i="5"/>
  <c r="P145" i="5" s="1"/>
  <c r="P112" i="5"/>
  <c r="Q145" i="5" s="1"/>
  <c r="Q112" i="5"/>
  <c r="R145" i="5" s="1"/>
  <c r="R112" i="5"/>
  <c r="S145" i="5" s="1"/>
  <c r="S112" i="5"/>
  <c r="T145" i="5" s="1"/>
  <c r="T112" i="5"/>
  <c r="U145" i="5" s="1"/>
  <c r="U112" i="5"/>
  <c r="V145" i="5" s="1"/>
  <c r="V112" i="5"/>
  <c r="W145" i="5" s="1"/>
  <c r="H25" i="5"/>
  <c r="I25" i="5"/>
  <c r="E43" i="24" l="1"/>
  <c r="H14" i="5"/>
  <c r="D43" i="24"/>
  <c r="I8" i="5"/>
  <c r="I11" i="5"/>
  <c r="I9" i="5"/>
  <c r="I10" i="5"/>
  <c r="I27" i="5"/>
  <c r="D10" i="24" s="1"/>
  <c r="H27" i="5"/>
  <c r="C10" i="24" s="1"/>
  <c r="H145" i="5" l="1"/>
  <c r="T139" i="5" l="1"/>
  <c r="U139" i="5"/>
  <c r="R91" i="5"/>
  <c r="S91" i="5"/>
  <c r="T91" i="5"/>
  <c r="U91" i="5"/>
  <c r="V91" i="5"/>
  <c r="K10" i="13" l="1"/>
  <c r="K8" i="13"/>
  <c r="J9" i="13"/>
  <c r="J10" i="13" s="1"/>
  <c r="J7" i="13"/>
  <c r="J8" i="13" s="1"/>
  <c r="A1" i="13"/>
  <c r="A1" i="14"/>
  <c r="K155" i="5" l="1"/>
  <c r="P139" i="5"/>
  <c r="M137" i="5"/>
  <c r="N139" i="5" s="1"/>
  <c r="N91" i="5"/>
  <c r="O91" i="5"/>
  <c r="P91" i="5"/>
  <c r="Q91" i="5"/>
  <c r="M91" i="5"/>
  <c r="I144" i="5"/>
  <c r="J144" i="5"/>
  <c r="K144" i="5"/>
  <c r="L144" i="5"/>
  <c r="J25" i="5"/>
  <c r="K25" i="5"/>
  <c r="L25" i="5"/>
  <c r="I32" i="5"/>
  <c r="J32" i="5"/>
  <c r="J113" i="5" s="1"/>
  <c r="K32" i="5"/>
  <c r="K113" i="5" s="1"/>
  <c r="L32" i="5"/>
  <c r="L113" i="5" s="1"/>
  <c r="I34" i="5"/>
  <c r="J34" i="5"/>
  <c r="K34" i="5"/>
  <c r="L34" i="5"/>
  <c r="L120" i="5" s="1"/>
  <c r="I45" i="5"/>
  <c r="J45" i="5"/>
  <c r="I46" i="5"/>
  <c r="J46" i="5"/>
  <c r="I47" i="5"/>
  <c r="J47" i="5"/>
  <c r="I48" i="5"/>
  <c r="J48" i="5"/>
  <c r="I49" i="5"/>
  <c r="J49" i="5"/>
  <c r="M49" i="5"/>
  <c r="I114" i="5"/>
  <c r="J114" i="5"/>
  <c r="K114" i="5"/>
  <c r="L114" i="5"/>
  <c r="M52" i="5"/>
  <c r="M53" i="5"/>
  <c r="N53" i="5" s="1"/>
  <c r="O53" i="5" s="1"/>
  <c r="P53" i="5" s="1"/>
  <c r="Q53" i="5" s="1"/>
  <c r="R53" i="5" s="1"/>
  <c r="S53" i="5" s="1"/>
  <c r="T53" i="5" s="1"/>
  <c r="U53" i="5" s="1"/>
  <c r="V53" i="5" s="1"/>
  <c r="M59" i="5"/>
  <c r="N59" i="5" s="1"/>
  <c r="O59" i="5" s="1"/>
  <c r="P59" i="5" s="1"/>
  <c r="Q59" i="5" s="1"/>
  <c r="R59" i="5" s="1"/>
  <c r="S59" i="5" s="1"/>
  <c r="T59" i="5" s="1"/>
  <c r="U59" i="5" s="1"/>
  <c r="V59" i="5" s="1"/>
  <c r="M62" i="5"/>
  <c r="N62" i="5" s="1"/>
  <c r="O62" i="5" s="1"/>
  <c r="P62" i="5" s="1"/>
  <c r="Q62" i="5" s="1"/>
  <c r="R62" i="5" s="1"/>
  <c r="S62" i="5" s="1"/>
  <c r="T62" i="5" s="1"/>
  <c r="U62" i="5" s="1"/>
  <c r="V62" i="5" s="1"/>
  <c r="M65" i="5"/>
  <c r="H144" i="5"/>
  <c r="I111" i="5"/>
  <c r="H49" i="5"/>
  <c r="H48" i="5"/>
  <c r="H47" i="5"/>
  <c r="D37" i="24" s="1"/>
  <c r="H46" i="5"/>
  <c r="H45" i="5"/>
  <c r="H34" i="5"/>
  <c r="H120" i="5" s="1"/>
  <c r="H32" i="5"/>
  <c r="H113" i="5" s="1"/>
  <c r="O160" i="4"/>
  <c r="H151" i="4"/>
  <c r="I151" i="4"/>
  <c r="J151" i="4"/>
  <c r="I139" i="4"/>
  <c r="J139" i="4"/>
  <c r="H110" i="4"/>
  <c r="I110" i="4"/>
  <c r="J110" i="4"/>
  <c r="H116" i="4"/>
  <c r="H79" i="5" s="1"/>
  <c r="I116" i="4"/>
  <c r="I79" i="5" s="1"/>
  <c r="J116" i="4"/>
  <c r="J79" i="5" s="1"/>
  <c r="H35" i="4"/>
  <c r="H93" i="4" s="1"/>
  <c r="I158" i="4" s="1"/>
  <c r="H88" i="4"/>
  <c r="H89" i="4" s="1"/>
  <c r="I88" i="4"/>
  <c r="J88" i="4"/>
  <c r="H66" i="4"/>
  <c r="H68" i="4" s="1"/>
  <c r="I66" i="4"/>
  <c r="I68" i="4" s="1"/>
  <c r="J66" i="4"/>
  <c r="J68" i="4" s="1"/>
  <c r="H60" i="4"/>
  <c r="I60" i="4"/>
  <c r="J60" i="4"/>
  <c r="H49" i="4"/>
  <c r="I49" i="4"/>
  <c r="J49" i="4"/>
  <c r="H37" i="5"/>
  <c r="I37" i="5"/>
  <c r="J37" i="5"/>
  <c r="K37" i="5"/>
  <c r="L37" i="5"/>
  <c r="H18" i="7"/>
  <c r="H8" i="7"/>
  <c r="H9" i="7"/>
  <c r="H10" i="7"/>
  <c r="H11" i="7"/>
  <c r="H12" i="7"/>
  <c r="H13" i="7"/>
  <c r="E39" i="24" l="1"/>
  <c r="K54" i="5"/>
  <c r="D39" i="24"/>
  <c r="J111" i="4"/>
  <c r="J117" i="4" s="1"/>
  <c r="J119" i="4" s="1"/>
  <c r="J152" i="4" s="1"/>
  <c r="J155" i="4" s="1"/>
  <c r="J78" i="5"/>
  <c r="I111" i="4"/>
  <c r="I117" i="4" s="1"/>
  <c r="I119" i="4" s="1"/>
  <c r="I152" i="4" s="1"/>
  <c r="I155" i="4" s="1"/>
  <c r="I78" i="5"/>
  <c r="H111" i="4"/>
  <c r="H117" i="4" s="1"/>
  <c r="H119" i="4" s="1"/>
  <c r="H152" i="4" s="1"/>
  <c r="H78" i="5"/>
  <c r="L155" i="4"/>
  <c r="E156" i="5"/>
  <c r="G27" i="24"/>
  <c r="G28" i="24"/>
  <c r="C28" i="24"/>
  <c r="C27" i="24"/>
  <c r="E28" i="24"/>
  <c r="E27" i="24"/>
  <c r="D27" i="24"/>
  <c r="D28" i="24"/>
  <c r="G37" i="24"/>
  <c r="G39" i="24"/>
  <c r="F27" i="24"/>
  <c r="F28" i="24"/>
  <c r="F37" i="24"/>
  <c r="G43" i="24"/>
  <c r="F39" i="24"/>
  <c r="E37" i="24"/>
  <c r="F43" i="24"/>
  <c r="I113" i="5"/>
  <c r="I145" i="5" s="1"/>
  <c r="I12" i="5"/>
  <c r="N65" i="5"/>
  <c r="H90" i="4"/>
  <c r="N46" i="5"/>
  <c r="O46" i="5" s="1"/>
  <c r="P46" i="5" s="1"/>
  <c r="Q46" i="5" s="1"/>
  <c r="R46" i="5" s="1"/>
  <c r="S46" i="5" s="1"/>
  <c r="T46" i="5" s="1"/>
  <c r="U46" i="5" s="1"/>
  <c r="V46" i="5" s="1"/>
  <c r="O139" i="5"/>
  <c r="L14" i="5"/>
  <c r="L10" i="5"/>
  <c r="K14" i="5"/>
  <c r="K10" i="5"/>
  <c r="J14" i="5"/>
  <c r="J10" i="5"/>
  <c r="I14" i="5"/>
  <c r="H119" i="5"/>
  <c r="I117" i="5" s="1"/>
  <c r="I13" i="5" s="1"/>
  <c r="S139" i="5"/>
  <c r="R139" i="5"/>
  <c r="Q139" i="5"/>
  <c r="J119" i="5"/>
  <c r="K117" i="5" s="1"/>
  <c r="K13" i="5" s="1"/>
  <c r="I88" i="5"/>
  <c r="I94" i="5"/>
  <c r="K19" i="5"/>
  <c r="F42" i="24" s="1"/>
  <c r="K18" i="5"/>
  <c r="F40" i="24" s="1"/>
  <c r="I19" i="5"/>
  <c r="D42" i="24" s="1"/>
  <c r="I18" i="5"/>
  <c r="D40" i="24" s="1"/>
  <c r="J88" i="5"/>
  <c r="H18" i="5"/>
  <c r="C40" i="24" s="1"/>
  <c r="H11" i="5"/>
  <c r="K158" i="5"/>
  <c r="H10" i="5"/>
  <c r="K17" i="5"/>
  <c r="F38" i="24" s="1"/>
  <c r="L9" i="5"/>
  <c r="L17" i="5"/>
  <c r="G38" i="24" s="1"/>
  <c r="J17" i="5"/>
  <c r="E38" i="24" s="1"/>
  <c r="K11" i="5"/>
  <c r="K9" i="5"/>
  <c r="H19" i="5"/>
  <c r="C42" i="24" s="1"/>
  <c r="I17" i="5"/>
  <c r="D38" i="24" s="1"/>
  <c r="J11" i="5"/>
  <c r="K94" i="5"/>
  <c r="H108" i="5"/>
  <c r="H146" i="5" s="1"/>
  <c r="K88" i="5"/>
  <c r="K96" i="5" s="1"/>
  <c r="K98" i="5" s="1"/>
  <c r="H94" i="5"/>
  <c r="J94" i="5"/>
  <c r="H88" i="5"/>
  <c r="L11" i="5"/>
  <c r="H9" i="5"/>
  <c r="H17" i="5"/>
  <c r="C38" i="24" s="1"/>
  <c r="L63" i="5"/>
  <c r="L19" i="5"/>
  <c r="G42" i="24" s="1"/>
  <c r="L18" i="5"/>
  <c r="G40" i="24" s="1"/>
  <c r="K156" i="5"/>
  <c r="L94" i="5"/>
  <c r="J19" i="5"/>
  <c r="E42" i="24" s="1"/>
  <c r="J18" i="5"/>
  <c r="E40" i="24" s="1"/>
  <c r="L88" i="5"/>
  <c r="K161" i="5"/>
  <c r="O155" i="5" s="1"/>
  <c r="J111" i="5"/>
  <c r="J12" i="5" s="1"/>
  <c r="N49" i="5"/>
  <c r="N52" i="5"/>
  <c r="N85" i="5" s="1"/>
  <c r="M111" i="5"/>
  <c r="L111" i="5"/>
  <c r="L145" i="5" s="1"/>
  <c r="K111" i="5"/>
  <c r="K145" i="5" s="1"/>
  <c r="J27" i="5"/>
  <c r="E10" i="24" s="1"/>
  <c r="I63" i="5"/>
  <c r="K108" i="5"/>
  <c r="K146" i="5" s="1"/>
  <c r="K8" i="5"/>
  <c r="K120" i="5"/>
  <c r="L54" i="5"/>
  <c r="G32" i="24" s="1"/>
  <c r="L27" i="5"/>
  <c r="G10" i="24" s="1"/>
  <c r="J108" i="5"/>
  <c r="J146" i="5" s="1"/>
  <c r="J8" i="5"/>
  <c r="I119" i="5"/>
  <c r="J120" i="5"/>
  <c r="I108" i="5"/>
  <c r="I146" i="5" s="1"/>
  <c r="I120" i="5"/>
  <c r="M85" i="5"/>
  <c r="J9" i="5"/>
  <c r="K63" i="5"/>
  <c r="K27" i="5"/>
  <c r="F10" i="24" s="1"/>
  <c r="L119" i="5"/>
  <c r="F32" i="24"/>
  <c r="J54" i="5"/>
  <c r="E32" i="24" s="1"/>
  <c r="I54" i="5"/>
  <c r="D32" i="24" s="1"/>
  <c r="J63" i="5"/>
  <c r="L108" i="5"/>
  <c r="L146" i="5" s="1"/>
  <c r="L8" i="5"/>
  <c r="K119" i="5"/>
  <c r="H63" i="5"/>
  <c r="H54" i="5"/>
  <c r="J89" i="4"/>
  <c r="J90" i="4" s="1"/>
  <c r="I89" i="4"/>
  <c r="I90" i="4" s="1"/>
  <c r="L89" i="4"/>
  <c r="L90" i="4" s="1"/>
  <c r="J61" i="4"/>
  <c r="I61" i="4"/>
  <c r="H61" i="4"/>
  <c r="L61" i="4"/>
  <c r="K61" i="4"/>
  <c r="Q11" i="7"/>
  <c r="P10" i="7"/>
  <c r="P11" i="7"/>
  <c r="P13" i="7"/>
  <c r="O10" i="7"/>
  <c r="O13" i="7"/>
  <c r="I10" i="7"/>
  <c r="I18" i="7"/>
  <c r="K22" i="7" s="1"/>
  <c r="K18" i="7"/>
  <c r="L10" i="10"/>
  <c r="L11" i="10"/>
  <c r="L12" i="10"/>
  <c r="L13" i="10"/>
  <c r="L14" i="10"/>
  <c r="L15" i="10"/>
  <c r="O18" i="7"/>
  <c r="P18" i="7"/>
  <c r="Q18" i="7"/>
  <c r="O8" i="7"/>
  <c r="P8" i="7"/>
  <c r="Q8" i="7"/>
  <c r="O9" i="7"/>
  <c r="P9" i="7"/>
  <c r="Q9" i="7"/>
  <c r="Q10" i="7"/>
  <c r="O11" i="7"/>
  <c r="O12" i="7"/>
  <c r="P12" i="7"/>
  <c r="Q12" i="7"/>
  <c r="Q13" i="7"/>
  <c r="L18" i="7"/>
  <c r="L8" i="7"/>
  <c r="L9" i="7"/>
  <c r="L10" i="7"/>
  <c r="L11" i="7"/>
  <c r="L12" i="7"/>
  <c r="L13" i="7"/>
  <c r="K8" i="7"/>
  <c r="I10" i="10" s="1"/>
  <c r="K9" i="7"/>
  <c r="I11" i="10" s="1"/>
  <c r="K10" i="7"/>
  <c r="I12" i="10" s="1"/>
  <c r="K11" i="7"/>
  <c r="I13" i="10" s="1"/>
  <c r="K12" i="7"/>
  <c r="I14" i="10" s="1"/>
  <c r="K13" i="7"/>
  <c r="I15" i="10" s="1"/>
  <c r="I8" i="7"/>
  <c r="J8" i="7" s="1"/>
  <c r="I9" i="7"/>
  <c r="I11" i="7"/>
  <c r="I12" i="7"/>
  <c r="I13" i="7"/>
  <c r="F18" i="7"/>
  <c r="F8" i="7"/>
  <c r="F9" i="7"/>
  <c r="F10" i="7"/>
  <c r="F11" i="7"/>
  <c r="F12" i="7"/>
  <c r="F13" i="7"/>
  <c r="D18" i="7"/>
  <c r="D20" i="10" s="1"/>
  <c r="D8" i="7"/>
  <c r="D9" i="7"/>
  <c r="D10" i="7"/>
  <c r="D11" i="7"/>
  <c r="D12" i="7"/>
  <c r="D13" i="7"/>
  <c r="D10" i="10"/>
  <c r="D11" i="10"/>
  <c r="D12" i="10"/>
  <c r="D13" i="10"/>
  <c r="D14" i="10"/>
  <c r="D15" i="10"/>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E7" i="11"/>
  <c r="C7" i="11"/>
  <c r="M14" i="5" l="1"/>
  <c r="H155" i="4"/>
  <c r="G29" i="24"/>
  <c r="C29" i="24"/>
  <c r="E29" i="24"/>
  <c r="F29" i="24"/>
  <c r="K159" i="5"/>
  <c r="G18" i="24"/>
  <c r="C32" i="24"/>
  <c r="D18" i="24"/>
  <c r="E5" i="6"/>
  <c r="E8" i="6" s="1"/>
  <c r="I5" i="6" s="1"/>
  <c r="D29" i="24"/>
  <c r="F18" i="24"/>
  <c r="E18" i="24"/>
  <c r="U8" i="7"/>
  <c r="L17" i="10"/>
  <c r="L18" i="10"/>
  <c r="O65" i="5"/>
  <c r="I20" i="10"/>
  <c r="I21" i="7"/>
  <c r="M97" i="5"/>
  <c r="N14" i="5"/>
  <c r="O14" i="5" s="1"/>
  <c r="P14" i="5" s="1"/>
  <c r="Q14" i="5" s="1"/>
  <c r="R14" i="5" s="1"/>
  <c r="S14" i="5" s="1"/>
  <c r="T14" i="5" s="1"/>
  <c r="U14" i="5" s="1"/>
  <c r="V14" i="5" s="1"/>
  <c r="M10" i="5"/>
  <c r="N10" i="5" s="1"/>
  <c r="H80" i="5"/>
  <c r="L31" i="5"/>
  <c r="G11" i="24" s="1"/>
  <c r="J31" i="5"/>
  <c r="E11" i="24" s="1"/>
  <c r="K31" i="5"/>
  <c r="F11" i="24" s="1"/>
  <c r="I80" i="5"/>
  <c r="H31" i="5"/>
  <c r="C11" i="24" s="1"/>
  <c r="I31" i="5"/>
  <c r="D11" i="24" s="1"/>
  <c r="L80" i="5"/>
  <c r="L96" i="5" s="1"/>
  <c r="L98" i="5" s="1"/>
  <c r="J80" i="5"/>
  <c r="H10" i="11"/>
  <c r="H69" i="5"/>
  <c r="M18" i="5"/>
  <c r="H40" i="24" s="1"/>
  <c r="M17" i="5"/>
  <c r="H38" i="24" s="1"/>
  <c r="L69" i="5"/>
  <c r="M19" i="5"/>
  <c r="H42" i="24" s="1"/>
  <c r="M11" i="5"/>
  <c r="N11" i="5" s="1"/>
  <c r="O11" i="5" s="1"/>
  <c r="K69" i="5"/>
  <c r="J145" i="5"/>
  <c r="J69" i="5"/>
  <c r="M9" i="5"/>
  <c r="N9" i="5" s="1"/>
  <c r="K12" i="5"/>
  <c r="I69" i="5"/>
  <c r="K118" i="5"/>
  <c r="L117" i="5"/>
  <c r="L13" i="5" s="1"/>
  <c r="I118" i="5"/>
  <c r="J117" i="5"/>
  <c r="M117" i="5"/>
  <c r="M119" i="5" s="1"/>
  <c r="L12" i="5"/>
  <c r="M12" i="5" s="1"/>
  <c r="N12" i="5" s="1"/>
  <c r="O12" i="5" s="1"/>
  <c r="P12" i="5" s="1"/>
  <c r="Q12" i="5" s="1"/>
  <c r="R12" i="5" s="1"/>
  <c r="S12" i="5" s="1"/>
  <c r="T12" i="5" s="1"/>
  <c r="U12" i="5" s="1"/>
  <c r="V12" i="5" s="1"/>
  <c r="O49" i="5"/>
  <c r="O52" i="5"/>
  <c r="O85" i="5" s="1"/>
  <c r="I22" i="7"/>
  <c r="I23" i="7"/>
  <c r="K21" i="7"/>
  <c r="K23" i="7"/>
  <c r="J12" i="7"/>
  <c r="M12" i="7" s="1"/>
  <c r="J13" i="7"/>
  <c r="J11" i="7"/>
  <c r="J10" i="7"/>
  <c r="J9" i="7"/>
  <c r="J18" i="7"/>
  <c r="H20" i="10" s="1"/>
  <c r="A1" i="11"/>
  <c r="A1" i="10"/>
  <c r="A1" i="9"/>
  <c r="A1" i="8"/>
  <c r="A1" i="7"/>
  <c r="A1" i="6"/>
  <c r="I2" i="5"/>
  <c r="A1" i="5"/>
  <c r="I96" i="5" l="1"/>
  <c r="I98" i="5" s="1"/>
  <c r="J96" i="5"/>
  <c r="J98" i="5" s="1"/>
  <c r="H96" i="5"/>
  <c r="H98" i="5" s="1"/>
  <c r="H29" i="24"/>
  <c r="I7" i="6"/>
  <c r="J7" i="6" s="1"/>
  <c r="K7" i="6" s="1"/>
  <c r="L7" i="6" s="1"/>
  <c r="M7" i="6" s="1"/>
  <c r="N7" i="6" s="1"/>
  <c r="O7" i="6" s="1"/>
  <c r="P7" i="6" s="1"/>
  <c r="Q7" i="6" s="1"/>
  <c r="R7" i="6" s="1"/>
  <c r="I6" i="6"/>
  <c r="J6" i="6" s="1"/>
  <c r="K6" i="6" s="1"/>
  <c r="L6" i="6" s="1"/>
  <c r="M6" i="6" s="1"/>
  <c r="N6" i="6" s="1"/>
  <c r="O6" i="6" s="1"/>
  <c r="P6" i="6" s="1"/>
  <c r="Q6" i="6" s="1"/>
  <c r="R6" i="6" s="1"/>
  <c r="J5" i="6"/>
  <c r="K5" i="6" s="1"/>
  <c r="L5" i="6" s="1"/>
  <c r="M5" i="6" s="1"/>
  <c r="N5" i="6" s="1"/>
  <c r="O5" i="6" s="1"/>
  <c r="P5" i="6" s="1"/>
  <c r="Q5" i="6" s="1"/>
  <c r="R5" i="6" s="1"/>
  <c r="P65" i="5"/>
  <c r="H31" i="10"/>
  <c r="H27" i="10"/>
  <c r="N18" i="5"/>
  <c r="I40" i="24" s="1"/>
  <c r="N19" i="5"/>
  <c r="I42" i="24" s="1"/>
  <c r="N17" i="5"/>
  <c r="I38" i="24" s="1"/>
  <c r="J2" i="5"/>
  <c r="H41" i="10"/>
  <c r="H42" i="10" s="1"/>
  <c r="H33" i="5"/>
  <c r="C12" i="24" s="1"/>
  <c r="J33" i="5"/>
  <c r="E12" i="24" s="1"/>
  <c r="I33" i="5"/>
  <c r="D12" i="24" s="1"/>
  <c r="L33" i="5"/>
  <c r="G12" i="24" s="1"/>
  <c r="K33" i="5"/>
  <c r="F12" i="24" s="1"/>
  <c r="P11" i="5"/>
  <c r="O10" i="5"/>
  <c r="P49" i="5"/>
  <c r="J118" i="5"/>
  <c r="J13" i="5"/>
  <c r="M13" i="5" s="1"/>
  <c r="O9" i="5"/>
  <c r="L118" i="5"/>
  <c r="N117" i="5"/>
  <c r="N119" i="5" s="1"/>
  <c r="M61" i="5"/>
  <c r="P52" i="5"/>
  <c r="P85" i="5" s="1"/>
  <c r="L71" i="5"/>
  <c r="L3" i="5" s="1"/>
  <c r="J71" i="5"/>
  <c r="J3" i="5" s="1"/>
  <c r="H71" i="5"/>
  <c r="H3" i="5" s="1"/>
  <c r="H15" i="10"/>
  <c r="K15" i="10" s="1"/>
  <c r="U13" i="7"/>
  <c r="H14" i="10"/>
  <c r="J14" i="10" s="1"/>
  <c r="N14" i="10" s="1"/>
  <c r="U12" i="7"/>
  <c r="H13" i="10"/>
  <c r="K13" i="10" s="1"/>
  <c r="U11" i="7"/>
  <c r="M10" i="7"/>
  <c r="T10" i="7" s="1"/>
  <c r="U10" i="7"/>
  <c r="H11" i="10"/>
  <c r="K11" i="10" s="1"/>
  <c r="U9" i="7"/>
  <c r="M8" i="7"/>
  <c r="M18" i="7"/>
  <c r="T18" i="7" s="1"/>
  <c r="U18" i="7"/>
  <c r="I71" i="5"/>
  <c r="I3" i="5" s="1"/>
  <c r="K71" i="5"/>
  <c r="K3" i="5" s="1"/>
  <c r="H10" i="10"/>
  <c r="M13" i="7"/>
  <c r="S13" i="7" s="1"/>
  <c r="M9" i="7"/>
  <c r="S9" i="7" s="1"/>
  <c r="H12" i="10"/>
  <c r="K12" i="10" s="1"/>
  <c r="M11" i="7"/>
  <c r="T11" i="7" s="1"/>
  <c r="S12" i="7"/>
  <c r="T12" i="7"/>
  <c r="O159" i="4"/>
  <c r="I161" i="4"/>
  <c r="J161" i="4"/>
  <c r="K161" i="4"/>
  <c r="L161" i="4"/>
  <c r="M161" i="4"/>
  <c r="I29" i="24" l="1"/>
  <c r="K10" i="10"/>
  <c r="J10" i="10"/>
  <c r="O18" i="5"/>
  <c r="J40" i="24" s="1"/>
  <c r="Q65" i="5"/>
  <c r="T8" i="7"/>
  <c r="T15" i="7" s="1"/>
  <c r="E129" i="5" s="1"/>
  <c r="S8" i="7"/>
  <c r="O19" i="5"/>
  <c r="J42" i="24" s="1"/>
  <c r="O17" i="5"/>
  <c r="J38" i="24" s="1"/>
  <c r="I141" i="5"/>
  <c r="I142" i="5" s="1"/>
  <c r="I143" i="5" s="1"/>
  <c r="I147" i="5" s="1"/>
  <c r="I149" i="5" s="1"/>
  <c r="J141" i="5"/>
  <c r="J142" i="5" s="1"/>
  <c r="J143" i="5" s="1"/>
  <c r="J147" i="5" s="1"/>
  <c r="J149" i="5" s="1"/>
  <c r="H141" i="5"/>
  <c r="H142" i="5" s="1"/>
  <c r="H143" i="5" s="1"/>
  <c r="K141" i="5"/>
  <c r="K142" i="5" s="1"/>
  <c r="K143" i="5" s="1"/>
  <c r="K147" i="5" s="1"/>
  <c r="K149" i="5" s="1"/>
  <c r="L141" i="5"/>
  <c r="L142" i="5" s="1"/>
  <c r="L143" i="5" s="1"/>
  <c r="L147" i="5" s="1"/>
  <c r="L149" i="5" s="1"/>
  <c r="M113" i="5"/>
  <c r="M32" i="5" s="1"/>
  <c r="M77" i="5" s="1"/>
  <c r="N144" i="5" s="1"/>
  <c r="K2" i="5"/>
  <c r="L36" i="5"/>
  <c r="I36" i="5"/>
  <c r="J36" i="5"/>
  <c r="K36" i="5"/>
  <c r="H36" i="5"/>
  <c r="N13" i="5"/>
  <c r="J15" i="10"/>
  <c r="N15" i="10" s="1"/>
  <c r="N61" i="5"/>
  <c r="O117" i="5"/>
  <c r="O119" i="5" s="1"/>
  <c r="Q49" i="5"/>
  <c r="P9" i="5"/>
  <c r="P10" i="5"/>
  <c r="Q52" i="5"/>
  <c r="Q11" i="5"/>
  <c r="R11" i="5" s="1"/>
  <c r="S10" i="7"/>
  <c r="K14" i="10"/>
  <c r="J13" i="10"/>
  <c r="N13" i="10" s="1"/>
  <c r="J11" i="10"/>
  <c r="N11" i="10" s="1"/>
  <c r="U15" i="7"/>
  <c r="E23" i="7" s="1"/>
  <c r="J23" i="7" s="1"/>
  <c r="L23" i="7" s="1"/>
  <c r="U16" i="7"/>
  <c r="S18" i="7"/>
  <c r="H28" i="10"/>
  <c r="H30" i="10"/>
  <c r="H32" i="10" s="1"/>
  <c r="J12" i="10"/>
  <c r="N12" i="10" s="1"/>
  <c r="S11" i="7"/>
  <c r="T13" i="7"/>
  <c r="T9" i="7"/>
  <c r="L22" i="4"/>
  <c r="K22" i="4"/>
  <c r="J22" i="4"/>
  <c r="I22" i="4"/>
  <c r="L8" i="4"/>
  <c r="K8" i="4"/>
  <c r="J8" i="4"/>
  <c r="I8" i="4"/>
  <c r="H8" i="4"/>
  <c r="P18" i="5" l="1"/>
  <c r="K40" i="24" s="1"/>
  <c r="D13" i="24"/>
  <c r="D20" i="24"/>
  <c r="D19" i="24"/>
  <c r="D14" i="24"/>
  <c r="H15" i="5"/>
  <c r="C21" i="24" s="1"/>
  <c r="C13" i="24"/>
  <c r="C14" i="24"/>
  <c r="F19" i="24"/>
  <c r="F13" i="24"/>
  <c r="F20" i="24"/>
  <c r="F14" i="24"/>
  <c r="E13" i="24"/>
  <c r="E19" i="24"/>
  <c r="E20" i="24"/>
  <c r="E14" i="24"/>
  <c r="G20" i="24"/>
  <c r="G19" i="24"/>
  <c r="G13" i="24"/>
  <c r="G14" i="24"/>
  <c r="J29" i="24"/>
  <c r="J18" i="10"/>
  <c r="J17" i="10"/>
  <c r="K18" i="10"/>
  <c r="K17" i="10"/>
  <c r="H147" i="5"/>
  <c r="H149" i="5" s="1"/>
  <c r="R65" i="5"/>
  <c r="I23" i="4"/>
  <c r="H23" i="4"/>
  <c r="J23" i="4"/>
  <c r="K23" i="4"/>
  <c r="L23" i="4"/>
  <c r="P19" i="5"/>
  <c r="K42" i="24" s="1"/>
  <c r="P17" i="5"/>
  <c r="K38" i="24" s="1"/>
  <c r="L2" i="5"/>
  <c r="M120" i="5"/>
  <c r="M93" i="5" s="1"/>
  <c r="H38" i="5"/>
  <c r="K38" i="5"/>
  <c r="K15" i="5"/>
  <c r="F21" i="24" s="1"/>
  <c r="L38" i="5"/>
  <c r="L15" i="5"/>
  <c r="M15" i="5" s="1"/>
  <c r="I38" i="5"/>
  <c r="I15" i="5"/>
  <c r="D21" i="24" s="1"/>
  <c r="J38" i="5"/>
  <c r="J15" i="5"/>
  <c r="E21" i="24" s="1"/>
  <c r="O13" i="5"/>
  <c r="P13" i="5" s="1"/>
  <c r="Q13" i="5" s="1"/>
  <c r="R13" i="5" s="1"/>
  <c r="S13" i="5" s="1"/>
  <c r="T13" i="5" s="1"/>
  <c r="U13" i="5" s="1"/>
  <c r="V13" i="5" s="1"/>
  <c r="N120" i="5"/>
  <c r="N34" i="5" s="1"/>
  <c r="R49" i="5"/>
  <c r="Q85" i="5"/>
  <c r="R52" i="5"/>
  <c r="R85" i="5" s="1"/>
  <c r="S11" i="5"/>
  <c r="Q18" i="5"/>
  <c r="L40" i="24" s="1"/>
  <c r="Q10" i="5"/>
  <c r="R10" i="5" s="1"/>
  <c r="O61" i="5"/>
  <c r="P117" i="5"/>
  <c r="P119" i="5" s="1"/>
  <c r="Q9" i="5"/>
  <c r="R9" i="5" s="1"/>
  <c r="J35" i="4"/>
  <c r="J93" i="4" s="1"/>
  <c r="K158" i="4" s="1"/>
  <c r="I35" i="4"/>
  <c r="I93" i="4" s="1"/>
  <c r="J158" i="4" s="1"/>
  <c r="S16" i="7"/>
  <c r="E22" i="7"/>
  <c r="H22" i="7" s="1"/>
  <c r="J22" i="7" s="1"/>
  <c r="L22" i="7" s="1"/>
  <c r="S15" i="7"/>
  <c r="E21" i="7" s="1"/>
  <c r="H21" i="7" s="1"/>
  <c r="J21" i="7" s="1"/>
  <c r="L21" i="7" s="1"/>
  <c r="H23" i="7"/>
  <c r="N10" i="10"/>
  <c r="H35" i="10"/>
  <c r="H37" i="10" s="1"/>
  <c r="T16" i="7"/>
  <c r="O161" i="4"/>
  <c r="H21" i="24" l="1"/>
  <c r="G21" i="24"/>
  <c r="G22" i="24"/>
  <c r="G44" i="24"/>
  <c r="G15" i="24"/>
  <c r="E22" i="24"/>
  <c r="E44" i="24"/>
  <c r="E15" i="24"/>
  <c r="F15" i="24"/>
  <c r="F22" i="24"/>
  <c r="F44" i="24"/>
  <c r="C15" i="24"/>
  <c r="C44" i="24"/>
  <c r="D22" i="24"/>
  <c r="D44" i="24"/>
  <c r="D15" i="24"/>
  <c r="K29" i="24"/>
  <c r="N18" i="10"/>
  <c r="H43" i="10" s="1"/>
  <c r="H44" i="10" s="1"/>
  <c r="H46" i="10" s="1"/>
  <c r="E131" i="5" s="1"/>
  <c r="N17" i="10"/>
  <c r="H16" i="5"/>
  <c r="C23" i="24" s="1"/>
  <c r="N15" i="5"/>
  <c r="O15" i="5" s="1"/>
  <c r="L16" i="5"/>
  <c r="G23" i="24" s="1"/>
  <c r="S65" i="5"/>
  <c r="R18" i="5"/>
  <c r="M40" i="24" s="1"/>
  <c r="Q19" i="5"/>
  <c r="L42" i="24" s="1"/>
  <c r="Q17" i="5"/>
  <c r="L38" i="24" s="1"/>
  <c r="M34" i="5"/>
  <c r="H9" i="13"/>
  <c r="H7" i="13"/>
  <c r="H8" i="13" s="1"/>
  <c r="M2" i="5"/>
  <c r="I4" i="6" s="1"/>
  <c r="N93" i="5"/>
  <c r="O120" i="5"/>
  <c r="O34" i="5" s="1"/>
  <c r="K16" i="5"/>
  <c r="F23" i="24" s="1"/>
  <c r="I16" i="5"/>
  <c r="D23" i="24" s="1"/>
  <c r="J16" i="5"/>
  <c r="E23" i="24" s="1"/>
  <c r="H29" i="4"/>
  <c r="S52" i="5"/>
  <c r="S9" i="5"/>
  <c r="S10" i="5"/>
  <c r="S49" i="5"/>
  <c r="T11" i="5"/>
  <c r="K35" i="4"/>
  <c r="K93" i="4" s="1"/>
  <c r="L158" i="4" s="1"/>
  <c r="P61" i="5"/>
  <c r="Q117" i="5"/>
  <c r="Q119" i="5" s="1"/>
  <c r="R117" i="5" s="1"/>
  <c r="R119" i="5" s="1"/>
  <c r="P120" i="5"/>
  <c r="G24" i="24" l="1"/>
  <c r="F24" i="24"/>
  <c r="L29" i="24"/>
  <c r="E24" i="24"/>
  <c r="I21" i="24"/>
  <c r="D24" i="24"/>
  <c r="M16" i="5"/>
  <c r="T65" i="5"/>
  <c r="L4" i="4"/>
  <c r="L35" i="4" s="1"/>
  <c r="L93" i="4" s="1"/>
  <c r="M158" i="4" s="1"/>
  <c r="R17" i="5"/>
  <c r="M38" i="24" s="1"/>
  <c r="R19" i="5"/>
  <c r="M42" i="24" s="1"/>
  <c r="S18" i="5"/>
  <c r="N40" i="24" s="1"/>
  <c r="N2" i="5"/>
  <c r="J4" i="6" s="1"/>
  <c r="O93" i="5"/>
  <c r="K29" i="4"/>
  <c r="I29" i="4"/>
  <c r="L29" i="4"/>
  <c r="J29" i="4"/>
  <c r="U11" i="5"/>
  <c r="T49" i="5"/>
  <c r="T52" i="5"/>
  <c r="T85" i="5" s="1"/>
  <c r="T10" i="5"/>
  <c r="T9" i="5"/>
  <c r="R61" i="5"/>
  <c r="R120" i="5"/>
  <c r="S117" i="5"/>
  <c r="S119" i="5" s="1"/>
  <c r="S85" i="5"/>
  <c r="P34" i="5"/>
  <c r="P93" i="5"/>
  <c r="Q120" i="5"/>
  <c r="Q61" i="5"/>
  <c r="M29" i="24" l="1"/>
  <c r="N16" i="5"/>
  <c r="H23" i="24"/>
  <c r="J21" i="24"/>
  <c r="P15" i="5"/>
  <c r="Q15" i="5" s="1"/>
  <c r="U65" i="5"/>
  <c r="S17" i="5"/>
  <c r="N38" i="24" s="1"/>
  <c r="S19" i="5"/>
  <c r="N42" i="24" s="1"/>
  <c r="T18" i="5"/>
  <c r="O40" i="24" s="1"/>
  <c r="M8" i="5" a="1"/>
  <c r="O2" i="5"/>
  <c r="K4" i="6" s="1"/>
  <c r="U9" i="5"/>
  <c r="S61" i="5"/>
  <c r="T117" i="5"/>
  <c r="T119" i="5" s="1"/>
  <c r="S120" i="5"/>
  <c r="U49" i="5"/>
  <c r="U10" i="5"/>
  <c r="U52" i="5"/>
  <c r="R34" i="5"/>
  <c r="R93" i="5"/>
  <c r="V11" i="5"/>
  <c r="Q93" i="5"/>
  <c r="Q34" i="5"/>
  <c r="N29" i="24" l="1"/>
  <c r="K21" i="24"/>
  <c r="O16" i="5"/>
  <c r="I23" i="24"/>
  <c r="V65" i="5"/>
  <c r="U18" i="5"/>
  <c r="P40" i="24" s="1"/>
  <c r="T17" i="5"/>
  <c r="O38" i="24" s="1"/>
  <c r="T19" i="5"/>
  <c r="O42" i="24" s="1"/>
  <c r="U8" i="5"/>
  <c r="N8" i="5"/>
  <c r="M8" i="5"/>
  <c r="M25" i="5" s="1"/>
  <c r="O8" i="5"/>
  <c r="V8" i="5"/>
  <c r="T8" i="5"/>
  <c r="Q8" i="5"/>
  <c r="P8" i="5"/>
  <c r="S8" i="5"/>
  <c r="R8" i="5"/>
  <c r="P2" i="5"/>
  <c r="L4" i="6" s="1"/>
  <c r="T120" i="5"/>
  <c r="T61" i="5"/>
  <c r="U117" i="5"/>
  <c r="U119" i="5" s="1"/>
  <c r="V52" i="5"/>
  <c r="V85" i="5" s="1"/>
  <c r="U85" i="5"/>
  <c r="V10" i="5"/>
  <c r="S93" i="5"/>
  <c r="S34" i="5"/>
  <c r="V49" i="5"/>
  <c r="V9" i="5"/>
  <c r="O29" i="24" l="1"/>
  <c r="P16" i="5"/>
  <c r="J23" i="24"/>
  <c r="V18" i="5"/>
  <c r="Q40" i="24" s="1"/>
  <c r="L21" i="24"/>
  <c r="R15" i="5"/>
  <c r="S15" i="5" s="1"/>
  <c r="M26" i="5"/>
  <c r="M48" i="5" s="1"/>
  <c r="M106" i="5" s="1"/>
  <c r="U17" i="5"/>
  <c r="P38" i="24" s="1"/>
  <c r="U19" i="5"/>
  <c r="P42" i="24" s="1"/>
  <c r="M30" i="5"/>
  <c r="N25" i="5"/>
  <c r="M47" i="5"/>
  <c r="H37" i="24" s="1"/>
  <c r="M35" i="5"/>
  <c r="M87" i="5" s="1"/>
  <c r="M29" i="5"/>
  <c r="Q2" i="5"/>
  <c r="M4" i="6" s="1"/>
  <c r="V117" i="5"/>
  <c r="V119" i="5" s="1"/>
  <c r="U61" i="5"/>
  <c r="U120" i="5"/>
  <c r="T34" i="5"/>
  <c r="T93" i="5"/>
  <c r="M83" i="5"/>
  <c r="M114" i="5"/>
  <c r="M21" i="24" l="1"/>
  <c r="P29" i="24"/>
  <c r="Q16" i="5"/>
  <c r="K23" i="24"/>
  <c r="N35" i="5"/>
  <c r="N87" i="5" s="1"/>
  <c r="H39" i="24"/>
  <c r="M105" i="5"/>
  <c r="V19" i="5"/>
  <c r="Q42" i="24" s="1"/>
  <c r="M27" i="5"/>
  <c r="H10" i="24" s="1"/>
  <c r="V17" i="5"/>
  <c r="Q38" i="24" s="1"/>
  <c r="O25" i="5"/>
  <c r="N26" i="5"/>
  <c r="N47" i="5"/>
  <c r="N105" i="5" s="1"/>
  <c r="M58" i="5"/>
  <c r="H41" i="24" s="1"/>
  <c r="N30" i="5"/>
  <c r="N83" i="5"/>
  <c r="N29" i="5"/>
  <c r="M88" i="5"/>
  <c r="M78" i="5"/>
  <c r="R2" i="5"/>
  <c r="N4" i="6" s="1"/>
  <c r="U34" i="5"/>
  <c r="U93" i="5"/>
  <c r="V120" i="5"/>
  <c r="V61" i="5"/>
  <c r="N111" i="5"/>
  <c r="M51" i="5"/>
  <c r="Q29" i="24" l="1"/>
  <c r="R16" i="5"/>
  <c r="L23" i="24"/>
  <c r="N78" i="5"/>
  <c r="N21" i="24"/>
  <c r="T15" i="5"/>
  <c r="U15" i="5" s="1"/>
  <c r="H43" i="24"/>
  <c r="N48" i="5"/>
  <c r="N106" i="5" s="1"/>
  <c r="O47" i="5"/>
  <c r="O105" i="5" s="1"/>
  <c r="I37" i="24"/>
  <c r="M31" i="5"/>
  <c r="M107" i="5"/>
  <c r="M108" i="5" s="1"/>
  <c r="N146" i="5" s="1"/>
  <c r="O35" i="5"/>
  <c r="O87" i="5" s="1"/>
  <c r="P25" i="5"/>
  <c r="O30" i="5"/>
  <c r="O29" i="5"/>
  <c r="O26" i="5"/>
  <c r="N27" i="5"/>
  <c r="I10" i="24" s="1"/>
  <c r="N58" i="5"/>
  <c r="I41" i="24" s="1"/>
  <c r="M63" i="5"/>
  <c r="S2" i="5"/>
  <c r="O4" i="6" s="1"/>
  <c r="V93" i="5"/>
  <c r="V34" i="5"/>
  <c r="N88" i="5"/>
  <c r="N113" i="5"/>
  <c r="N32" i="5" s="1"/>
  <c r="O83" i="5"/>
  <c r="J37" i="24" l="1"/>
  <c r="I39" i="24"/>
  <c r="O21" i="24"/>
  <c r="S16" i="5"/>
  <c r="M23" i="24"/>
  <c r="P35" i="5"/>
  <c r="P87" i="5" s="1"/>
  <c r="O48" i="5"/>
  <c r="J39" i="24" s="1"/>
  <c r="M33" i="5"/>
  <c r="H12" i="24" s="1"/>
  <c r="H11" i="24"/>
  <c r="P30" i="5"/>
  <c r="P26" i="5"/>
  <c r="P58" i="5" s="1"/>
  <c r="O78" i="5"/>
  <c r="Q25" i="5"/>
  <c r="P29" i="5"/>
  <c r="P47" i="5"/>
  <c r="P105" i="5" s="1"/>
  <c r="N107" i="5"/>
  <c r="N108" i="5" s="1"/>
  <c r="O146" i="5" s="1"/>
  <c r="N63" i="5"/>
  <c r="O58" i="5"/>
  <c r="O63" i="5" s="1"/>
  <c r="O27" i="5"/>
  <c r="M79" i="5"/>
  <c r="N31" i="5"/>
  <c r="I11" i="24" s="1"/>
  <c r="T2" i="5"/>
  <c r="P4" i="6" s="1"/>
  <c r="N114" i="5"/>
  <c r="N51" i="5" s="1"/>
  <c r="O88" i="5"/>
  <c r="P83" i="5"/>
  <c r="N77" i="5"/>
  <c r="O144" i="5" s="1"/>
  <c r="P78" i="5" l="1"/>
  <c r="T16" i="5"/>
  <c r="N23" i="24"/>
  <c r="P88" i="5"/>
  <c r="P21" i="24"/>
  <c r="V15" i="5"/>
  <c r="Q21" i="24" s="1"/>
  <c r="I43" i="24"/>
  <c r="M36" i="5"/>
  <c r="M37" i="5" s="1"/>
  <c r="H14" i="24" s="1"/>
  <c r="J41" i="24"/>
  <c r="N141" i="5"/>
  <c r="N142" i="5" s="1"/>
  <c r="N143" i="5" s="1"/>
  <c r="N147" i="5" s="1"/>
  <c r="N149" i="5" s="1"/>
  <c r="O106" i="5"/>
  <c r="O31" i="5"/>
  <c r="J11" i="24" s="1"/>
  <c r="J10" i="24"/>
  <c r="P48" i="5"/>
  <c r="P106" i="5" s="1"/>
  <c r="K41" i="24"/>
  <c r="Q30" i="5"/>
  <c r="K37" i="24"/>
  <c r="R25" i="5"/>
  <c r="R47" i="5" s="1"/>
  <c r="Q35" i="5"/>
  <c r="Q87" i="5" s="1"/>
  <c r="Q26" i="5"/>
  <c r="Q48" i="5" s="1"/>
  <c r="Q47" i="5"/>
  <c r="L37" i="24" s="1"/>
  <c r="Q29" i="5"/>
  <c r="P27" i="5"/>
  <c r="K10" i="24" s="1"/>
  <c r="N79" i="5"/>
  <c r="O107" i="5"/>
  <c r="N33" i="5"/>
  <c r="U2" i="5"/>
  <c r="Q4" i="6" s="1"/>
  <c r="O111" i="5"/>
  <c r="O113" i="5" s="1"/>
  <c r="O32" i="5" s="1"/>
  <c r="P63" i="5"/>
  <c r="P107" i="5"/>
  <c r="Q83" i="5"/>
  <c r="O108" i="5" l="1"/>
  <c r="P146" i="5" s="1"/>
  <c r="H13" i="24"/>
  <c r="U16" i="5"/>
  <c r="O23" i="24"/>
  <c r="M37" i="24"/>
  <c r="R30" i="5"/>
  <c r="S25" i="5"/>
  <c r="S35" i="5" s="1"/>
  <c r="R29" i="5"/>
  <c r="P108" i="5"/>
  <c r="Q146" i="5" s="1"/>
  <c r="N36" i="5"/>
  <c r="I12" i="24"/>
  <c r="R26" i="5"/>
  <c r="R27" i="5" s="1"/>
  <c r="M10" i="24" s="1"/>
  <c r="R35" i="5"/>
  <c r="R87" i="5" s="1"/>
  <c r="Q27" i="5"/>
  <c r="L10" i="24" s="1"/>
  <c r="L39" i="24"/>
  <c r="K39" i="24"/>
  <c r="Q105" i="5"/>
  <c r="Q58" i="5"/>
  <c r="Q63" i="5" s="1"/>
  <c r="Q78" i="5"/>
  <c r="P31" i="5"/>
  <c r="K11" i="24" s="1"/>
  <c r="O141" i="5"/>
  <c r="O142" i="5" s="1"/>
  <c r="O143" i="5" s="1"/>
  <c r="O147" i="5" s="1"/>
  <c r="O149" i="5" s="1"/>
  <c r="V2" i="5"/>
  <c r="R4" i="6" s="1"/>
  <c r="O114" i="5"/>
  <c r="O51" i="5" s="1"/>
  <c r="M38" i="5"/>
  <c r="R83" i="5"/>
  <c r="Q106" i="5"/>
  <c r="R105" i="5"/>
  <c r="O77" i="5"/>
  <c r="P144" i="5" s="1"/>
  <c r="O33" i="5"/>
  <c r="J12" i="24" s="1"/>
  <c r="O79" i="5"/>
  <c r="Q88" i="5"/>
  <c r="Q31" i="5" l="1"/>
  <c r="L11" i="24" s="1"/>
  <c r="R78" i="5"/>
  <c r="R48" i="5"/>
  <c r="R106" i="5" s="1"/>
  <c r="R58" i="5"/>
  <c r="R107" i="5" s="1"/>
  <c r="V16" i="5"/>
  <c r="Q23" i="24" s="1"/>
  <c r="P23" i="24"/>
  <c r="S26" i="5"/>
  <c r="S58" i="5" s="1"/>
  <c r="J43" i="24"/>
  <c r="L41" i="24"/>
  <c r="P79" i="5"/>
  <c r="S47" i="5"/>
  <c r="S105" i="5" s="1"/>
  <c r="S29" i="5"/>
  <c r="H15" i="24"/>
  <c r="I13" i="24"/>
  <c r="S30" i="5"/>
  <c r="T25" i="5"/>
  <c r="T35" i="5" s="1"/>
  <c r="N37" i="5"/>
  <c r="I14" i="24" s="1"/>
  <c r="Q107" i="5"/>
  <c r="Q108" i="5" s="1"/>
  <c r="R146" i="5" s="1"/>
  <c r="P111" i="5"/>
  <c r="P113" i="5" s="1"/>
  <c r="P32" i="5" s="1"/>
  <c r="R88" i="5"/>
  <c r="R31" i="5"/>
  <c r="M11" i="24" s="1"/>
  <c r="M76" i="5"/>
  <c r="M80" i="5" s="1"/>
  <c r="M92" i="5"/>
  <c r="M94" i="5" s="1"/>
  <c r="S83" i="5"/>
  <c r="S87" i="5"/>
  <c r="S78" i="5"/>
  <c r="O36" i="5"/>
  <c r="P141" i="5"/>
  <c r="P142" i="5" s="1"/>
  <c r="P143" i="5" s="1"/>
  <c r="P147" i="5" s="1"/>
  <c r="P149" i="5" s="1"/>
  <c r="M66" i="5" l="1"/>
  <c r="N41" i="24"/>
  <c r="M41" i="24"/>
  <c r="N37" i="24"/>
  <c r="R63" i="5"/>
  <c r="M39" i="24"/>
  <c r="R108" i="5"/>
  <c r="T47" i="5"/>
  <c r="T105" i="5" s="1"/>
  <c r="S27" i="5"/>
  <c r="N10" i="24" s="1"/>
  <c r="S48" i="5"/>
  <c r="N39" i="24" s="1"/>
  <c r="U25" i="5"/>
  <c r="V25" i="5" s="1"/>
  <c r="T26" i="5"/>
  <c r="T27" i="5" s="1"/>
  <c r="O10" i="24" s="1"/>
  <c r="T29" i="5"/>
  <c r="T30" i="5"/>
  <c r="N38" i="5"/>
  <c r="N76" i="5" s="1"/>
  <c r="N80" i="5" s="1"/>
  <c r="J13" i="24"/>
  <c r="Q79" i="5"/>
  <c r="S88" i="5"/>
  <c r="O37" i="5"/>
  <c r="J14" i="24" s="1"/>
  <c r="M96" i="5"/>
  <c r="M98" i="5" s="1"/>
  <c r="T83" i="5"/>
  <c r="T87" i="5"/>
  <c r="T78" i="5"/>
  <c r="S107" i="5"/>
  <c r="S63" i="5"/>
  <c r="P114" i="5"/>
  <c r="P51" i="5" s="1"/>
  <c r="P77" i="5"/>
  <c r="Q144" i="5" s="1"/>
  <c r="P33" i="5"/>
  <c r="K12" i="24" s="1"/>
  <c r="R79" i="5" l="1"/>
  <c r="S146" i="5"/>
  <c r="O37" i="24"/>
  <c r="S31" i="5"/>
  <c r="N11" i="24" s="1"/>
  <c r="N92" i="5"/>
  <c r="N94" i="5" s="1"/>
  <c r="N96" i="5" s="1"/>
  <c r="S106" i="5"/>
  <c r="S108" i="5" s="1"/>
  <c r="T146" i="5" s="1"/>
  <c r="T48" i="5"/>
  <c r="O39" i="24" s="1"/>
  <c r="T58" i="5"/>
  <c r="O41" i="24" s="1"/>
  <c r="U29" i="5"/>
  <c r="U47" i="5"/>
  <c r="P37" i="24" s="1"/>
  <c r="U30" i="5"/>
  <c r="U26" i="5"/>
  <c r="U58" i="5" s="1"/>
  <c r="U35" i="5"/>
  <c r="U87" i="5" s="1"/>
  <c r="K43" i="24"/>
  <c r="I15" i="24"/>
  <c r="M68" i="5"/>
  <c r="M45" i="5"/>
  <c r="T31" i="5"/>
  <c r="O11" i="24" s="1"/>
  <c r="O38" i="5"/>
  <c r="N97" i="5"/>
  <c r="T88" i="5"/>
  <c r="U83" i="5"/>
  <c r="V35" i="5"/>
  <c r="V30" i="5"/>
  <c r="V29" i="5"/>
  <c r="V26" i="5"/>
  <c r="V47" i="5"/>
  <c r="Q111" i="5"/>
  <c r="Q113" i="5" s="1"/>
  <c r="Q32" i="5" s="1"/>
  <c r="Q77" i="5" s="1"/>
  <c r="R144" i="5" s="1"/>
  <c r="Q141" i="5"/>
  <c r="Q142" i="5" s="1"/>
  <c r="Q143" i="5" s="1"/>
  <c r="Q147" i="5" s="1"/>
  <c r="Q149" i="5" s="1"/>
  <c r="P36" i="5"/>
  <c r="U78" i="5" l="1"/>
  <c r="N66" i="5"/>
  <c r="N68" i="5" s="1"/>
  <c r="I20" i="24" s="1"/>
  <c r="T106" i="5"/>
  <c r="T63" i="5"/>
  <c r="T107" i="5"/>
  <c r="P41" i="24"/>
  <c r="U48" i="5"/>
  <c r="P39" i="24" s="1"/>
  <c r="U27" i="5"/>
  <c r="P10" i="24" s="1"/>
  <c r="V105" i="5"/>
  <c r="U105" i="5"/>
  <c r="H34" i="24"/>
  <c r="H33" i="24"/>
  <c r="H20" i="24"/>
  <c r="H44" i="24"/>
  <c r="H22" i="24"/>
  <c r="H24" i="24" s="1"/>
  <c r="J15" i="24"/>
  <c r="K13" i="24"/>
  <c r="H28" i="24"/>
  <c r="H27" i="24"/>
  <c r="Q37" i="24"/>
  <c r="M69" i="5"/>
  <c r="S79" i="5"/>
  <c r="U88" i="5"/>
  <c r="N98" i="5"/>
  <c r="N45" i="5" s="1"/>
  <c r="Q33" i="5"/>
  <c r="O76" i="5"/>
  <c r="O80" i="5" s="1"/>
  <c r="O92" i="5"/>
  <c r="P37" i="5"/>
  <c r="K14" i="24" s="1"/>
  <c r="M54" i="5"/>
  <c r="V83" i="5"/>
  <c r="U107" i="5"/>
  <c r="U63" i="5"/>
  <c r="V58" i="5"/>
  <c r="Q41" i="24" s="1"/>
  <c r="V48" i="5"/>
  <c r="V87" i="5"/>
  <c r="V78" i="5"/>
  <c r="V27" i="5"/>
  <c r="Q10" i="24" s="1"/>
  <c r="Q114" i="5"/>
  <c r="T108" i="5" l="1"/>
  <c r="U146" i="5" s="1"/>
  <c r="U106" i="5"/>
  <c r="U108" i="5" s="1"/>
  <c r="V146" i="5" s="1"/>
  <c r="V106" i="5"/>
  <c r="U31" i="5"/>
  <c r="P11" i="24" s="1"/>
  <c r="R141" i="5"/>
  <c r="R142" i="5" s="1"/>
  <c r="R143" i="5" s="1"/>
  <c r="R147" i="5" s="1"/>
  <c r="L12" i="24"/>
  <c r="I27" i="24"/>
  <c r="I28" i="24"/>
  <c r="I34" i="24"/>
  <c r="I33" i="24"/>
  <c r="I44" i="24"/>
  <c r="I22" i="24"/>
  <c r="I24" i="24" s="1"/>
  <c r="H32" i="24"/>
  <c r="H18" i="24"/>
  <c r="H19" i="24"/>
  <c r="Q39" i="24"/>
  <c r="N69" i="5"/>
  <c r="O97" i="5"/>
  <c r="Q36" i="5"/>
  <c r="V88" i="5"/>
  <c r="M71" i="5"/>
  <c r="M3" i="5" s="1"/>
  <c r="O66" i="5"/>
  <c r="O94" i="5"/>
  <c r="O96" i="5" s="1"/>
  <c r="V31" i="5"/>
  <c r="Q11" i="24" s="1"/>
  <c r="P38" i="5"/>
  <c r="Q51" i="5"/>
  <c r="R111" i="5"/>
  <c r="R113" i="5" s="1"/>
  <c r="V107" i="5"/>
  <c r="V108" i="5" s="1"/>
  <c r="W146" i="5" s="1"/>
  <c r="V63" i="5"/>
  <c r="T79" i="5" l="1"/>
  <c r="L43" i="24"/>
  <c r="K15" i="24"/>
  <c r="L13" i="24"/>
  <c r="R149" i="5"/>
  <c r="O98" i="5"/>
  <c r="O45" i="5" s="1"/>
  <c r="O68" i="5"/>
  <c r="N54" i="5"/>
  <c r="U79" i="5"/>
  <c r="Q37" i="5"/>
  <c r="P92" i="5"/>
  <c r="P94" i="5" s="1"/>
  <c r="P76" i="5"/>
  <c r="P80" i="5" s="1"/>
  <c r="V79" i="5"/>
  <c r="R114" i="5"/>
  <c r="R32" i="5"/>
  <c r="I8" i="13"/>
  <c r="I10" i="13"/>
  <c r="H10" i="13"/>
  <c r="J27" i="24" l="1"/>
  <c r="J28" i="24"/>
  <c r="Q38" i="5"/>
  <c r="Q92" i="5" s="1"/>
  <c r="Q94" i="5" s="1"/>
  <c r="L14" i="24"/>
  <c r="N71" i="5"/>
  <c r="N3" i="5" s="1"/>
  <c r="I32" i="24"/>
  <c r="I18" i="24"/>
  <c r="I19" i="24"/>
  <c r="J33" i="24"/>
  <c r="J34" i="24"/>
  <c r="J44" i="24"/>
  <c r="J22" i="24"/>
  <c r="J24" i="24" s="1"/>
  <c r="J20" i="24"/>
  <c r="O69" i="5"/>
  <c r="P97" i="5"/>
  <c r="P96" i="5"/>
  <c r="P66" i="5"/>
  <c r="P68" i="5" s="1"/>
  <c r="K20" i="24" s="1"/>
  <c r="O54" i="5"/>
  <c r="R77" i="5"/>
  <c r="S144" i="5" s="1"/>
  <c r="R33" i="5"/>
  <c r="M12" i="24" s="1"/>
  <c r="R51" i="5"/>
  <c r="S111" i="5"/>
  <c r="M43" i="24" l="1"/>
  <c r="Q76" i="5"/>
  <c r="Q80" i="5" s="1"/>
  <c r="Q96" i="5" s="1"/>
  <c r="J32" i="24"/>
  <c r="J18" i="24"/>
  <c r="L15" i="24"/>
  <c r="K33" i="24"/>
  <c r="K34" i="24"/>
  <c r="K44" i="24"/>
  <c r="J19" i="24"/>
  <c r="K22" i="24"/>
  <c r="K24" i="24" s="1"/>
  <c r="P98" i="5"/>
  <c r="P45" i="5" s="1"/>
  <c r="Q66" i="5"/>
  <c r="O71" i="5"/>
  <c r="O3" i="5" s="1"/>
  <c r="R36" i="5"/>
  <c r="S141" i="5"/>
  <c r="S142" i="5" s="1"/>
  <c r="S143" i="5" s="1"/>
  <c r="S147" i="5" s="1"/>
  <c r="S149" i="5" s="1"/>
  <c r="S113" i="5"/>
  <c r="S32" i="5" s="1"/>
  <c r="K27" i="24" l="1"/>
  <c r="K28" i="24"/>
  <c r="M13" i="24"/>
  <c r="Q97" i="5"/>
  <c r="Q98" i="5" s="1"/>
  <c r="Q68" i="5"/>
  <c r="R37" i="5"/>
  <c r="M14" i="24" s="1"/>
  <c r="P54" i="5"/>
  <c r="P69" i="5"/>
  <c r="S77" i="5"/>
  <c r="T144" i="5" s="1"/>
  <c r="S33" i="5"/>
  <c r="N12" i="24" s="1"/>
  <c r="S114" i="5"/>
  <c r="L33" i="24" l="1"/>
  <c r="L34" i="24"/>
  <c r="L20" i="24"/>
  <c r="L22" i="24"/>
  <c r="L24" i="24" s="1"/>
  <c r="L44" i="24"/>
  <c r="K32" i="24"/>
  <c r="K18" i="24"/>
  <c r="K19" i="24"/>
  <c r="Q69" i="5"/>
  <c r="Q45" i="5"/>
  <c r="R97" i="5"/>
  <c r="P71" i="5"/>
  <c r="P3" i="5" s="1"/>
  <c r="R38" i="5"/>
  <c r="S36" i="5"/>
  <c r="T141" i="5"/>
  <c r="T142" i="5" s="1"/>
  <c r="T143" i="5" s="1"/>
  <c r="T147" i="5" s="1"/>
  <c r="T149" i="5" s="1"/>
  <c r="T111" i="5"/>
  <c r="S51" i="5"/>
  <c r="N43" i="24" l="1"/>
  <c r="L28" i="24"/>
  <c r="L27" i="24"/>
  <c r="N13" i="24"/>
  <c r="M15" i="24"/>
  <c r="Q54" i="5"/>
  <c r="S37" i="5"/>
  <c r="N14" i="24" s="1"/>
  <c r="R76" i="5"/>
  <c r="R80" i="5" s="1"/>
  <c r="R92" i="5"/>
  <c r="T113" i="5"/>
  <c r="T32" i="5" s="1"/>
  <c r="L32" i="24" l="1"/>
  <c r="L18" i="24"/>
  <c r="L19" i="24"/>
  <c r="Q71" i="5"/>
  <c r="Q3" i="5" s="1"/>
  <c r="S38" i="5"/>
  <c r="R94" i="5"/>
  <c r="R96" i="5" s="1"/>
  <c r="R98" i="5" s="1"/>
  <c r="R66" i="5"/>
  <c r="R68" i="5" s="1"/>
  <c r="T114" i="5"/>
  <c r="U111" i="5" s="1"/>
  <c r="T77" i="5"/>
  <c r="U144" i="5" s="1"/>
  <c r="T33" i="5"/>
  <c r="O12" i="24" s="1"/>
  <c r="N15" i="24" l="1"/>
  <c r="M34" i="24"/>
  <c r="M33" i="24"/>
  <c r="M20" i="24"/>
  <c r="M22" i="24"/>
  <c r="M24" i="24" s="1"/>
  <c r="M44" i="24"/>
  <c r="R45" i="5"/>
  <c r="S97" i="5"/>
  <c r="S76" i="5"/>
  <c r="S80" i="5" s="1"/>
  <c r="S92" i="5"/>
  <c r="S94" i="5" s="1"/>
  <c r="T51" i="5"/>
  <c r="T36" i="5"/>
  <c r="U141" i="5"/>
  <c r="U142" i="5" s="1"/>
  <c r="U143" i="5" s="1"/>
  <c r="U147" i="5" s="1"/>
  <c r="U149" i="5" s="1"/>
  <c r="U113" i="5"/>
  <c r="U32" i="5" s="1"/>
  <c r="O43" i="24" l="1"/>
  <c r="O13" i="24"/>
  <c r="M27" i="24"/>
  <c r="M28" i="24"/>
  <c r="S96" i="5"/>
  <c r="S98" i="5" s="1"/>
  <c r="T37" i="5"/>
  <c r="O14" i="24" s="1"/>
  <c r="R54" i="5"/>
  <c r="S66" i="5"/>
  <c r="R69" i="5"/>
  <c r="U114" i="5"/>
  <c r="U77" i="5"/>
  <c r="V144" i="5" s="1"/>
  <c r="U33" i="5"/>
  <c r="P12" i="24" s="1"/>
  <c r="M32" i="24" l="1"/>
  <c r="M18" i="24"/>
  <c r="M19" i="24"/>
  <c r="S68" i="5"/>
  <c r="S45" i="5"/>
  <c r="T97" i="5"/>
  <c r="T38" i="5"/>
  <c r="R71" i="5"/>
  <c r="R3" i="5" s="1"/>
  <c r="U36" i="5"/>
  <c r="V141" i="5"/>
  <c r="V142" i="5" s="1"/>
  <c r="V143" i="5" s="1"/>
  <c r="V147" i="5" s="1"/>
  <c r="V149" i="5" s="1"/>
  <c r="V111" i="5"/>
  <c r="U51" i="5"/>
  <c r="P43" i="24" l="1"/>
  <c r="N27" i="24"/>
  <c r="N28" i="24"/>
  <c r="N33" i="24"/>
  <c r="N34" i="24"/>
  <c r="N22" i="24"/>
  <c r="N24" i="24" s="1"/>
  <c r="N44" i="24"/>
  <c r="N20" i="24"/>
  <c r="P13" i="24"/>
  <c r="O15" i="24"/>
  <c r="S69" i="5"/>
  <c r="S54" i="5"/>
  <c r="T76" i="5"/>
  <c r="T80" i="5" s="1"/>
  <c r="T92" i="5"/>
  <c r="T94" i="5" s="1"/>
  <c r="U37" i="5"/>
  <c r="P14" i="24" s="1"/>
  <c r="V113" i="5"/>
  <c r="V32" i="5" s="1"/>
  <c r="N32" i="24" l="1"/>
  <c r="N18" i="24"/>
  <c r="N19" i="24"/>
  <c r="S71" i="5"/>
  <c r="S3" i="5" s="1"/>
  <c r="T66" i="5"/>
  <c r="T68" i="5" s="1"/>
  <c r="T96" i="5"/>
  <c r="T98" i="5" s="1"/>
  <c r="U38" i="5"/>
  <c r="V77" i="5"/>
  <c r="W144" i="5" s="1"/>
  <c r="V33" i="5"/>
  <c r="Q12" i="24" s="1"/>
  <c r="V114" i="5"/>
  <c r="V51" i="5" s="1"/>
  <c r="Q43" i="24" s="1"/>
  <c r="O34" i="24" l="1"/>
  <c r="O33" i="24"/>
  <c r="O22" i="24"/>
  <c r="O24" i="24" s="1"/>
  <c r="O44" i="24"/>
  <c r="O20" i="24"/>
  <c r="P15" i="24"/>
  <c r="T45" i="5"/>
  <c r="U92" i="5"/>
  <c r="U94" i="5" s="1"/>
  <c r="U76" i="5"/>
  <c r="U80" i="5" s="1"/>
  <c r="U97" i="5"/>
  <c r="V36" i="5"/>
  <c r="W141" i="5"/>
  <c r="V37" i="5" l="1"/>
  <c r="Q14" i="24" s="1"/>
  <c r="Q13" i="24"/>
  <c r="O27" i="24"/>
  <c r="O28" i="24"/>
  <c r="W142" i="5"/>
  <c r="W143" i="5" s="1"/>
  <c r="W147" i="5" s="1"/>
  <c r="AB137" i="5"/>
  <c r="U96" i="5"/>
  <c r="U98" i="5" s="1"/>
  <c r="U45" i="5" s="1"/>
  <c r="T54" i="5"/>
  <c r="V38" i="5"/>
  <c r="U66" i="5"/>
  <c r="T69" i="5"/>
  <c r="Q15" i="24" l="1"/>
  <c r="O32" i="24"/>
  <c r="O18" i="24"/>
  <c r="O19" i="24"/>
  <c r="P27" i="24"/>
  <c r="P28" i="24"/>
  <c r="W149" i="5"/>
  <c r="AB138" i="5"/>
  <c r="AB139" i="5" s="1"/>
  <c r="X147" i="5" s="1"/>
  <c r="X149" i="5" s="1"/>
  <c r="U68" i="5"/>
  <c r="V97" i="5"/>
  <c r="V92" i="5"/>
  <c r="V94" i="5" s="1"/>
  <c r="V76" i="5"/>
  <c r="V80" i="5" s="1"/>
  <c r="T71" i="5"/>
  <c r="T3" i="5" s="1"/>
  <c r="U54" i="5"/>
  <c r="P18" i="24" s="1"/>
  <c r="P19" i="24" l="1"/>
  <c r="P34" i="24"/>
  <c r="P33" i="24"/>
  <c r="P22" i="24"/>
  <c r="P24" i="24" s="1"/>
  <c r="P20" i="24"/>
  <c r="P44" i="24"/>
  <c r="P32" i="24"/>
  <c r="E155" i="5"/>
  <c r="E159" i="5" s="1"/>
  <c r="E161" i="5" s="1"/>
  <c r="U69" i="5"/>
  <c r="U71" i="5" s="1"/>
  <c r="U3" i="5" s="1"/>
  <c r="V96" i="5"/>
  <c r="V98" i="5" s="1"/>
  <c r="V45" i="5" s="1"/>
  <c r="V66" i="5"/>
  <c r="Q27" i="24" l="1"/>
  <c r="Q28" i="24"/>
  <c r="I171" i="5"/>
  <c r="I180" i="5"/>
  <c r="O156" i="5"/>
  <c r="O157" i="5" s="1"/>
  <c r="V68" i="5"/>
  <c r="V54" i="5"/>
  <c r="Q32" i="24" l="1"/>
  <c r="Q18" i="24"/>
  <c r="Q19" i="24"/>
  <c r="Q34" i="24"/>
  <c r="Q33" i="24"/>
  <c r="Q44" i="24"/>
  <c r="Q22" i="24"/>
  <c r="Q24" i="24" s="1"/>
  <c r="Q20" i="24"/>
  <c r="V69" i="5"/>
  <c r="V71" i="5" s="1"/>
  <c r="V3"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E5" authorId="0" shapeId="0" xr:uid="{E2B9EFB9-1D4D-8640-8AB6-4DC82F3080B6}">
      <text>
        <r>
          <rPr>
            <b/>
            <sz val="10"/>
            <color rgb="FF000000"/>
            <rFont val="Tahoma"/>
            <family val="2"/>
          </rPr>
          <t>.:</t>
        </r>
        <r>
          <rPr>
            <sz val="10"/>
            <color rgb="FF000000"/>
            <rFont val="Tahoma"/>
            <family val="2"/>
          </rPr>
          <t xml:space="preserve">
</t>
        </r>
        <r>
          <rPr>
            <sz val="10"/>
            <color rgb="FF000000"/>
            <rFont val="Tahoma"/>
            <family val="2"/>
          </rPr>
          <t>Based on Past Historical Average</t>
        </r>
      </text>
    </comment>
    <comment ref="F5" authorId="0" shapeId="0" xr:uid="{837FD174-29A2-0A4A-9915-F2D08C8F60BB}">
      <text>
        <r>
          <rPr>
            <b/>
            <sz val="10"/>
            <color rgb="FF000000"/>
            <rFont val="Tahoma"/>
            <family val="2"/>
          </rPr>
          <t>.:</t>
        </r>
        <r>
          <rPr>
            <sz val="10"/>
            <color rgb="FF000000"/>
            <rFont val="Tahoma"/>
            <family val="2"/>
          </rPr>
          <t xml:space="preserve">
</t>
        </r>
        <r>
          <rPr>
            <sz val="10"/>
            <color rgb="FF000000"/>
            <rFont val="Tahoma"/>
            <family val="2"/>
          </rPr>
          <t>25% weight assigned to average historical of last 5 Audited years</t>
        </r>
      </text>
    </comment>
    <comment ref="E6" authorId="0" shapeId="0" xr:uid="{861720A6-3B9C-054C-843C-DC5E4F524913}">
      <text>
        <r>
          <rPr>
            <b/>
            <sz val="10"/>
            <color rgb="FF000000"/>
            <rFont val="Tahoma"/>
            <family val="2"/>
          </rPr>
          <t>.:</t>
        </r>
        <r>
          <rPr>
            <sz val="10"/>
            <color rgb="FF000000"/>
            <rFont val="Tahoma"/>
            <family val="2"/>
          </rPr>
          <t xml:space="preserve">
</t>
        </r>
        <r>
          <rPr>
            <sz val="10"/>
            <color rgb="FF000000"/>
            <rFont val="Tahoma"/>
            <family val="2"/>
          </rPr>
          <t>As Per IBEF report</t>
        </r>
      </text>
    </comment>
    <comment ref="F6" authorId="0" shapeId="0" xr:uid="{7D846F14-4A81-9343-81FE-0457AF3B0A09}">
      <text>
        <r>
          <rPr>
            <b/>
            <sz val="10"/>
            <color rgb="FF000000"/>
            <rFont val="Tahoma"/>
            <family val="2"/>
          </rPr>
          <t>.:</t>
        </r>
        <r>
          <rPr>
            <sz val="10"/>
            <color rgb="FF000000"/>
            <rFont val="Tahoma"/>
            <family val="2"/>
          </rPr>
          <t xml:space="preserve">
</t>
        </r>
        <r>
          <rPr>
            <sz val="10"/>
            <color rgb="FF000000"/>
            <rFont val="Tahoma"/>
            <family val="2"/>
          </rPr>
          <t>Maximum weights assigned to industry due to an underlying assumptions that comapnies will not be outperforming Industry</t>
        </r>
      </text>
    </comment>
    <comment ref="E7" authorId="0" shapeId="0" xr:uid="{27BC0C68-8B92-9E4B-BE99-0BB4B23D886A}">
      <text>
        <r>
          <rPr>
            <b/>
            <sz val="10"/>
            <color rgb="FF000000"/>
            <rFont val="Tahoma"/>
            <family val="2"/>
          </rPr>
          <t>.:</t>
        </r>
        <r>
          <rPr>
            <sz val="10"/>
            <color rgb="FF000000"/>
            <rFont val="Tahoma"/>
            <family val="2"/>
          </rPr>
          <t xml:space="preserve">
</t>
        </r>
        <r>
          <rPr>
            <sz val="10"/>
            <color rgb="FF000000"/>
            <rFont val="Tahoma"/>
            <family val="2"/>
          </rPr>
          <t>As per ICICI securities, Sharekhan and some other Analysts</t>
        </r>
      </text>
    </comment>
    <comment ref="F7" authorId="0" shapeId="0" xr:uid="{A54EC1A4-4AA8-DD44-9161-DB15E05FB235}">
      <text>
        <r>
          <rPr>
            <b/>
            <sz val="10"/>
            <color rgb="FF000000"/>
            <rFont val="Tahoma"/>
            <family val="2"/>
          </rPr>
          <t>.:</t>
        </r>
        <r>
          <rPr>
            <sz val="10"/>
            <color rgb="FF000000"/>
            <rFont val="Tahoma"/>
            <family val="2"/>
          </rPr>
          <t xml:space="preserve">
</t>
        </r>
        <r>
          <rPr>
            <sz val="10"/>
            <color rgb="FF000000"/>
            <rFont val="Tahoma"/>
            <family val="2"/>
          </rPr>
          <t>25% weight assigned to analysts estimates</t>
        </r>
      </text>
    </comment>
    <comment ref="E8" authorId="0" shapeId="0" xr:uid="{0B76FBF2-CDE4-3E43-B5DB-16802E202C93}">
      <text>
        <r>
          <rPr>
            <b/>
            <sz val="10"/>
            <color rgb="FF000000"/>
            <rFont val="Tahoma"/>
            <family val="2"/>
          </rPr>
          <t>.:</t>
        </r>
        <r>
          <rPr>
            <sz val="10"/>
            <color rgb="FF000000"/>
            <rFont val="Tahoma"/>
            <family val="2"/>
          </rPr>
          <t xml:space="preserve">
</t>
        </r>
        <r>
          <rPr>
            <sz val="10"/>
            <color rgb="FF000000"/>
            <rFont val="Tahoma"/>
            <family val="2"/>
          </rPr>
          <t>it aligned with the management estimates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I5" authorId="0" shapeId="0" xr:uid="{D0DF66F0-41B6-4B44-8DD9-7F7633C3ECF8}">
      <text>
        <r>
          <rPr>
            <b/>
            <sz val="10"/>
            <color rgb="FF000000"/>
            <rFont val="Tahoma"/>
            <family val="2"/>
          </rPr>
          <t>.:</t>
        </r>
        <r>
          <rPr>
            <sz val="10"/>
            <color rgb="FF000000"/>
            <rFont val="Tahoma"/>
            <family val="2"/>
          </rPr>
          <t xml:space="preserve">
</t>
        </r>
        <r>
          <rPr>
            <sz val="10"/>
            <color rgb="FF000000"/>
            <rFont val="Tahoma"/>
            <family val="2"/>
          </rPr>
          <t>As on 14th Aug 2025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H40" authorId="0" shapeId="0" xr:uid="{494EE1B1-177D-D049-809A-A587369B44A6}">
      <text>
        <r>
          <rPr>
            <b/>
            <sz val="10"/>
            <color rgb="FF000000"/>
            <rFont val="Tahoma"/>
            <family val="2"/>
          </rPr>
          <t>.:</t>
        </r>
        <r>
          <rPr>
            <sz val="10"/>
            <color rgb="FF000000"/>
            <rFont val="Tahoma"/>
            <family val="2"/>
          </rPr>
          <t xml:space="preserve">
</t>
        </r>
        <r>
          <rPr>
            <sz val="10"/>
            <color rgb="FF000000"/>
            <rFont val="Tahoma"/>
            <family val="2"/>
          </rPr>
          <t>As on 14th Aug, 2025</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5C33E8-666E-FE4C-B213-9C9129F0CDE2}" keepAlive="1" name="Query - 500387" description="Connection to the '500387' query in the workbook." type="5" refreshedVersion="0" background="1">
    <dbPr connection="Provider=Microsoft.Mashup.OleDb.1;Data Source=$Workbook$;Location=500387;Extended Properties=&quot;&quot;" command="SELECT * FROM [500387]"/>
  </connection>
  <connection id="2" xr16:uid="{F99E903E-65F7-034A-B76B-4E05AB5726DA}" keepAlive="1" name="Query - 500387 (2)" description="Connection to the '500387 (2)' query in the workbook." type="5" refreshedVersion="0" background="1">
    <dbPr connection="Provider=Microsoft.Mashup.OleDb.1;Data Source=$Workbook$;Location=&quot;500387 (2)&quot;;Extended Properties=&quot;&quot;" command="SELECT * FROM [500387 (2)]"/>
  </connection>
  <connection id="3" xr16:uid="{25277CAE-36EC-7B47-8D7A-218BAD444092}" keepAlive="1" name="Query - 532424" description="Connection to the '532424' query in the workbook." type="5" refreshedVersion="0" background="1">
    <dbPr connection="Provider=Microsoft.Mashup.OleDb.1;Data Source=$Workbook$;Location=532424;Extended Properties=&quot;&quot;" command="SELECT * FROM [532424]"/>
  </connection>
  <connection id="4" xr16:uid="{5B5240F7-BFDF-E044-8B8D-97087C6292E3}" keepAlive="1" name="Query - 532424 (2)" description="Connection to the '532424 (2)' query in the workbook." type="5" refreshedVersion="8" background="1" saveData="1">
    <dbPr connection="Provider=Microsoft.Mashup.OleDb.1;Data Source=$Workbook$;Location=&quot;532424 (2)&quot;;Extended Properties=&quot;&quot;" command="SELECT * FROM [532424 (2)]"/>
  </connection>
  <connection id="5" xr16:uid="{4A7AF71F-F1C1-DA49-AFAF-0B859F6399C0}" keepAlive="1" name="Query - 532424 (3)" description="Connection to the '532424 (3)' query in the workbook." type="5" refreshedVersion="0" background="1">
    <dbPr connection="Provider=Microsoft.Mashup.OleDb.1;Data Source=$Workbook$;Location=&quot;532424 (3)&quot;;Extended Properties=&quot;&quot;" command="SELECT * FROM [532424 (3)]"/>
  </connection>
  <connection id="6" xr16:uid="{9228FE43-4643-094E-90AB-D5E7A9D0B517}" keepAlive="1" name="Query - CSVForMonth" description="Connection to the 'CSVForMonth' query in the workbook." type="5" refreshedVersion="0" background="1">
    <dbPr connection="Provider=Microsoft.Mashup.OleDb.1;Data Source=$Workbook$;Location=CSVForMonth;Extended Properties=&quot;&quot;" command="SELECT * FROM [CSVForMonth]"/>
  </connection>
  <connection id="7" xr16:uid="{76C3CAC6-A49D-E441-B4FC-9B1370F93C8D}" keepAlive="1" name="Query - CSVForMonth (2)" description="Connection to the 'CSVForMonth (2)' query in the workbook." type="5" refreshedVersion="8" background="1" saveData="1">
    <dbPr connection="Provider=Microsoft.Mashup.OleDb.1;Data Source=$Workbook$;Location=&quot;CSVForMonth (2)&quot;;Extended Properties=&quot;&quot;" command="SELECT * FROM [CSVForMonth (2)]"/>
  </connection>
  <connection id="8" xr16:uid="{BF3B4AA9-541D-7541-A107-34A661E0E9C8}" keepAlive="1" name="Query - CSVForMonth (3)" description="Connection to the 'CSVForMonth (3)' query in the workbook." type="5" refreshedVersion="0" background="1">
    <dbPr connection="Provider=Microsoft.Mashup.OleDb.1;Data Source=$Workbook$;Location=&quot;CSVForMonth (3)&quot;;Extended Properties=&quot;&quot;" command="SELECT * FROM [CSVForMonth (3)]"/>
  </connection>
  <connection id="9" xr16:uid="{D8905562-1A7D-524C-880E-28DBA9B929E7}" keepAlive="1" name="Query - CSVForMonth (4)" description="Connection to the 'CSVForMonth (4)' query in the workbook." type="5" refreshedVersion="8" background="1" saveData="1">
    <dbPr connection="Provider=Microsoft.Mashup.OleDb.1;Data Source=$Workbook$;Location=&quot;CSVForMonth (4)&quot;;Extended Properties=&quot;&quot;" command="SELECT * FROM [CSVForMonth (4)]"/>
  </connection>
  <connection id="10" xr16:uid="{B6798248-C3DB-CE47-B86F-A4E18C74BF16}" keepAlive="1" name="Query - CSVForMonth (5)" description="Connection to the 'CSVForMonth (5)' query in the workbook." type="5" refreshedVersion="0" background="1">
    <dbPr connection="Provider=Microsoft.Mashup.OleDb.1;Data Source=$Workbook$;Location=&quot;CSVForMonth (5)&quot;;Extended Properties=&quot;&quot;" command="SELECT * FROM [CSVForMonth (5)]"/>
  </connection>
  <connection id="11" xr16:uid="{6AF9F029-AECF-9C41-9D15-08568BF0977B}" keepAlive="1" name="Query - NIFTY 50_Historical_PR_01082015to01082025" description="Connection to the 'NIFTY 50_Historical_PR_01082015to01082025' query in the workbook." type="5" refreshedVersion="0" background="1">
    <dbPr connection="Provider=Microsoft.Mashup.OleDb.1;Data Source=$Workbook$;Location=&quot;NIFTY 50_Historical_PR_01082015to01082025&quot;;Extended Properties=&quot;&quot;" command="SELECT * FROM [NIFTY 50_Historical_PR_01082015to01082025]"/>
  </connection>
  <connection id="12" xr16:uid="{D6B338ED-5B40-A64A-A68A-C306134B9181}" keepAlive="1" name="Query - NIFTY 50_Historical_PR_01082025to14082025" description="Connection to the 'NIFTY 50_Historical_PR_01082025to14082025' query in the workbook." type="5" refreshedVersion="0" background="1">
    <dbPr connection="Provider=Microsoft.Mashup.OleDb.1;Data Source=$Workbook$;Location=&quot;NIFTY 50_Historical_PR_01082025to14082025&quot;;Extended Properties=&quot;&quot;" command="SELECT * FROM [NIFTY 50_Historical_PR_01082025to14082025]"/>
  </connection>
  <connection id="13" xr16:uid="{C623F663-7753-3747-840C-0A8F1E5ECC7A}" keepAlive="1" name="Query - NIFTY 50_Historical_PR_11072015to11072025" description="Connection to the 'NIFTY 50_Historical_PR_11072015to11072025' query in the workbook." type="5" refreshedVersion="0" background="1">
    <dbPr connection="Provider=Microsoft.Mashup.OleDb.1;Data Source=$Workbook$;Location=&quot;NIFTY 50_Historical_PR_11072015to11072025&quot;;Extended Properties=&quot;&quot;" command="SELECT * FROM [NIFTY 50_Historical_PR_11072015to11072025]"/>
  </connection>
  <connection id="14" xr16:uid="{9B0E2C12-AD65-8345-A0F1-7EFEA895C055}" keepAlive="1" name="Query - NIFTY 50_Historical_PR_12062015to12062025" description="Connection to the 'NIFTY 50_Historical_PR_12062015to12062025' query in the workbook." type="5" refreshedVersion="8" background="1" saveData="1">
    <dbPr connection="Provider=Microsoft.Mashup.OleDb.1;Data Source=$Workbook$;Location=&quot;NIFTY 50_Historical_PR_12062015to12062025&quot;;Extended Properties=&quot;&quot;" command="SELECT * FROM [NIFTY 50_Historical_PR_12062015to12062025]"/>
  </connection>
  <connection id="15" xr16:uid="{93E0E70E-377D-2C40-939A-6BDDAD825BCA}" keepAlive="1" name="Query - NIFTY 50_Historical_PR_23062015to23062025" description="Connection to the 'NIFTY 50_Historical_PR_23062015to23062025' query in the workbook." type="5" refreshedVersion="0" background="1">
    <dbPr connection="Provider=Microsoft.Mashup.OleDb.1;Data Source=$Workbook$;Location=&quot;NIFTY 50_Historical_PR_23062015to23062025&quot;;Extended Properties=&quot;&quot;" command="SELECT * FROM [NIFTY 50_Historical_PR_23062015to23062025]"/>
  </connection>
  <connection id="16" xr16:uid="{081B10C6-1C84-EC47-AC8D-991ADD4D1470}" keepAlive="1" name="Query - NIFTY 50_Historical_PR_28072015to28072025" description="Connection to the 'NIFTY 50_Historical_PR_28072015to28072025' query in the workbook." type="5" refreshedVersion="0" background="1">
    <dbPr connection="Provider=Microsoft.Mashup.OleDb.1;Data Source=$Workbook$;Location=&quot;NIFTY 50_Historical_PR_28072015to28072025&quot;;Extended Properties=&quot;&quot;" command="SELECT * FROM [NIFTY 50_Historical_PR_28072015to28072025]"/>
  </connection>
  <connection id="17" xr16:uid="{62D3D7EC-990A-0A40-9652-8537FADDB773}" keepAlive="1" name="Query - NIFTY 50_Historical_PR_31102014to31102024" description="Connection to the 'NIFTY 50_Historical_PR_31102014to31102024' query in the workbook." type="5" refreshedVersion="0" background="1">
    <dbPr connection="Provider=Microsoft.Mashup.OleDb.1;Data Source=$Workbook$;Location=&quot;NIFTY 50_Historical_PR_31102014to31102024&quot;;Extended Properties=&quot;&quot;" command="SELECT * FROM [NIFTY 50_Historical_PR_31102014to3110202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<sst xmlns="http://schemas.openxmlformats.org/spreadsheetml/2006/main" count="764" uniqueCount="564">
  <si>
    <t>ASSETS</t>
  </si>
  <si>
    <t>TOTAL ASSETS</t>
  </si>
  <si>
    <t>EQUITY AND LIABILITIES</t>
  </si>
  <si>
    <t>TOTAL EQUITY AND LIABILITIES</t>
  </si>
  <si>
    <t>Income</t>
  </si>
  <si>
    <t>Other Income</t>
  </si>
  <si>
    <t>Expenses</t>
  </si>
  <si>
    <t>Profit for the Year</t>
  </si>
  <si>
    <t>Adjustments for:</t>
  </si>
  <si>
    <t>Historical Financial Information</t>
  </si>
  <si>
    <t>INCOME STATEMENT</t>
  </si>
  <si>
    <t>(b) Other income</t>
  </si>
  <si>
    <t>Total income</t>
  </si>
  <si>
    <t>(a) Material cost</t>
  </si>
  <si>
    <t>Total expenses</t>
  </si>
  <si>
    <t>Profit before tax</t>
  </si>
  <si>
    <t>Tax expense</t>
  </si>
  <si>
    <t>(a) Current tax</t>
  </si>
  <si>
    <t>Total tax expense</t>
  </si>
  <si>
    <t>BALANCE SHEET</t>
  </si>
  <si>
    <t>Non-current assets</t>
  </si>
  <si>
    <t>Total non-current assets</t>
  </si>
  <si>
    <t>Total current assets</t>
  </si>
  <si>
    <t>Equity</t>
  </si>
  <si>
    <t>(a) Equity share capital</t>
  </si>
  <si>
    <t>(b) Other equity</t>
  </si>
  <si>
    <t>Liabilities</t>
  </si>
  <si>
    <t>Total non-current liabilities</t>
  </si>
  <si>
    <t>Total current liabilities</t>
  </si>
  <si>
    <t>Total liabilities</t>
  </si>
  <si>
    <t>CASH FLOW STATEMENT</t>
  </si>
  <si>
    <t>A. Cash Flow from Operating Activities</t>
  </si>
  <si>
    <t>Subtotal of adjustments</t>
  </si>
  <si>
    <t>Operating profit before working capital changes</t>
  </si>
  <si>
    <t>Adjustments for changes in working capital:</t>
  </si>
  <si>
    <t>Cash generated from operations</t>
  </si>
  <si>
    <t>Less: Income tax paid (net)</t>
  </si>
  <si>
    <t>Net cash from operating activities</t>
  </si>
  <si>
    <t>B. Cash Flow from Investing Activities</t>
  </si>
  <si>
    <t>Net cash (used in) investing activities</t>
  </si>
  <si>
    <t>C. Cash Flow from Financing Activities</t>
  </si>
  <si>
    <t>Net cash from/(used in) financing activities</t>
  </si>
  <si>
    <t>D. Net increase/(decrease) in cash (A+B+C)</t>
  </si>
  <si>
    <t>E. Opening cash and cash equivalents</t>
  </si>
  <si>
    <t>F. Closing cash and cash equivalents (D+E)</t>
  </si>
  <si>
    <t>SEGMENTED REVENUE</t>
  </si>
  <si>
    <t>CAGR</t>
  </si>
  <si>
    <t>India</t>
  </si>
  <si>
    <t>QUARTERLY FINANCIALS</t>
  </si>
  <si>
    <t>Sales</t>
  </si>
  <si>
    <t>Operating Profit</t>
  </si>
  <si>
    <t>Depreciation</t>
  </si>
  <si>
    <t>Interest</t>
  </si>
  <si>
    <t>Tax</t>
  </si>
  <si>
    <t>Net profit</t>
  </si>
  <si>
    <r>
      <rPr>
        <b/>
        <sz val="12"/>
        <color rgb="FF0432FF"/>
        <rFont val="Book Antiqua"/>
        <family val="1"/>
      </rPr>
      <t>Blue- Hard Coded,</t>
    </r>
    <r>
      <rPr>
        <b/>
        <sz val="12"/>
        <color theme="1"/>
        <rFont val="Book Antiqua"/>
        <family val="1"/>
      </rPr>
      <t xml:space="preserve"> Black- Calculation </t>
    </r>
    <r>
      <rPr>
        <b/>
        <sz val="12"/>
        <color rgb="FF00B050"/>
        <rFont val="Book Antiqua"/>
        <family val="1"/>
      </rPr>
      <t>&amp;</t>
    </r>
    <r>
      <rPr>
        <b/>
        <sz val="12"/>
        <color theme="1"/>
        <rFont val="Book Antiqua"/>
        <family val="1"/>
      </rPr>
      <t xml:space="preserve"> </t>
    </r>
    <r>
      <rPr>
        <b/>
        <sz val="12"/>
        <color rgb="FF00B050"/>
        <rFont val="Book Antiqua"/>
        <family val="1"/>
      </rPr>
      <t>Green- Linkages</t>
    </r>
  </si>
  <si>
    <t>Historical Period</t>
  </si>
  <si>
    <t>Forecast Period</t>
  </si>
  <si>
    <t>Financial Statements &amp; DCF Analysis</t>
  </si>
  <si>
    <t>Master Check</t>
  </si>
  <si>
    <t>LIVE SCENARIO</t>
  </si>
  <si>
    <t>Base Case</t>
  </si>
  <si>
    <t>Units</t>
  </si>
  <si>
    <t xml:space="preserve">Revenue Growth </t>
  </si>
  <si>
    <t>%</t>
  </si>
  <si>
    <t>Cost of Goods Sold (% of Revenue)</t>
  </si>
  <si>
    <t>Salaries and benefits (% of Revenue)</t>
  </si>
  <si>
    <t>Other SG&amp;A Expenses (% of Revenue)</t>
  </si>
  <si>
    <t>Depreciation &amp; Amortization Expenses (% of PP&amp;E)</t>
  </si>
  <si>
    <t>Interest (% of Debt)</t>
  </si>
  <si>
    <t>Other Income (Expenses) (% of Revenue)</t>
  </si>
  <si>
    <t>Dividends Payout</t>
  </si>
  <si>
    <t xml:space="preserve">Accounts Receivable </t>
  </si>
  <si>
    <t>Days</t>
  </si>
  <si>
    <t>Inventory</t>
  </si>
  <si>
    <t>Accounts Payable</t>
  </si>
  <si>
    <t>Income Statement</t>
  </si>
  <si>
    <t>INCOME</t>
  </si>
  <si>
    <t>Revenue</t>
  </si>
  <si>
    <t>Cost of Good Sold (COGS)</t>
  </si>
  <si>
    <t>Gross Profit</t>
  </si>
  <si>
    <t>EXPENSES</t>
  </si>
  <si>
    <t>Salaries and benefits</t>
  </si>
  <si>
    <t>Other SG&amp;A Expenses</t>
  </si>
  <si>
    <t>EBITDA</t>
  </si>
  <si>
    <t>Depreciation &amp; Amortization Expenses</t>
  </si>
  <si>
    <t>EBIT</t>
  </si>
  <si>
    <t>Other Income (Expenses)</t>
  </si>
  <si>
    <t>Earnings before Tax</t>
  </si>
  <si>
    <t>Taxes</t>
  </si>
  <si>
    <t>Net Earnings</t>
  </si>
  <si>
    <t>Balance Sheet</t>
  </si>
  <si>
    <t>Assets</t>
  </si>
  <si>
    <t>Current Assets:</t>
  </si>
  <si>
    <t>Cash</t>
  </si>
  <si>
    <t>Bank Deposits</t>
  </si>
  <si>
    <t>Accounts Receivable</t>
  </si>
  <si>
    <t>Other Current Assets</t>
  </si>
  <si>
    <t>Non-Current Assets:</t>
  </si>
  <si>
    <t>Property &amp; Equipment</t>
  </si>
  <si>
    <t>Financial Assets</t>
  </si>
  <si>
    <t>Other Non-Current Assets</t>
  </si>
  <si>
    <t>Total Assets</t>
  </si>
  <si>
    <t>Current Liabilities:</t>
  </si>
  <si>
    <t>Other Current Liability</t>
  </si>
  <si>
    <t>Non-Current Liabilities:</t>
  </si>
  <si>
    <t>Debt</t>
  </si>
  <si>
    <t>Other Non-Current Liability</t>
  </si>
  <si>
    <t>Total Liabilities</t>
  </si>
  <si>
    <t>Shareholder's Equity</t>
  </si>
  <si>
    <t>Equity Capital</t>
  </si>
  <si>
    <t>Retained Earnings</t>
  </si>
  <si>
    <t>Total Liabilities &amp; Shareholder's Equity</t>
  </si>
  <si>
    <t>Check</t>
  </si>
  <si>
    <t>Cash Flow Statement</t>
  </si>
  <si>
    <t>Operating Cash Flow</t>
  </si>
  <si>
    <t>Plus: Depreciation &amp; Amortization</t>
  </si>
  <si>
    <t>Plus/Less: Other Adjustments</t>
  </si>
  <si>
    <t>Plus/Less: Adjustment for Operating Assets &amp; Liabilities</t>
  </si>
  <si>
    <t>Cash From Operations</t>
  </si>
  <si>
    <t>Investing Cash Flow</t>
  </si>
  <si>
    <t>Purchases/sale of investments</t>
  </si>
  <si>
    <t>Dividend received</t>
  </si>
  <si>
    <t>Interest received</t>
  </si>
  <si>
    <t>Cash from Investing</t>
  </si>
  <si>
    <t>Financing Cash Flow</t>
  </si>
  <si>
    <t>Issuance(repayment) of debt</t>
  </si>
  <si>
    <t>Dividends paid</t>
  </si>
  <si>
    <t>Interest paid</t>
  </si>
  <si>
    <t>Cash from Financing</t>
  </si>
  <si>
    <t>Net Increase (decrease) in Cash</t>
  </si>
  <si>
    <t>Opening Cash Balance</t>
  </si>
  <si>
    <t>Closing Cash Balance</t>
  </si>
  <si>
    <t>Supporting Schedules</t>
  </si>
  <si>
    <t>Working Capital</t>
  </si>
  <si>
    <t>Total</t>
  </si>
  <si>
    <t>Depreciation Schedule</t>
  </si>
  <si>
    <t>PPE Opening</t>
  </si>
  <si>
    <t>Plus Capex</t>
  </si>
  <si>
    <t>Less Depreciation</t>
  </si>
  <si>
    <t>PPE Closing</t>
  </si>
  <si>
    <t>Debt &amp; Interest Schedule</t>
  </si>
  <si>
    <t>Debt Opening</t>
  </si>
  <si>
    <t>Issuance (repayment)</t>
  </si>
  <si>
    <t>Debt Closing</t>
  </si>
  <si>
    <t>Interest Expense</t>
  </si>
  <si>
    <t>DCF Model</t>
  </si>
  <si>
    <t>Assumptions</t>
  </si>
  <si>
    <t>Transaction Date</t>
  </si>
  <si>
    <t>Fiscal Year End</t>
  </si>
  <si>
    <t>Tax Rate</t>
  </si>
  <si>
    <t>EV/EBITDA Multiple</t>
  </si>
  <si>
    <t>Perpetual Growth Rate</t>
  </si>
  <si>
    <t>Discount Rate</t>
  </si>
  <si>
    <t>Shares Outstanding</t>
  </si>
  <si>
    <t>Current Price</t>
  </si>
  <si>
    <t>Discounted Cash Flow</t>
  </si>
  <si>
    <t>Entry</t>
  </si>
  <si>
    <t>Exit</t>
  </si>
  <si>
    <t>Terminal Value</t>
  </si>
  <si>
    <t>Date</t>
  </si>
  <si>
    <t>EV/EBITDA</t>
  </si>
  <si>
    <t>Time periods</t>
  </si>
  <si>
    <t>Perp. Growth</t>
  </si>
  <si>
    <t>Year frac.</t>
  </si>
  <si>
    <t>Average</t>
  </si>
  <si>
    <t>Less: Cash Taxes</t>
  </si>
  <si>
    <t>NOPAT</t>
  </si>
  <si>
    <t>Plus: Depreciation &amp; Amoritzation</t>
  </si>
  <si>
    <t>Less: Capex</t>
  </si>
  <si>
    <t>Unlevered FCFF</t>
  </si>
  <si>
    <t>Transaction FCFF</t>
  </si>
  <si>
    <t>Intrinsic Value</t>
  </si>
  <si>
    <t>Market Value</t>
  </si>
  <si>
    <t>Rate of Return</t>
  </si>
  <si>
    <t>Enterprise Value</t>
  </si>
  <si>
    <t>Market Cap</t>
  </si>
  <si>
    <t>Plus: Cash &amp; Equivalents</t>
  </si>
  <si>
    <t>Plus: Debt</t>
  </si>
  <si>
    <t>Target Price</t>
  </si>
  <si>
    <t>Less: Debt</t>
  </si>
  <si>
    <t>Plus: Non-Controlling Interest</t>
  </si>
  <si>
    <t>TP Upside</t>
  </si>
  <si>
    <t>Less: Non-Controlling Interest</t>
  </si>
  <si>
    <t>Less: Cash &amp; Equivalents</t>
  </si>
  <si>
    <t>Equity Value</t>
  </si>
  <si>
    <t>Equity Value/Share</t>
  </si>
  <si>
    <t>Sensitivity Analysis</t>
  </si>
  <si>
    <t>Sensitivties - Intrinsic Value (Rs./Share)</t>
  </si>
  <si>
    <t>Exit Multiple</t>
  </si>
  <si>
    <t>Scenarios</t>
  </si>
  <si>
    <t>Bull Case</t>
  </si>
  <si>
    <t>Annual Growth Tapering</t>
  </si>
  <si>
    <t>Comps Valuation</t>
  </si>
  <si>
    <t>Market Data</t>
  </si>
  <si>
    <t>Financial Data</t>
  </si>
  <si>
    <t>Valuation</t>
  </si>
  <si>
    <t>Price</t>
  </si>
  <si>
    <t>Shares</t>
  </si>
  <si>
    <t>EV</t>
  </si>
  <si>
    <t>Earnings</t>
  </si>
  <si>
    <t>EV/Sales</t>
  </si>
  <si>
    <t>P/E</t>
  </si>
  <si>
    <t>Company Name</t>
  </si>
  <si>
    <t>Ticker</t>
  </si>
  <si>
    <r>
      <t>(</t>
    </r>
    <r>
      <rPr>
        <sz val="12"/>
        <color theme="0"/>
        <rFont val="Calibri"/>
        <family val="2"/>
      </rPr>
      <t>₹</t>
    </r>
    <r>
      <rPr>
        <i/>
        <sz val="10.8"/>
        <color theme="0"/>
        <rFont val="Book Antiqua"/>
        <family val="1"/>
      </rPr>
      <t>/share)</t>
    </r>
  </si>
  <si>
    <t>&amp; Equivalents</t>
  </si>
  <si>
    <t>x</t>
  </si>
  <si>
    <t>Median</t>
  </si>
  <si>
    <t>Metric</t>
  </si>
  <si>
    <t>Comps</t>
  </si>
  <si>
    <t>Net Debt</t>
  </si>
  <si>
    <t>Share Price</t>
  </si>
  <si>
    <t>EV/Revenue</t>
  </si>
  <si>
    <t>Comps Data</t>
  </si>
  <si>
    <t>Company</t>
  </si>
  <si>
    <t>Net Income</t>
  </si>
  <si>
    <t>Tax %</t>
  </si>
  <si>
    <t>Equity Market Return</t>
  </si>
  <si>
    <t>Index</t>
  </si>
  <si>
    <t>Close Price</t>
  </si>
  <si>
    <t>Nifty 50 TRI</t>
  </si>
  <si>
    <t>Yearfrac</t>
  </si>
  <si>
    <t>Market Return</t>
  </si>
  <si>
    <t>Weighted-Average Cost of Capital (WACC)</t>
  </si>
  <si>
    <t>Comparable Companies Beta</t>
  </si>
  <si>
    <t xml:space="preserve">Total </t>
  </si>
  <si>
    <t>Debt/</t>
  </si>
  <si>
    <t>Levered</t>
  </si>
  <si>
    <t>Unlevered</t>
  </si>
  <si>
    <t>Value</t>
  </si>
  <si>
    <t>Capital</t>
  </si>
  <si>
    <t>Rate %</t>
  </si>
  <si>
    <t>Beta</t>
  </si>
  <si>
    <t>WACC Calculation</t>
  </si>
  <si>
    <t>Target Capital Structure</t>
  </si>
  <si>
    <t>Proportion of Debt</t>
  </si>
  <si>
    <t>Proportion of Equity</t>
  </si>
  <si>
    <t>Current Capital Structure</t>
  </si>
  <si>
    <t>Total Debt</t>
  </si>
  <si>
    <t>Debt / Equity</t>
  </si>
  <si>
    <t>Cost of Debt</t>
  </si>
  <si>
    <t>Pre-Tax Cost of Debt</t>
  </si>
  <si>
    <t>After-Tax Cost of Debt</t>
  </si>
  <si>
    <t>Cost of Equity</t>
  </si>
  <si>
    <t>Risk Free Rate</t>
  </si>
  <si>
    <t>Equity Risk Premium</t>
  </si>
  <si>
    <t>Levered Equity Beta</t>
  </si>
  <si>
    <t>WACC</t>
  </si>
  <si>
    <t>Company Beta</t>
  </si>
  <si>
    <t>% Change</t>
  </si>
  <si>
    <t>Stock</t>
  </si>
  <si>
    <t>Monthly</t>
  </si>
  <si>
    <t>Min</t>
  </si>
  <si>
    <t>Max</t>
  </si>
  <si>
    <t>All Amounts Denominated in INR CRORES Unless Otherwise Stated</t>
  </si>
  <si>
    <r>
      <rPr>
        <b/>
        <sz val="11"/>
        <color theme="1"/>
        <rFont val="Calibri"/>
        <family val="2"/>
      </rPr>
      <t>₹</t>
    </r>
    <r>
      <rPr>
        <b/>
        <sz val="11"/>
        <color theme="1"/>
        <rFont val="Book Antiqua"/>
        <family val="1"/>
      </rPr>
      <t xml:space="preserve"> Cr</t>
    </r>
  </si>
  <si>
    <r>
      <rPr>
        <sz val="11"/>
        <color theme="1"/>
        <rFont val="Calibri"/>
        <family val="2"/>
      </rPr>
      <t>₹</t>
    </r>
    <r>
      <rPr>
        <sz val="11"/>
        <color theme="1"/>
        <rFont val="Book Antiqua"/>
        <family val="1"/>
      </rPr>
      <t xml:space="preserve"> Cr</t>
    </r>
  </si>
  <si>
    <t>Cr</t>
  </si>
  <si>
    <t>₹ Cr</t>
  </si>
  <si>
    <t>Investments/Proceeds from Property &amp; Equipment</t>
  </si>
  <si>
    <t>Source: Company Annual Reports</t>
  </si>
  <si>
    <t>(b) Stock-in-trade purchases</t>
  </si>
  <si>
    <t>(c) Inventory changes</t>
  </si>
  <si>
    <t>(d) Employee benefits</t>
  </si>
  <si>
    <t>Valuation Summary - Football Field</t>
  </si>
  <si>
    <t>Football Field Data</t>
  </si>
  <si>
    <t>Market</t>
  </si>
  <si>
    <t>DCF</t>
  </si>
  <si>
    <t>52-week hi/lo</t>
  </si>
  <si>
    <t>Consensus</t>
  </si>
  <si>
    <t>High</t>
  </si>
  <si>
    <t>Low</t>
  </si>
  <si>
    <t>Valuation Summary</t>
  </si>
  <si>
    <t>Financial Model</t>
  </si>
  <si>
    <t>Inputs</t>
  </si>
  <si>
    <t>Historical Financial Statement</t>
  </si>
  <si>
    <t>Calculation &amp; Analysis</t>
  </si>
  <si>
    <t>Debt Schedule</t>
  </si>
  <si>
    <t>Outputs</t>
  </si>
  <si>
    <t>Comparables Analysis</t>
  </si>
  <si>
    <t>SUMMARY OUTPUT</t>
  </si>
  <si>
    <t>Regression Statistics</t>
  </si>
  <si>
    <t>Multiple R</t>
  </si>
  <si>
    <t>R Square</t>
  </si>
  <si>
    <t>Adjusted R Square</t>
  </si>
  <si>
    <t>Standard Error</t>
  </si>
  <si>
    <t>Observations</t>
  </si>
  <si>
    <t>ANOVA</t>
  </si>
  <si>
    <t>Regression</t>
  </si>
  <si>
    <t>Residual</t>
  </si>
  <si>
    <t>Intercept</t>
  </si>
  <si>
    <t>df</t>
  </si>
  <si>
    <t>SS</t>
  </si>
  <si>
    <t>MS</t>
  </si>
  <si>
    <t>F</t>
  </si>
  <si>
    <t>Significance F</t>
  </si>
  <si>
    <t>Coefficients</t>
  </si>
  <si>
    <t>t Stat</t>
  </si>
  <si>
    <t>P-value</t>
  </si>
  <si>
    <t>Lower 95%</t>
  </si>
  <si>
    <t>Upper 95%</t>
  </si>
  <si>
    <t>Lower 95.0%</t>
  </si>
  <si>
    <t>Upper 95.0%</t>
  </si>
  <si>
    <t>X Variable 1</t>
  </si>
  <si>
    <t>Sharekhan</t>
  </si>
  <si>
    <t>LTP</t>
  </si>
  <si>
    <t>Broker Analysis</t>
  </si>
  <si>
    <r>
      <rPr>
        <b/>
        <sz val="12"/>
        <color rgb="FF0432FF"/>
        <rFont val="Book Antiqua"/>
        <family val="1"/>
      </rPr>
      <t>Blue- Hard Coded,</t>
    </r>
    <r>
      <rPr>
        <b/>
        <sz val="12"/>
        <color theme="1"/>
        <rFont val="Book Antiqua"/>
        <family val="1"/>
      </rPr>
      <t xml:space="preserve"> Black- Calculation </t>
    </r>
    <r>
      <rPr>
        <b/>
        <sz val="12"/>
        <color rgb="FF00B050"/>
        <rFont val="Book Antiqua"/>
        <family val="1"/>
      </rPr>
      <t>&amp; Green- Linkages</t>
    </r>
  </si>
  <si>
    <t>Ratio Analysis</t>
  </si>
  <si>
    <t>Particulars</t>
  </si>
  <si>
    <t>Estimated</t>
  </si>
  <si>
    <t>Projected</t>
  </si>
  <si>
    <t>Capex</t>
  </si>
  <si>
    <t xml:space="preserve">Consensus </t>
  </si>
  <si>
    <t>Company Description</t>
  </si>
  <si>
    <t>ISIN Code</t>
  </si>
  <si>
    <t>Sector Name</t>
  </si>
  <si>
    <t>Industry</t>
  </si>
  <si>
    <t>Exchange Name</t>
  </si>
  <si>
    <t>Website</t>
  </si>
  <si>
    <t>Current Market Price</t>
  </si>
  <si>
    <t>Company data</t>
  </si>
  <si>
    <t>Amount</t>
  </si>
  <si>
    <t>No of Outstanding shares</t>
  </si>
  <si>
    <t>Nos</t>
  </si>
  <si>
    <t>Face Value per share</t>
  </si>
  <si>
    <t>Rs.</t>
  </si>
  <si>
    <t>Market Capitalisation</t>
  </si>
  <si>
    <t>INR in crs</t>
  </si>
  <si>
    <t>Year</t>
  </si>
  <si>
    <t>Reference</t>
  </si>
  <si>
    <t>Capex is estimated using the average of the last 5 audited years, with a 0.5% increase applied in the next forecast year</t>
  </si>
  <si>
    <t>Trade Receivables, Inventory, and Trade Payables were calculated by determining the DSO, DIO, and DPO for all five audited years. The average of these metrics was then taken and assumed to remain constant during the forecasted years. These constant ratios were subsequently multiplied by the Revenue and Inventory of the respective forecast years to estimate the values.</t>
  </si>
  <si>
    <t>Headings</t>
  </si>
  <si>
    <t>M14:V14</t>
  </si>
  <si>
    <t>Revenue &amp; Cost Buildup</t>
  </si>
  <si>
    <t>Revenue &amp; Cost buildup</t>
  </si>
  <si>
    <t>M15:V15</t>
  </si>
  <si>
    <t>Effective Tax Rate (% of Earnings before Tax)</t>
  </si>
  <si>
    <t>Cash and Cash equivalents are taken from the closing cash balance of cash flow statements.</t>
  </si>
  <si>
    <t>Bank Deposits is taken from the last historical year and Increased by the balancing figure of balance sheet and remained constant throughout the projected period.</t>
  </si>
  <si>
    <t>M16:V16</t>
  </si>
  <si>
    <t>M12:V12</t>
  </si>
  <si>
    <t>M13:V13</t>
  </si>
  <si>
    <t>COGS, Salaries &amp; Benefits and Other SG&amp;A Expenses  is taken as average of last 5 audited years and assumed to be remain constatnt throughout the projection period.</t>
  </si>
  <si>
    <t>M17:V17,   M18:V18,    M19:V19</t>
  </si>
  <si>
    <t>M20:V20</t>
  </si>
  <si>
    <t>M46:V46</t>
  </si>
  <si>
    <t>M9:V9          M10:V10        M11:V11</t>
  </si>
  <si>
    <t>Debt Issuance/Repayment is assumed to be Zero for thr forecasted years.</t>
  </si>
  <si>
    <t>M8:V8</t>
  </si>
  <si>
    <t>Shree Cement Limited</t>
  </si>
  <si>
    <t>Finance Costs</t>
  </si>
  <si>
    <t>Profit Attributable to:</t>
  </si>
  <si>
    <t>Owners of the Company</t>
  </si>
  <si>
    <t>Non Controlling Interest</t>
  </si>
  <si>
    <t>Property, Plant and Equipment</t>
  </si>
  <si>
    <t>Capital Work-in-Progress</t>
  </si>
  <si>
    <t>Intangible Assets</t>
  </si>
  <si>
    <t>Right of Use Assets</t>
  </si>
  <si>
    <t>Deferred Tax Assets (Net)</t>
  </si>
  <si>
    <t>Non-Current Tax Assets (Net)</t>
  </si>
  <si>
    <t>Current Assets</t>
  </si>
  <si>
    <t>Inventories</t>
  </si>
  <si>
    <t>Total Equity</t>
  </si>
  <si>
    <t>LIABILITIES</t>
  </si>
  <si>
    <t>Non-Current Liabilities</t>
  </si>
  <si>
    <t>Financial Liabilities</t>
  </si>
  <si>
    <t>Provisions</t>
  </si>
  <si>
    <t>Deferred Tax Liabilities (Net)</t>
  </si>
  <si>
    <t>Other Non-Current Liabilities</t>
  </si>
  <si>
    <t>Current Liabilities</t>
  </si>
  <si>
    <t>Other Current Liabilities</t>
  </si>
  <si>
    <t>Current Tax Liabilities (Net)</t>
  </si>
  <si>
    <t>Bad Debts Written Off</t>
  </si>
  <si>
    <t>Provision for Doubtful Advances</t>
  </si>
  <si>
    <t>Interest Income</t>
  </si>
  <si>
    <t>Dividend Received</t>
  </si>
  <si>
    <t>Interest Received</t>
  </si>
  <si>
    <t>Dividend Paid</t>
  </si>
  <si>
    <t xml:space="preserve">       Investments</t>
  </si>
  <si>
    <t xml:space="preserve">       Loans</t>
  </si>
  <si>
    <t xml:space="preserve">       Other Financial Assets</t>
  </si>
  <si>
    <t xml:space="preserve">       Trade Receivables</t>
  </si>
  <si>
    <t xml:space="preserve">       Cash and Cash Equivalents</t>
  </si>
  <si>
    <t xml:space="preserve">       Bank Balances other than Cash and Cash Equivalents</t>
  </si>
  <si>
    <t xml:space="preserve">      Borrowings</t>
  </si>
  <si>
    <t xml:space="preserve">      Lease Liabilities</t>
  </si>
  <si>
    <t xml:space="preserve">      Other Financial Liabilities</t>
  </si>
  <si>
    <t xml:space="preserve">       Borrowings</t>
  </si>
  <si>
    <t xml:space="preserve">       Lease Liabilities</t>
  </si>
  <si>
    <t xml:space="preserve">       Trade Payables</t>
  </si>
  <si>
    <t xml:space="preserve">        Other Financial Liabilities</t>
  </si>
  <si>
    <t xml:space="preserve">      Total Equity Attributable to Owners of the Company</t>
  </si>
  <si>
    <t xml:space="preserve">      Non Controlling Interest</t>
  </si>
  <si>
    <t>EPS (₹)</t>
  </si>
  <si>
    <t>(a) Revenue from Operations</t>
  </si>
  <si>
    <t>(g) Finance costs</t>
  </si>
  <si>
    <t>(h) Depreciation and amortisation</t>
  </si>
  <si>
    <t>(g) Power and Fuel</t>
  </si>
  <si>
    <t>(h) Freight and Forwarding Expenses</t>
  </si>
  <si>
    <t>(i) Captive Cement Consumption</t>
  </si>
  <si>
    <t>(j) Other expenses</t>
  </si>
  <si>
    <t>(c) Deferred tax</t>
  </si>
  <si>
    <t>(b) Tax Expense (Earlier Years)</t>
  </si>
  <si>
    <t>2026E</t>
  </si>
  <si>
    <t>in ₹ Crores</t>
  </si>
  <si>
    <t>Depreciation &amp; Amortisation</t>
  </si>
  <si>
    <t>Forex Difference (Net)</t>
  </si>
  <si>
    <t>Allowance for Doubtful Receivables</t>
  </si>
  <si>
    <t>SGST Loan Fair Value Gain</t>
  </si>
  <si>
    <t>Gain/Loss on Sale of Investments</t>
  </si>
  <si>
    <t>FV Gain/Loss on Investments (P&amp;L)</t>
  </si>
  <si>
    <t>Dividend Income (FV Investments)</t>
  </si>
  <si>
    <t>Profit on Asset Sale/Write-off (Net)</t>
  </si>
  <si>
    <t>Gain/Loss on Precious Metals</t>
  </si>
  <si>
    <t>Purchase of PPE (incl. CWIP &amp; Advances)</t>
  </si>
  <si>
    <t>Sale of PPE</t>
  </si>
  <si>
    <t>Purchase of Intangible Assets</t>
  </si>
  <si>
    <t>Investment in Mutual Funds (Net)</t>
  </si>
  <si>
    <t>Purchase of Precious Metals</t>
  </si>
  <si>
    <t>Sale of Precious Metals</t>
  </si>
  <si>
    <t>Purchase of Other Investments</t>
  </si>
  <si>
    <t>Sale/Redemption of Other Investments</t>
  </si>
  <si>
    <t>Loan to Subsidiary</t>
  </si>
  <si>
    <t>Investment in Subsidiary</t>
  </si>
  <si>
    <t>Loan Repayment from Subsidiary</t>
  </si>
  <si>
    <t>Bank Deposits Made</t>
  </si>
  <si>
    <t>Bank Deposits Matured</t>
  </si>
  <si>
    <t>Change in Earmarked Bank Balances</t>
  </si>
  <si>
    <t>Escrow Deposit</t>
  </si>
  <si>
    <t>Acquisition of NCI Stake in Subsidiary</t>
  </si>
  <si>
    <t>Proceeds from Long-Term Borrowings</t>
  </si>
  <si>
    <t>Repayment of Long-Term Borrowings</t>
  </si>
  <si>
    <t>Lease Liability Repayment (Incl. Interest)</t>
  </si>
  <si>
    <t>Proceeds from Short-Term Borrowings</t>
  </si>
  <si>
    <t>Repayment of Short-Term Borrowings</t>
  </si>
  <si>
    <t>Net Short-Term Borrowings (≤ 3 Months)</t>
  </si>
  <si>
    <t>Interest &amp; Finance Charges Paid</t>
  </si>
  <si>
    <t>(a) (Increase)/Decrease in Trade and Other Receivables</t>
  </si>
  <si>
    <t>(b) (Increase)/Decrease in Inventories</t>
  </si>
  <si>
    <t>(c) Increase/(Decrease) in Trade &amp; Other Payables and Provisions</t>
  </si>
  <si>
    <t>Outside India</t>
  </si>
  <si>
    <t>https://www.shreecement.com</t>
  </si>
  <si>
    <t xml:space="preserve"> INE070A01015</t>
  </si>
  <si>
    <t>BSE: 500387, NSE: SHREECEM</t>
  </si>
  <si>
    <t>UltraTech Cement</t>
  </si>
  <si>
    <t>Ambuja Cements</t>
  </si>
  <si>
    <t>Shree Cement</t>
  </si>
  <si>
    <t>JK Cement</t>
  </si>
  <si>
    <t>Dalmia Bharat</t>
  </si>
  <si>
    <t>ACC Ltd.</t>
  </si>
  <si>
    <t>The Ramco Cements</t>
  </si>
  <si>
    <t>Cement &amp; Concrete Manufacturing</t>
  </si>
  <si>
    <t>Building Materials</t>
  </si>
  <si>
    <t>ULTRACEMCO</t>
  </si>
  <si>
    <t>AMBUJACEM</t>
  </si>
  <si>
    <t>SHREECEM</t>
  </si>
  <si>
    <t>JKCEMENT</t>
  </si>
  <si>
    <t>DALBHARAT</t>
  </si>
  <si>
    <t>ACC</t>
  </si>
  <si>
    <t>RAMCOCEM</t>
  </si>
  <si>
    <t>1 MTPA = 1,000,000 tonnes per year</t>
  </si>
  <si>
    <t>1 MW = 1,000,000 watts (W)</t>
  </si>
  <si>
    <t>Company Production Capacity</t>
  </si>
  <si>
    <t>Cement (MTPA)</t>
  </si>
  <si>
    <t>Electricity (MW)</t>
  </si>
  <si>
    <t>Shree Cement Limited is one of India’s leading cement manufacturers, known for its focus on innovation, sustainability, and efficiency. As of March 31, 2025, the company has achieved a cement production capacity of 56.4 million tonnes per annum (MTPA), with operations spread across 11 grinding units and 6 integrated plants in India. It also operates 8 limestone mines and has a total power generation capacity of 1,085 MW, including 582 MW of green power. The company is committed to responsible resource management, community development, and continuous growth, aligning with its vision of creating lasting value through measured and purposeful expansion.</t>
  </si>
  <si>
    <t>Q-o-q growth (%)</t>
  </si>
  <si>
    <t xml:space="preserve">     Tax</t>
  </si>
  <si>
    <t>ICICI Securities</t>
  </si>
  <si>
    <t>Geojit BNP Paribas</t>
  </si>
  <si>
    <t>Prabhudas Liladhar</t>
  </si>
  <si>
    <t>Non-Controlling Interest</t>
  </si>
  <si>
    <t>Proceeds from sale of PP&amp;E</t>
  </si>
  <si>
    <t>Weight</t>
  </si>
  <si>
    <t>Analysts estimate</t>
  </si>
  <si>
    <t>Rate</t>
  </si>
  <si>
    <t>Average historical</t>
  </si>
  <si>
    <t>Industry estimate</t>
  </si>
  <si>
    <t>Other income was computed by taking the average of historical years and is assumed to remain constant throughout the projected period.</t>
  </si>
  <si>
    <t>M118:V118</t>
  </si>
  <si>
    <t>M45:V45</t>
  </si>
  <si>
    <t>Other Current Assets, Financial Assets, Other Non-Current Assets, Other Current Liability and Other Non-Current Liability and  taken from the last audited year i.e 2025 and assumed to be remain constant throughout the forecasted period i.e from (2026-35).</t>
  </si>
  <si>
    <t>M49:V49           M52:V52         M53:V53             M59:V59            M62:V62</t>
  </si>
  <si>
    <t>M67:V67</t>
  </si>
  <si>
    <t>Non-controlling interest is assumed to remain constant at ₹41 crore throughout the projection period, based on the value recorded in the year 2025.</t>
  </si>
  <si>
    <t>Bear case</t>
  </si>
  <si>
    <t xml:space="preserve">Revenue Assumption </t>
  </si>
  <si>
    <t>Revenue Growth y-o-y</t>
  </si>
  <si>
    <t>Dividend Payout is assumed as average of the last 5 years which is coming closer to 18.4% which is assumed to be the dividend payments throughout the forecast period</t>
  </si>
  <si>
    <t>Ratios and their Interpretations</t>
  </si>
  <si>
    <t>(INR in Crores)</t>
  </si>
  <si>
    <t>Interpretation of ratios</t>
  </si>
  <si>
    <t>Trend</t>
  </si>
  <si>
    <t>Audited</t>
  </si>
  <si>
    <t>Profitability Ratios</t>
  </si>
  <si>
    <t>Gross Margin</t>
  </si>
  <si>
    <t>EBITDA Margin</t>
  </si>
  <si>
    <t>Operating Margin</t>
  </si>
  <si>
    <t>Pretax Margin</t>
  </si>
  <si>
    <t>Effective Tax rate</t>
  </si>
  <si>
    <t>Net Margin</t>
  </si>
  <si>
    <t xml:space="preserve"> </t>
  </si>
  <si>
    <t>DuPont/Earning Power</t>
  </si>
  <si>
    <t>Asset Turnover</t>
  </si>
  <si>
    <t>Pre tax ROA</t>
  </si>
  <si>
    <t>Pre Tax ROE</t>
  </si>
  <si>
    <t>Tax Complement</t>
  </si>
  <si>
    <t>ROE</t>
  </si>
  <si>
    <t>Equity Retention</t>
  </si>
  <si>
    <t>Reinvestment Rate</t>
  </si>
  <si>
    <t>Liquidity Ratio</t>
  </si>
  <si>
    <t>Quick ratio</t>
  </si>
  <si>
    <t>Current ratio</t>
  </si>
  <si>
    <t>Cash Cycle (Days)</t>
  </si>
  <si>
    <t>Leverage</t>
  </si>
  <si>
    <t>Asset/Equity</t>
  </si>
  <si>
    <t>Debt/Equity</t>
  </si>
  <si>
    <t>% LT Debt to Total Capital</t>
  </si>
  <si>
    <t>Operating</t>
  </si>
  <si>
    <t>A/R Turnover</t>
  </si>
  <si>
    <t>Avg. A/R Days</t>
  </si>
  <si>
    <t>Inventory Turnover</t>
  </si>
  <si>
    <t>Avg. Inventory Days</t>
  </si>
  <si>
    <t>A/P Turnover</t>
  </si>
  <si>
    <t>Avg. A/P Days</t>
  </si>
  <si>
    <t>Fixed Asset Turnover</t>
  </si>
  <si>
    <t>ROIC</t>
  </si>
  <si>
    <t>Add/less: Foreign currency exchange rate impact</t>
  </si>
  <si>
    <t>Add: Changes in NWC</t>
  </si>
  <si>
    <t>For FY2026, revenue growth is projected at 7.0% based on a weighted average of three inputs: industry average growth of 4.7% (50% weight), historical average growth of 9.6% (25% weight), and analyst estimates of 9.0% (25% weight). The bull case assumes a 5 percentage point higher growth rate at 12.0%, while the bear case assumes a 5 percentage point lower rate at 2.0%. In all scenarios, the growth rate is expected to taper by 2.0 percentage points annually in subsequent years, reflecting a conservative and gradual normalization approach.</t>
  </si>
  <si>
    <t>Interest rate was calculated as average of last 4 audited years which is coming 11% and then assumed to be remain same throughout the forecasted period.</t>
  </si>
  <si>
    <t>The Effective tax rate for Shree Cement declined from 23.78% in 2021 to 15.11% in 2023, influenced by fluctuations in taxable income, deferred tax adjustments, and strategic tax planning. In 2024, the rate rebounded to 19.03%, reflecting a return to more normalized levels. However, a temporary dip occurred in 2025, bringing the tax rate down to 14.31%, likely due to lower taxable earnings that year, in line with a reduced operating profit of ₹927 crore. For the forecast period 2026–2035, the effective tax rate is assumed to increase by 0.5% every two years, starting from the 2025 base of 14.31% and gradually rising to 16.81% by 2035. This projection reflects a conservative and stable tax planning approach, underpinned by expectations of steady profitability recovery and consistent compliance practices over the long term.</t>
  </si>
  <si>
    <t>The equity retention ratio, which represents the portion of net income retained after dividend payments, declined from a high of 0.995 in FY2021 to 0.66 in FY2025, in line with the company’s rising dividend payout ratio—from 0.5% to 33.7% over the same period. This shift reflects a transition from full profit retention toward rewarding shareholders as earnings visibility improved. From FY2026 onward, the equity retention ratio is projected to stabilize at 0.82, corresponding to the assumed constant dividend payout of 18.4%, which is the average of the last five audited years. This retention pattern indicates Shree Cement’s balanced capital allocation strategy—prioritizing internal reinvestment for long-term growth while maintaining consistent shareholder distributions.</t>
  </si>
  <si>
    <t>The debt-to-equity ratio for Shree Cement declined from 0.14 in FY2021 to 0.05 by FY2025, reflecting a consistent reduction in reliance on debt financing. This downward trajectory highlights the company’s conservative financial strategy, supported by higher internal accruals and moderated dividend payouts. From FY2026 onward, the ratio is projected to decline steadily—from 0.05 in FY2026 to just 0.02 by FY2035. This trend indicates an increasingly equity-funded balance sheet and underscores Shree Cement’s intent to minimize financial risk, enhance solvency, and maintain flexibility. While this capital structure limits the benefits of debt leverage and associated tax shields, it reinforces a prudent approach aimed at long-term sustainability and low-risk expansion.</t>
  </si>
  <si>
    <t>The Accounts receivable turnover ratio declined from 20.45 in 2022 to 14.35 in 2025, indicating a moderation in collection efficiency over the audited period. This downward trend may reflect operational factors, extended credit terms, or temporary delays in receivables recovery. From 2026 onward, the ratio is projected to remain relatively stable, gradually declining from 15.48 in 2026 to 16.79 by 2035. This consistency suggests steady receivables management with only marginal changes in credit and collection practices, supporting expectations of disciplined working capital control over the forecast horizon.</t>
  </si>
  <si>
    <t>The average accounts receivable days for Shree Cement increased from 18.29 days in FY2021 to 26.53 days in FY2025, indicating a moderate lengthening of the cash conversion cycle, possibly due to extended credit terms or delays in collections amid operational expansion. Despite this rise, the levels remain efficient by industry standards. From FY2026 onward, receivable days are projected to stabilize at 22.35 days through FY2035, reflecting a consistent credit policy, disciplined receivables management, and sustained customer payment behavior. This steady-state assumption underscores expectations of predictable working capital dynamics and effective collection practices over the long term.</t>
  </si>
  <si>
    <t>The actual FY2025 rate was taken as the base, with the depreciation rate assumed to increase by 1% every three years starting in FY2026. Accordingly, the rate is increased by 1% in FY2026 and in subsequent years at three-year intervals</t>
  </si>
  <si>
    <t>The last year figure, i.e., the FY2025 effective tax rate of 14.3%, is taken as the base and increased by 0.5% in FY2026 to 14.8%. Moving ahead, the rate is assumed to increase by 0.5% every two years over the forecast period</t>
  </si>
  <si>
    <t>The operating margin declined sharply from 20.78% in 2021 to a low of 7.28% in 2023, underscoring significant pressure on core profitability from rising fuel, freight, and other operating costs. This fall mirrored the contraction in gross margin, reflecting broad-based cost escalation. A recovery began in 2024, with the operating margin improving to 12.84%, before a temporary dip in 2025 to 4.81%, likely due to transitional inefficiencies or front-loaded cost pressures. The FY2025 depreciation rate is taken as the base and assumed to increase by 1% every three years starting in FY2026. Despite this added cost burden, margins are projected to improve gradually—from 5.47% in 2026 to 15.69% by 2035—indicating strengthening operational performance and cost discipline that are expected to steadily offset the impact of higher depreciation and support sustained long-term margin growth</t>
  </si>
  <si>
    <t>The Pre-tax margin declined from 22.15% in 2021 to 8.37% in 2023, primarily due to the contraction in gross and operating margins caused by elevated input and operating costs. In 2024, the margin improved to 14.50%, indicating partial recovery from the previous dip. However, a temporary setback is occured in 2025 that dragged pre-tax margin to 6.80%, likely reflecting lingering cost pressures due to one-off adjustments. From 2026 onward, the pre-tax margin is expected to improve steadily—from 8.00% in 2026 to 18.45% by 2035. This gradual upward trend reflects expectations of normalized operations, enhanced operational efficiency, and financial stability, positioning Shree Cement for sustained profitability over the long term.</t>
  </si>
  <si>
    <t>The Net margin declined from 16.89% in 2021 to 7.11% in 2023, driven by pressure on both operating and non-operating fronts, along with a narrowing pre-tax margin. In 2024, the margin partially recovered to 11.74%, reflecting better cost control and improved profitability. However, a temporary dip occurred in 2025, pulling the net margin down to 5.83%, likely due to muted operating performance, with an operating profit of just ₹927 crore reported that year. From 2026 onward, the net margin is projected to steadily improve—from 6.82% in 2026 to 15.35% by 2035. This upward trend signals a gradual return to normalized profitability, supported by disciplined cost management and sustained operational recovery following earlier challenges.</t>
  </si>
  <si>
    <t>The Pre-tax return on assets declined from 12.78% in 2022 to a low of 4.65% in 2025, primarily due to a significant drop in pre-tax profitability and subdued asset turnover during this period. The decline reflects reduced efficiency in generating earnings from the company’s asset base, exacerbated by muted operating performance. From 2026 onward, pre-tax ROA is projected to improve gradually, rising from 5.68% in 2026 to 11.73% by 2035. This upward trend indicates expectations of stronger asset utilization and improving profitability, as the company strengthens its operational and financial efficiency over the forecast horizon.</t>
  </si>
  <si>
    <t>The Pre-tax return on equity declined from 17.55% in 2022 to a low of 6.20% in 2025, reflecting a sharp reduction in shareholder returns due to weakened pre-tax profitability, despite relatively stable equity levels. This decline underscores the impact of muted operating performance and lower earnings generation on overall financial returns. From 2026 onward, pre-tax ROE is projected to recover gradually, rising from 7.45% in 2026 to 13.62% by 2035. This steady improvement signals expectations of enhanced profitability and more efficient capital utilization as the company strengthens its operational and financial performance over the forecast horizon.</t>
  </si>
  <si>
    <t>The Return on equity declined from 14.18% in 2022 to 5.31% in 2025, reflecting a sustained decrease in net profitability and overall returns to shareholders. This downward trend was driven by reduced earnings and weaker operating performance, particularly during FY2023–FY2025. From 2026 onward, ROE is projected to improve gradually, rising from 6.35% in 2026 to 11.33% by 2035. This steady recovery indicates expectations of improving net profitability and a return to more efficient equity utilization as the company strengthens its financial performance over the forecast period.</t>
  </si>
  <si>
    <t>The reinvestment rate for Shree Cement declined from 11.85% in 2022 to 3.52% in 2025, reflecting reduced profitability and lower retained earnings available for reinvestment during this period. The decline also indicates a more cautious capital allocation approach amid weaker earnings. From 2026 onward, the reinvestment rate is projected to improve steadily, rising from 5.18% in 2026 to 9.24% by 2035. This gradual recovery suggests a disciplined but strengthening commitment to reinvesting profits back into the business, supported by improving financial performance and a focus on long-term growth. For the projected period, the dividend payout ratio is assumed to remain constant at 18.4%, in line with the average of the last five audited years, balancing shareholder returns with reinvestment needs.</t>
  </si>
  <si>
    <t>The percentage of long-term debt to total capital for Shree Cement declined from 12.61% in FY2021 to 4.62% in FY2025, reflecting the company’s ongoing efforts to reduce financial leverage through steady repayments and increased reliance on equity financing. This decline underscores a prudent capital management approach amid stable operating performance. Looking ahead, the ratio is projected to decrease consistently—from 4.40% in FY2026 to 2.02% by FY2035—signaling a continued shift toward an equity-dominant capital structure. This deleveraging trend reinforces Shree Cement’s focus on maintaining low financial risk, enhancing creditworthiness, and supporting long-term financial resilience.</t>
  </si>
  <si>
    <t>The Fixed asset turnover ratio declined from 1.87 in FY2022 to 1.77 in FY2025, indicating a temporary dip in the efficiency of revenue generation from fixed assets, possibly due to capacity additions ahead of demand realization. However, from FY2026 onward, the ratio is projected to improve steadily—from 1.65 in FY2025 to 4.29 by FY2035. This gradual rise reflects expectations of improved asset utilization as the company ramps up operations and leverages existing capacities more effectively. The trend highlights stronger capital productivity and suggests that Shree Cement is positioned to drive revenue growth without requiring proportionate increases in fixed asset investments, thereby enhancing overall return on capital employed over the forecast horizon.</t>
  </si>
  <si>
    <t>The Return on invested capital (ROIC) declined from 12.95% in FY2021 to a low of 4.97% in FY2025, reflecting reduced profitability and capital efficiency due to margin compression and a weaker operating environment. This downward trend was driven by lower returns on core operations despite continued capital investment. From FY2026 onward, ROIC is projected to recover gradually, rising from 5.92% in FY2026 to 10.61% by FY2035. This steady improvement signals expectations of strengthening profitability and more efficient use of capital, as the company focuses on optimizing returns from its existing asset base and improving overall capital allocation discipline over the forecast period.</t>
  </si>
  <si>
    <t xml:space="preserve">           On Clinker Transfer</t>
  </si>
  <si>
    <t xml:space="preserve">           On Finished Products</t>
  </si>
  <si>
    <t>The Gross margin declined sharply from 68.41% in 2021 to a low of 52.31% in 2023, underscoring substantial cost pressures—primarily from rising input costs such as coal, power, and freight, coupled with limited pricing flexibility in a competitive market. A gradual recovery began in 2024, with margins improving to 55.38%, followed by a further rebound to 58.55% in 2025. From 2026 onwards, gross margins are projected to stabilize at 59.62%, reflecting expectations of operational efficiency gains and cost rationalization. For the forecast period of 2026–2035, an average margin of 59.62% has been assumed, representing a conservative outlook anchored in historical performance, without factoring in any major structural shifts. changes expected in Shree Cement’s cost structure, pricing strategy, or product mix.</t>
  </si>
  <si>
    <t>The EBITDA margin declined sharply from 30.08% in 2021 to a trough of 16.58% in 2023, reflecting elevated operating costs—particularly energy and logistics—alongside potential inefficiencies that weighed on profitability. The steep contraction in 2023 mirrored the decline in gross margin, highlighting the combined effect of direct input inflation and indirect cost pressures. A meaningful recovery began in 2024, with margins improving to 22.14%, followed by stabilization at 22.78% from 2026 onwards. For the forecast period of 2026–2035, an average EBITDA margin of 22.78% has been assumed, reflecting a moderately optimistic yet stable outlook, underpinned by expectations of operational efficiency gains, tighter cost control, and scale-driven benefits.</t>
  </si>
  <si>
    <t>The Asset Turnover Ratio improved modestly over the audited period (FY2021–FY2025), rising from 66.32% in FY2021 to 68.32% in FY2025, reflecting gradual enhancement in asset utilisation despite interim fluctuations. In the forecast period (FY2026–FY2035), the ratio is expected to rise in the initial years, climbing from 71.00% in FY2026 to a peak of 72.46% in FY2028, before gradually declining to 63.55% by FY2035. This shift indicates that early efficiency gains may be realised as new capacities ramp up, but over time, revenue growth may trail the expanding asset base — a trend often linked to capital-intensive expansion, longer gestation for projects, and slower demand realisation. While short-term gains are anticipated, medium- to long-term asset productivity is likely to face some pressure, consistent with a growth strategy aimed at building long-term value.</t>
  </si>
  <si>
    <t>The quick ratio for Shree Cement remained well below the ideal 1:1 benchmark during the actual period FY2021–FY2025, fluctuating between 0.38 and 0.30. This reflects constrained short-term liquidity and limited availability of liquid assets to cover immediate liabilities, indicating dependence on inventory or external funding for working capital needs. From FY2026 onward, the quick ratio is projected to improve steadily—from 0.61 in FY2026 to 5.06 by FY2035. This marked improvement suggests a strategic shift toward strengthening liquidity, underpinned by better working capital management, rising cash reserves, and a focus on financial resilience. The trend signals Shree Cement’s growing capacity to meet short-term obligations without relying on inventory liquidation, thereby enhancing its liquidity position over the forecast horizon.</t>
  </si>
  <si>
    <t>The current ratio for Shree Cement increased from 2.26 in FY2021 to 2.15 in FY2025, reflecting a progressively strengthening short-term financial position. This improvement during the actual period suggests that current assets consistently exceeded current liabilities, offering a comfortable liquidity cushion. Looking ahead, the ratio is projected to rise steadily from 2.58 in FY2026 to 7.09 by FY2035—well above the conventional 2:1 benchmark. This sustained increase indicates a strategic focus on maintaining a strong liquidity buffer, with current assets anticipated to more than triple current liabilities. Such a trend underscores Shree Cement’s commitment to ensuring ample coverage for short-term obligations, enhancing financial flexibility and operational resilience over the long term.</t>
  </si>
  <si>
    <t>The asset-to-equity ratio for Shree Cement declined from 1.39 in FY2021 to 1.32 in FY2025, reflecting a steady move toward a more equity-intensive capital structure. This decline highlights the company’s ongoing efforts to reduce financial leverage, prioritizing equity funding over debt during the audited period. From FY2026 onward, the ratio is projected to gradually decline further—from 1.30 in FY2026 to 1.16 by FY2035. This sustained downward trend suggests a deliberate strategy to strengthen the balance sheet, enhance solvency, and mitigate financial risk. While it may limit the benefits of leverage on return metrics, the approach reinforces long-term financial resilience and supports sustainable growth with lower dependency on external borrowings.</t>
  </si>
  <si>
    <t>The Inventory Turnover Ratio improved from 2.61 in FY2022 to a peak of 3.24 in FY2023, before easing to 2.88 in FY2024 and further moderating to 2.66 in FY2025. This pattern reflects short-term variability in sales velocity and inventory management efficiency. A recovery is expected in FY2026, with the ratio projected to rise to 2.99, followed by stabilization in the range of 2.74–2.75 through the forecast horizon. By FY2035, the ratio is anticipated to settle at 2.74, implying broadly steady inventory efficiency assumptions over the long term.</t>
  </si>
  <si>
    <t>The Average Inventory Days for Shree Cement increased to a peak of 166.07 days in FY2022, before easing to 146.20 days in FY2021 and further to 142.53 days in FY2024. A sharp improvement followed in FY2025, with inventory days declining to 111.60, reflecting stronger turnover and enhanced supply chain efficiency after a period of volatility. Looking ahead, for the forecast period (FY2026–FY2035), inventory days are assumed to stabilize at 136.94, broadly in line with the recent multi-year average. This assumption reflects a balanced approach to inventory management—ensuring adequate stock availability to support operations while maintaining efficiency in working capital deployment.</t>
  </si>
  <si>
    <t>The Accounts Payable Turnover Ratio increased from 6.19 in FY2022 to a peak of 8.16 in FY2023, before easing to 7.55 in FY2024 and further moderating to 6.21 in FY2025. This trajectory during the audited period reflects tighter working capital management, with the peak in FY2023 indicating faster settlement of supplier obligations—likely supported by robust cash flows and revenue momentum. Looking ahead, the ratio is projected to edge up to 6.36 in FY2027, before stabilising within a narrow range of 6.35–6.33 through the forecast horizon, ending at 6.33 in FY2035. This stability reflects the assumption of constant payable days and implies continued discipline in payment practices—balancing vendor confidence with steady operational efficiency.</t>
  </si>
  <si>
    <t>The Average Payable Days stood at a high of 75.24 in FY2021, before declining steadily to 59.21 in FY2022, 51.27 in FY2023, and further to 48.68 in FY2024. This downward trend indicated progressively faster supplier settlements and tighter working capital management. In FY2025, payable days rebounded to 62.16, reflecting a temporary extension of the payment cycle, possibly to preserve cash flexibility. For the forecast period (FY2026–FY2035), payable days are assumed to remain constant at 59.31, broadly consistent with the recent historical average. This stability reflects a balanced liquidity strategy—maintaining predictable payment cycles to support vendor confidence, while sustaining healthy operational cash flows.</t>
  </si>
  <si>
    <t>The Cash Conversion Cycle (CCC) for Shree Cement stood at 89.25 days in FY2021 and rose sharply to 126.02 days in FY2022, reflecting lengthening working capital cycles driven by higher inventory and receivable days. It then moderated to 91.80 days in FY2023 but spiked again to 116.86 days in FY2024, before improving significantly to 75.97 days in FY2025, aided by faster cash realisation and more efficient working capital management. For the projection period (FY2026–FY2035), the CCC is assumed to stabilise at 99.98 days, broadly aligned with the recent average of receivable, inventory, and payable days. This stability reflects expectations of predictable, balanced working capital practices—supporting operational continuity while ensuring sufficient liquidity discipline over the long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</si>
</sst>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2">
    <numFmt numFmtId="6" formatCode="&quot;₹&quot;#,##0_);[Red]\(&quot;₹&quot;#,##0\)"/>
    <numFmt numFmtId="8" formatCode="&quot;₹&quot;#,##0.00_);[Red]\(&quot;₹&quot;#,##0.00\)"/>
    <numFmt numFmtId="43" formatCode="_(* #,##0.00_);_(* \(#,##0.00\);_(* &quot;-&quot;??_);_(@_)"/>
    <numFmt numFmtId="164" formatCode="&quot;$&quot;#,##0_);\(&quot;$&quot;#,##0\)"/>
    <numFmt numFmtId="165" formatCode="&quot;$&quot;#,##0.00_);\(&quot;$&quot;#,##0.00\)"/>
    <numFmt numFmtId="166" formatCode="#,##0;\(#,##0\);&quot;-&quot;"/>
    <numFmt numFmtId="167" formatCode="#,##0.0"/>
    <numFmt numFmtId="168" formatCode="dd\-mmm\-yy&quot;E&quot;"/>
    <numFmt numFmtId="169" formatCode="0.0%"/>
    <numFmt numFmtId="170" formatCode=";;;"/>
    <numFmt numFmtId="171" formatCode="#&quot;A&quot;"/>
    <numFmt numFmtId="172" formatCode="#&quot;E&quot;"/>
    <numFmt numFmtId="173" formatCode="#,##0.000"/>
    <numFmt numFmtId="174" formatCode="0.0\x"/>
    <numFmt numFmtId="175" formatCode="_-* #,##0.00_-;\-* #,##0.00_-;_-* &quot;-&quot;??_-;_-@_-"/>
    <numFmt numFmtId="176" formatCode="_-* #,##0_-;\(#,##0\)_-;_-* &quot;-&quot;_-;_-@_-"/>
    <numFmt numFmtId="177" formatCode="_-* #,##0_-;\-* #,##0_-;_-* &quot;-&quot;??_-;_-@_-"/>
    <numFmt numFmtId="178" formatCode="0.0000000"/>
    <numFmt numFmtId="179" formatCode="yyyy/mm/dd;@"/>
    <numFmt numFmtId="180" formatCode="&quot;$&quot;#,##0;\-&quot;$&quot;#,##0"/>
    <numFmt numFmtId="181" formatCode="0.0000000000000000%"/>
    <numFmt numFmtId="182" formatCode="0.0"/>
    <numFmt numFmtId="183" formatCode="#,##0.0_);\(#,##0.0\)"/>
    <numFmt numFmtId="184" formatCode="#,##0.0;[Red]#,##0.0"/>
    <numFmt numFmtId="185" formatCode="#,##0.00;\(#,##0.00\);&quot;-&quot;"/>
    <numFmt numFmtId="186" formatCode="_ * #,##0.00_ ;_ * \-#,##0.00_ ;_ * &quot;-&quot;??_ ;_ @_ "/>
    <numFmt numFmtId="187" formatCode="#,##0.0;\(#,##0.0\);&quot;-&quot;"/>
    <numFmt numFmtId="188" formatCode="#&quot;P&quot;"/>
    <numFmt numFmtId="189" formatCode="_ * #,##0_ ;_ * \-#,##0_ ;_ * &quot;-&quot;??_ ;_ @_ "/>
    <numFmt numFmtId="190" formatCode="_-* #,##0.0_-;\-* #,##0.0_-;_-* &quot;-&quot;??_-;_-@_-"/>
    <numFmt numFmtId="191" formatCode="0.0000%"/>
    <numFmt numFmtId="192" formatCode="#,##0.0000&quot;x&quot;"/>
  </numFmts>
  <fonts count="98">
    <font>
      <sz val="12"/>
      <color theme="1"/>
      <name val="Aptos Narrow"/>
      <family val="2"/>
      <scheme val="minor"/>
    </font>
    <font>
      <sz val="11"/>
      <color theme="1"/>
      <name val="Aptos Narrow"/>
      <family val="2"/>
      <scheme val="minor"/>
    </font>
    <font>
      <sz val="12"/>
      <color theme="1"/>
      <name val="Aptos Narrow"/>
      <family val="2"/>
      <scheme val="minor"/>
    </font>
    <font>
      <u/>
      <sz val="11"/>
      <color theme="10"/>
      <name val="Aptos Narrow"/>
      <family val="2"/>
      <scheme val="minor"/>
    </font>
    <font>
      <sz val="11"/>
      <color theme="1"/>
      <name val="Book Antiqua"/>
      <family val="1"/>
    </font>
    <font>
      <b/>
      <sz val="12"/>
      <color theme="0"/>
      <name val="Book Antiqua"/>
      <family val="1"/>
    </font>
    <font>
      <b/>
      <sz val="11"/>
      <name val="Book Antiqua"/>
      <family val="1"/>
    </font>
    <font>
      <sz val="11"/>
      <name val="Book Antiqua"/>
      <family val="1"/>
    </font>
    <font>
      <sz val="11"/>
      <color rgb="FF0000FF"/>
      <name val="Book Antiqua"/>
      <family val="1"/>
    </font>
    <font>
      <b/>
      <sz val="11"/>
      <color theme="1"/>
      <name val="Book Antiqua"/>
      <family val="1"/>
    </font>
    <font>
      <b/>
      <sz val="12"/>
      <color rgb="FF000000"/>
      <name val="Aptos Narrow"/>
      <family val="2"/>
      <scheme val="minor"/>
    </font>
    <font>
      <sz val="12"/>
      <color rgb="FF000000"/>
      <name val="Aptos Narrow"/>
      <family val="2"/>
      <scheme val="minor"/>
    </font>
    <font>
      <i/>
      <sz val="11"/>
      <name val="Book Antiqua"/>
      <family val="1"/>
    </font>
    <font>
      <b/>
      <sz val="11"/>
      <color theme="0"/>
      <name val="Book Antiqua"/>
      <family val="1"/>
    </font>
    <font>
      <b/>
      <sz val="12"/>
      <color theme="1"/>
      <name val="Book Antiqua"/>
      <family val="1"/>
    </font>
    <font>
      <b/>
      <sz val="12"/>
      <color rgb="FF0432FF"/>
      <name val="Book Antiqua"/>
      <family val="1"/>
    </font>
    <font>
      <b/>
      <sz val="12"/>
      <color rgb="FF00B050"/>
      <name val="Book Antiqua"/>
      <family val="1"/>
    </font>
    <font>
      <b/>
      <sz val="25"/>
      <color theme="0"/>
      <name val="Book Antiqua"/>
      <family val="1"/>
    </font>
    <font>
      <sz val="11"/>
      <color theme="9" tint="-0.499984740745262"/>
      <name val="Book Antiqua"/>
      <family val="1"/>
    </font>
    <font>
      <b/>
      <i/>
      <sz val="11"/>
      <color theme="9" tint="-0.499984740745262"/>
      <name val="Book Antiqua"/>
      <family val="1"/>
    </font>
    <font>
      <b/>
      <sz val="16"/>
      <color theme="0"/>
      <name val="Book Antiqua"/>
      <family val="1"/>
    </font>
    <font>
      <b/>
      <sz val="11"/>
      <color theme="1"/>
      <name val="Book Antiqua"/>
      <family val="2"/>
    </font>
    <font>
      <b/>
      <sz val="11"/>
      <color theme="1"/>
      <name val="Calibri"/>
      <family val="2"/>
    </font>
    <font>
      <b/>
      <sz val="11"/>
      <color rgb="FF00B050"/>
      <name val="Book Antiqua"/>
      <family val="1"/>
    </font>
    <font>
      <sz val="11"/>
      <color theme="1"/>
      <name val="Book Antiqua"/>
      <family val="2"/>
    </font>
    <font>
      <sz val="11"/>
      <color theme="1"/>
      <name val="Calibri"/>
      <family val="2"/>
    </font>
    <font>
      <sz val="11"/>
      <color rgb="FF00B050"/>
      <name val="Book Antiqua"/>
      <family val="1"/>
    </font>
    <font>
      <i/>
      <sz val="11"/>
      <color theme="1"/>
      <name val="Book Antiqua"/>
      <family val="1"/>
    </font>
    <font>
      <i/>
      <sz val="11"/>
      <color rgb="FF0000FF"/>
      <name val="Book Antiqua"/>
      <family val="1"/>
    </font>
    <font>
      <b/>
      <i/>
      <sz val="11"/>
      <color theme="1"/>
      <name val="Book Antiqua"/>
      <family val="1"/>
    </font>
    <font>
      <sz val="12"/>
      <color theme="1"/>
      <name val="Book Antiqua"/>
      <family val="1"/>
    </font>
    <font>
      <sz val="12"/>
      <color rgb="FF0000FF"/>
      <name val="Book Antiqua"/>
      <family val="1"/>
    </font>
    <font>
      <sz val="11"/>
      <color theme="1"/>
      <name val="Aptos Narrow"/>
      <family val="2"/>
      <scheme val="minor"/>
    </font>
    <font>
      <sz val="12"/>
      <color theme="0"/>
      <name val="Book Antiqua"/>
      <family val="1"/>
    </font>
    <font>
      <i/>
      <sz val="12"/>
      <color theme="0"/>
      <name val="Book Antiqua"/>
      <family val="1"/>
    </font>
    <font>
      <sz val="12"/>
      <color theme="0"/>
      <name val="Calibri"/>
      <family val="2"/>
    </font>
    <font>
      <i/>
      <sz val="10.8"/>
      <color theme="0"/>
      <name val="Book Antiqua"/>
      <family val="1"/>
    </font>
    <font>
      <sz val="10"/>
      <name val="Times New Roman"/>
      <family val="1"/>
    </font>
    <font>
      <sz val="12"/>
      <name val="Book Antiqua"/>
      <family val="1"/>
    </font>
    <font>
      <sz val="12"/>
      <color rgb="FF00B050"/>
      <name val="Book Antiqua"/>
      <family val="1"/>
    </font>
    <font>
      <sz val="11"/>
      <color theme="0"/>
      <name val="Book Antiqua"/>
      <family val="1"/>
    </font>
    <font>
      <sz val="11"/>
      <color theme="1"/>
      <name val="Arial Narrow"/>
      <family val="2"/>
    </font>
    <font>
      <sz val="8"/>
      <color theme="0"/>
      <name val="Book Antiqua"/>
      <family val="1"/>
    </font>
    <font>
      <b/>
      <sz val="14"/>
      <color rgb="FFFFFFFF"/>
      <name val="Book Antiqua"/>
      <family val="1"/>
    </font>
    <font>
      <sz val="10"/>
      <name val="Book Antiqua"/>
      <family val="1"/>
    </font>
    <font>
      <b/>
      <sz val="12"/>
      <color rgb="FFFFFFFF"/>
      <name val="Book Antiqua"/>
      <family val="1"/>
    </font>
    <font>
      <i/>
      <sz val="10"/>
      <color theme="0"/>
      <name val="Book Antiqua"/>
      <family val="1"/>
    </font>
    <font>
      <b/>
      <sz val="12"/>
      <name val="Book Antiqua"/>
      <family val="1"/>
    </font>
    <font>
      <b/>
      <sz val="12"/>
      <color rgb="FF0000FF"/>
      <name val="Book Antiqua"/>
      <family val="1"/>
    </font>
    <font>
      <sz val="12"/>
      <color rgb="FF1F995B"/>
      <name val="Book Antiqua"/>
      <family val="1"/>
    </font>
    <font>
      <sz val="10"/>
      <name val="Arial"/>
      <family val="2"/>
    </font>
    <font>
      <i/>
      <sz val="12"/>
      <color theme="1"/>
      <name val="Aptos Narrow"/>
      <family val="2"/>
      <scheme val="minor"/>
    </font>
    <font>
      <sz val="12"/>
      <color rgb="FF0432FF"/>
      <name val="Book Antiqua"/>
      <family val="1"/>
    </font>
    <font>
      <u/>
      <sz val="12.65"/>
      <color theme="10"/>
      <name val="Calibri"/>
      <family val="2"/>
    </font>
    <font>
      <u/>
      <sz val="11"/>
      <color theme="0"/>
      <name val="Book Antiqua"/>
      <family val="1"/>
    </font>
    <font>
      <b/>
      <sz val="12"/>
      <color theme="3" tint="-0.499984740745262"/>
      <name val="Book Antiqua"/>
      <family val="1"/>
    </font>
    <font>
      <u/>
      <sz val="11"/>
      <color rgb="FF9AC240"/>
      <name val="Book Antiqua"/>
      <family val="1"/>
    </font>
    <font>
      <sz val="11"/>
      <color rgb="FF9AC240"/>
      <name val="Book Antiqua"/>
      <family val="1"/>
    </font>
    <font>
      <sz val="11"/>
      <color theme="3" tint="-0.499984740745262"/>
      <name val="Book Antiqua"/>
      <family val="1"/>
    </font>
    <font>
      <u/>
      <sz val="10"/>
      <color theme="10"/>
      <name val="Arial"/>
      <family val="2"/>
    </font>
    <font>
      <u/>
      <sz val="10"/>
      <name val="Book Antiqua"/>
      <family val="1"/>
    </font>
    <font>
      <u/>
      <sz val="11"/>
      <name val="Book Antiqua"/>
      <family val="1"/>
    </font>
    <font>
      <b/>
      <sz val="11"/>
      <color theme="3" tint="-0.499984740745262"/>
      <name val="Book Antiqua"/>
      <family val="1"/>
    </font>
    <font>
      <u/>
      <sz val="11"/>
      <color theme="3" tint="-0.499984740745262"/>
      <name val="Book Antiqua"/>
      <family val="1"/>
    </font>
    <font>
      <sz val="11"/>
      <color theme="9" tint="0.249977111117893"/>
      <name val="Book Antiqua"/>
      <family val="1"/>
    </font>
    <font>
      <sz val="10"/>
      <color rgb="FF000000"/>
      <name val="Tahoma"/>
      <family val="2"/>
    </font>
    <font>
      <b/>
      <sz val="10"/>
      <color rgb="FF000000"/>
      <name val="Tahoma"/>
      <family val="2"/>
    </font>
    <font>
      <i/>
      <sz val="12"/>
      <color theme="1"/>
      <name val="Book Antiqua"/>
      <family val="1"/>
    </font>
    <font>
      <i/>
      <u/>
      <sz val="12"/>
      <color rgb="FF941100"/>
      <name val="Book Antiqua"/>
      <family val="1"/>
    </font>
    <font>
      <sz val="12"/>
      <color rgb="FF2A3883"/>
      <name val="Book Antiqua"/>
      <family val="1"/>
    </font>
    <font>
      <sz val="12"/>
      <color rgb="FF241F1F"/>
      <name val="Book Antiqua"/>
      <family val="1"/>
    </font>
    <font>
      <b/>
      <sz val="12"/>
      <color rgb="FF241F1F"/>
      <name val="Book Antiqua"/>
      <family val="1"/>
    </font>
    <font>
      <b/>
      <sz val="12"/>
      <color rgb="FF2A3883"/>
      <name val="Book Antiqua"/>
      <family val="1"/>
    </font>
    <font>
      <i/>
      <sz val="12"/>
      <color rgb="FFFF0000"/>
      <name val="Book Antiqua"/>
      <family val="1"/>
    </font>
    <font>
      <b/>
      <sz val="12"/>
      <color rgb="FFD3232A"/>
      <name val="Book Antiqua"/>
      <family val="1"/>
    </font>
    <font>
      <b/>
      <sz val="12"/>
      <color rgb="FF000000"/>
      <name val="Book Antiqua"/>
      <family val="1"/>
    </font>
    <font>
      <sz val="12"/>
      <color rgb="FF000000"/>
      <name val="Book Antiqua"/>
      <family val="1"/>
    </font>
    <font>
      <b/>
      <u/>
      <sz val="12"/>
      <color rgb="FF000000"/>
      <name val="Book Antiqua"/>
      <family val="1"/>
    </font>
    <font>
      <b/>
      <i/>
      <sz val="12"/>
      <color theme="0"/>
      <name val="Book Antiqua"/>
      <family val="1"/>
    </font>
    <font>
      <b/>
      <sz val="12"/>
      <color rgb="FFFF0000"/>
      <name val="Book Antiqua"/>
      <family val="1"/>
    </font>
    <font>
      <i/>
      <sz val="12"/>
      <name val="Book Antiqua"/>
      <family val="1"/>
    </font>
    <font>
      <b/>
      <sz val="36"/>
      <color theme="0"/>
      <name val="Book Antiqua"/>
      <family val="1"/>
    </font>
    <font>
      <sz val="12"/>
      <color rgb="FFFF0000"/>
      <name val="Book Antiqua"/>
      <family val="1"/>
    </font>
    <font>
      <sz val="12"/>
      <color theme="1"/>
      <name val="Aptos Narrow"/>
      <scheme val="minor"/>
    </font>
    <font>
      <u/>
      <sz val="11"/>
      <color theme="1"/>
      <name val="Aptos Narrow"/>
      <family val="2"/>
      <scheme val="minor"/>
    </font>
    <font>
      <i/>
      <sz val="10"/>
      <color theme="1"/>
      <name val="Book Antiqua"/>
      <family val="1"/>
    </font>
    <font>
      <b/>
      <sz val="11"/>
      <color rgb="FF0432FF"/>
      <name val="Book Antiqua"/>
      <family val="1"/>
    </font>
    <font>
      <b/>
      <i/>
      <sz val="12"/>
      <color rgb="FFFF0000"/>
      <name val="Book Antiqua"/>
      <family val="1"/>
    </font>
    <font>
      <i/>
      <sz val="11"/>
      <color theme="1"/>
      <name val="Aptos Display"/>
      <family val="1"/>
      <scheme val="major"/>
    </font>
    <font>
      <b/>
      <sz val="11"/>
      <color theme="1"/>
      <name val="Aptos Display"/>
      <family val="1"/>
      <scheme val="major"/>
    </font>
    <font>
      <b/>
      <i/>
      <sz val="11"/>
      <color theme="1"/>
      <name val="Aptos Display"/>
      <family val="1"/>
      <scheme val="major"/>
    </font>
    <font>
      <sz val="11"/>
      <color theme="1"/>
      <name val="Aptos Display"/>
      <family val="1"/>
      <scheme val="major"/>
    </font>
    <font>
      <sz val="11"/>
      <name val="Aptos Display"/>
      <family val="1"/>
      <scheme val="major"/>
    </font>
    <font>
      <sz val="14"/>
      <color rgb="FF000000"/>
      <name val="-webkit-standard"/>
    </font>
    <font>
      <b/>
      <sz val="13.5"/>
      <color rgb="FF000000"/>
      <name val="Aptos Narrow"/>
      <family val="2"/>
      <scheme val="minor"/>
    </font>
    <font>
      <b/>
      <sz val="12"/>
      <color theme="1"/>
      <name val="Aptos Narrow"/>
      <family val="2"/>
      <scheme val="minor"/>
    </font>
    <font>
      <b/>
      <sz val="14"/>
      <color rgb="FF000000"/>
      <name val="Book Antiqua"/>
      <family val="1"/>
    </font>
    <font>
      <sz val="11"/>
      <color rgb="FF000000"/>
      <name val="Book Antiqua"/>
      <family val="1"/>
    </font>
  </fonts>
  <fills count="11">
    <fill>
      <patternFill patternType="none"/>
    </fill>
    <fill>
      <patternFill patternType="gray125"/>
    </fill>
    <fill>
      <patternFill patternType="solid">
        <fgColor theme="2" tint="-9.9978637043366805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4" tint="0.79998168889431442"/>
        <bgColor indexed="65"/>
      </patternFill>
    </fill>
    <fill>
      <patternFill patternType="solid">
        <fgColor rgb="FF002060"/>
        <bgColor indexed="64"/>
      </patternFill>
    </fill>
    <fill>
      <patternFill patternType="solid">
        <fgColor theme="3" tint="0.89999084444715716"/>
        <bgColor indexed="64"/>
      </patternFill>
    </fill>
    <fill>
      <patternFill patternType="solid">
        <fgColor rgb="FF000A42"/>
        <bgColor indexed="64"/>
      </patternFill>
    </fill>
  </fills>
  <borders count="25">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
      <left style="thick">
        <color theme="0"/>
      </left>
      <right/>
      <top/>
      <bottom/>
      <diagonal/>
    </border>
    <border>
      <left style="dashed">
        <color auto="1"/>
      </left>
      <right style="dashed">
        <color auto="1"/>
      </right>
      <top style="dashed">
        <color auto="1"/>
      </top>
      <bottom style="thin">
        <color indexed="64"/>
      </bottom>
      <diagonal/>
    </border>
    <border>
      <left style="thin">
        <color indexed="64"/>
      </left>
      <right/>
      <top style="thin">
        <color indexed="64"/>
      </top>
      <bottom/>
      <diagonal/>
    </border>
    <border>
      <left style="thin">
        <color indexed="64"/>
      </left>
      <right/>
      <top/>
      <bottom/>
      <diagonal/>
    </border>
    <border>
      <left style="dashed">
        <color auto="1"/>
      </left>
      <right style="dashed">
        <color auto="1"/>
      </right>
      <top style="dashed">
        <color auto="1"/>
      </top>
      <bottom style="dashed">
        <color auto="1"/>
      </bottom>
      <diagonal/>
    </border>
    <border>
      <left/>
      <right/>
      <top/>
      <bottom style="thin">
        <color theme="0"/>
      </bottom>
      <diagonal/>
    </border>
    <border>
      <left/>
      <right/>
      <top style="thin">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right style="thin">
        <color indexed="64"/>
      </right>
      <top/>
      <bottom style="thin">
        <color indexed="64"/>
      </bottom>
      <diagonal/>
    </border>
    <border>
      <left/>
      <right style="thin">
        <color indexed="64"/>
      </right>
      <top style="thin">
        <color indexed="64"/>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dashed">
        <color auto="1"/>
      </left>
      <right style="dashed">
        <color auto="1"/>
      </right>
      <top/>
      <bottom style="dashed">
        <color auto="1"/>
      </bottom>
      <diagonal/>
    </border>
  </borders>
  <cellStyleXfs count="22">
    <xf numFmtId="0" fontId="0" fillId="0" borderId="0"/>
    <xf numFmtId="9" fontId="2" fillId="0" borderId="0" applyFont="0" applyFill="0" applyBorder="0" applyAlignment="0" applyProtection="0"/>
    <xf numFmtId="0" fontId="3" fillId="0" borderId="0" applyNumberFormat="0" applyFill="0" applyBorder="0" applyAlignment="0" applyProtection="0"/>
    <xf numFmtId="0" fontId="32" fillId="0" borderId="0"/>
    <xf numFmtId="0" fontId="37" fillId="0" borderId="0"/>
    <xf numFmtId="175" fontId="32" fillId="0" borderId="0" applyFont="0" applyFill="0" applyBorder="0" applyAlignment="0" applyProtection="0"/>
    <xf numFmtId="0" fontId="41" fillId="0" borderId="0"/>
    <xf numFmtId="0" fontId="32" fillId="0" borderId="0"/>
    <xf numFmtId="43" fontId="41" fillId="0" borderId="0" applyFont="0" applyFill="0" applyBorder="0" applyAlignment="0" applyProtection="0"/>
    <xf numFmtId="9" fontId="41" fillId="0" borderId="0" applyFont="0" applyFill="0" applyBorder="0" applyAlignment="0" applyProtection="0"/>
    <xf numFmtId="0" fontId="32" fillId="0" borderId="0"/>
    <xf numFmtId="0" fontId="50" fillId="0" borderId="0"/>
    <xf numFmtId="0" fontId="32" fillId="0" borderId="0"/>
    <xf numFmtId="0" fontId="53" fillId="0" borderId="0" applyNumberFormat="0" applyFill="0" applyBorder="0" applyAlignment="0" applyProtection="0">
      <alignment vertical="top"/>
      <protection locked="0"/>
    </xf>
    <xf numFmtId="0" fontId="59" fillId="0" borderId="0" applyNumberFormat="0" applyFill="0" applyBorder="0" applyAlignment="0" applyProtection="0"/>
    <xf numFmtId="0" fontId="32" fillId="7" borderId="0" applyNumberFormat="0" applyBorder="0" applyAlignment="0" applyProtection="0"/>
    <xf numFmtId="9" fontId="32" fillId="0" borderId="0" applyFont="0" applyFill="0" applyBorder="0" applyAlignment="0" applyProtection="0"/>
    <xf numFmtId="186" fontId="32" fillId="0" borderId="0" applyFont="0" applyFill="0" applyBorder="0" applyAlignment="0" applyProtection="0"/>
    <xf numFmtId="0" fontId="1" fillId="0" borderId="0"/>
    <xf numFmtId="0" fontId="1" fillId="7" borderId="0" applyNumberFormat="0" applyBorder="0" applyAlignment="0" applyProtection="0"/>
    <xf numFmtId="9" fontId="1" fillId="0" borderId="0" applyFont="0" applyFill="0" applyBorder="0" applyAlignment="0" applyProtection="0"/>
    <xf numFmtId="186" fontId="1" fillId="0" borderId="0" applyFont="0" applyFill="0" applyBorder="0" applyAlignment="0" applyProtection="0"/>
  </cellStyleXfs>
  <cellXfs count="470">
    <xf numFmtId="0" fontId="0" fillId="0" borderId="0" xfId="0"/>
    <xf numFmtId="0" fontId="4" fillId="0" borderId="0" xfId="0" applyFont="1"/>
    <xf numFmtId="0" fontId="7" fillId="0" borderId="1" xfId="0" applyFont="1" applyBorder="1"/>
    <xf numFmtId="0" fontId="7" fillId="0" borderId="0" xfId="0" applyFont="1"/>
    <xf numFmtId="0" fontId="4" fillId="0" borderId="2" xfId="0" applyFont="1" applyBorder="1"/>
    <xf numFmtId="166" fontId="9" fillId="0" borderId="2" xfId="0" applyNumberFormat="1" applyFont="1" applyBorder="1"/>
    <xf numFmtId="166" fontId="9" fillId="0" borderId="0" xfId="0" applyNumberFormat="1" applyFont="1"/>
    <xf numFmtId="0" fontId="10" fillId="0" borderId="0" xfId="0" applyFont="1"/>
    <xf numFmtId="0" fontId="11" fillId="0" borderId="0" xfId="0" applyFont="1"/>
    <xf numFmtId="0" fontId="9" fillId="0" borderId="0" xfId="0" applyFont="1"/>
    <xf numFmtId="166" fontId="4" fillId="0" borderId="0" xfId="0" applyNumberFormat="1" applyFont="1"/>
    <xf numFmtId="166" fontId="6" fillId="0" borderId="2" xfId="0" applyNumberFormat="1" applyFont="1" applyBorder="1"/>
    <xf numFmtId="0" fontId="14" fillId="0" borderId="0" xfId="0" applyFont="1"/>
    <xf numFmtId="0" fontId="18" fillId="0" borderId="0" xfId="0" applyFont="1"/>
    <xf numFmtId="171" fontId="19" fillId="0" borderId="0" xfId="0" applyNumberFormat="1" applyFont="1" applyAlignment="1">
      <alignment horizontal="right"/>
    </xf>
    <xf numFmtId="0" fontId="9" fillId="0" borderId="1" xfId="0" applyFont="1" applyBorder="1"/>
    <xf numFmtId="0" fontId="9" fillId="2" borderId="5" xfId="0" applyFont="1" applyFill="1" applyBorder="1" applyAlignment="1">
      <alignment horizontal="center"/>
    </xf>
    <xf numFmtId="0" fontId="4" fillId="0" borderId="1" xfId="0" applyFont="1" applyBorder="1"/>
    <xf numFmtId="169" fontId="4" fillId="0" borderId="0" xfId="0" applyNumberFormat="1" applyFont="1"/>
    <xf numFmtId="3" fontId="4" fillId="0" borderId="0" xfId="0" applyNumberFormat="1" applyFont="1"/>
    <xf numFmtId="0" fontId="21" fillId="0" borderId="0" xfId="0" applyFont="1"/>
    <xf numFmtId="166" fontId="23" fillId="0" borderId="0" xfId="0" applyNumberFormat="1" applyFont="1"/>
    <xf numFmtId="0" fontId="24" fillId="0" borderId="0" xfId="0" applyFont="1"/>
    <xf numFmtId="166" fontId="26" fillId="0" borderId="0" xfId="0" applyNumberFormat="1" applyFont="1"/>
    <xf numFmtId="0" fontId="9" fillId="0" borderId="2" xfId="0" applyFont="1" applyBorder="1"/>
    <xf numFmtId="9" fontId="4" fillId="0" borderId="0" xfId="0" applyNumberFormat="1" applyFont="1"/>
    <xf numFmtId="0" fontId="24" fillId="0" borderId="1" xfId="0" applyFont="1" applyBorder="1"/>
    <xf numFmtId="166" fontId="26" fillId="0" borderId="1" xfId="0" applyNumberFormat="1" applyFont="1" applyBorder="1"/>
    <xf numFmtId="166" fontId="4" fillId="0" borderId="1" xfId="0" applyNumberFormat="1" applyFont="1" applyBorder="1"/>
    <xf numFmtId="0" fontId="9" fillId="0" borderId="3" xfId="0" applyFont="1" applyBorder="1"/>
    <xf numFmtId="0" fontId="4" fillId="0" borderId="3" xfId="0" applyFont="1" applyBorder="1"/>
    <xf numFmtId="166" fontId="9" fillId="0" borderId="3" xfId="0" applyNumberFormat="1" applyFont="1" applyBorder="1"/>
    <xf numFmtId="3" fontId="9" fillId="0" borderId="3" xfId="0" applyNumberFormat="1" applyFont="1" applyBorder="1"/>
    <xf numFmtId="3" fontId="9" fillId="0" borderId="0" xfId="0" applyNumberFormat="1" applyFont="1"/>
    <xf numFmtId="0" fontId="27" fillId="0" borderId="0" xfId="0" applyFont="1"/>
    <xf numFmtId="173" fontId="27" fillId="0" borderId="0" xfId="0" applyNumberFormat="1" applyFont="1"/>
    <xf numFmtId="166" fontId="6" fillId="0" borderId="0" xfId="0" applyNumberFormat="1" applyFont="1"/>
    <xf numFmtId="0" fontId="21" fillId="0" borderId="2" xfId="0" applyFont="1" applyBorder="1"/>
    <xf numFmtId="14" fontId="8" fillId="0" borderId="0" xfId="0" applyNumberFormat="1" applyFont="1"/>
    <xf numFmtId="14" fontId="4" fillId="0" borderId="0" xfId="0" applyNumberFormat="1" applyFont="1"/>
    <xf numFmtId="169" fontId="8" fillId="0" borderId="0" xfId="0" applyNumberFormat="1" applyFont="1"/>
    <xf numFmtId="3" fontId="8" fillId="0" borderId="0" xfId="0" applyNumberFormat="1" applyFont="1"/>
    <xf numFmtId="0" fontId="9" fillId="0" borderId="1" xfId="0" applyFont="1" applyBorder="1" applyAlignment="1">
      <alignment horizontal="right"/>
    </xf>
    <xf numFmtId="14" fontId="27" fillId="0" borderId="0" xfId="0" applyNumberFormat="1" applyFont="1"/>
    <xf numFmtId="3" fontId="4" fillId="0" borderId="1" xfId="0" applyNumberFormat="1" applyFont="1" applyBorder="1"/>
    <xf numFmtId="4" fontId="27" fillId="0" borderId="0" xfId="0" applyNumberFormat="1" applyFont="1"/>
    <xf numFmtId="2" fontId="28" fillId="0" borderId="0" xfId="0" applyNumberFormat="1" applyFont="1"/>
    <xf numFmtId="0" fontId="29" fillId="0" borderId="0" xfId="0" applyFont="1"/>
    <xf numFmtId="3" fontId="29" fillId="0" borderId="0" xfId="0" applyNumberFormat="1" applyFont="1"/>
    <xf numFmtId="0" fontId="4" fillId="3" borderId="0" xfId="0" applyFont="1" applyFill="1"/>
    <xf numFmtId="0" fontId="9" fillId="0" borderId="1" xfId="0" applyFont="1" applyBorder="1" applyAlignment="1">
      <alignment horizontal="centerContinuous"/>
    </xf>
    <xf numFmtId="170" fontId="4" fillId="0" borderId="0" xfId="0" applyNumberFormat="1" applyFont="1"/>
    <xf numFmtId="174" fontId="9" fillId="0" borderId="6" xfId="0" applyNumberFormat="1" applyFont="1" applyBorder="1"/>
    <xf numFmtId="174" fontId="9" fillId="0" borderId="0" xfId="0" applyNumberFormat="1" applyFont="1"/>
    <xf numFmtId="169" fontId="9" fillId="0" borderId="0" xfId="0" applyNumberFormat="1" applyFont="1"/>
    <xf numFmtId="3" fontId="4" fillId="0" borderId="7" xfId="0" applyNumberFormat="1" applyFont="1" applyBorder="1"/>
    <xf numFmtId="3" fontId="4" fillId="4" borderId="0" xfId="0" applyNumberFormat="1" applyFont="1" applyFill="1"/>
    <xf numFmtId="3" fontId="4" fillId="5" borderId="0" xfId="0" applyNumberFormat="1" applyFont="1" applyFill="1"/>
    <xf numFmtId="169" fontId="9" fillId="0" borderId="6" xfId="0" applyNumberFormat="1" applyFont="1" applyBorder="1"/>
    <xf numFmtId="0" fontId="30" fillId="0" borderId="0" xfId="0" applyFont="1"/>
    <xf numFmtId="0" fontId="14" fillId="0" borderId="1" xfId="0" applyFont="1" applyBorder="1"/>
    <xf numFmtId="0" fontId="30" fillId="0" borderId="1" xfId="0" applyFont="1" applyBorder="1"/>
    <xf numFmtId="169" fontId="30" fillId="0" borderId="8" xfId="0" applyNumberFormat="1" applyFont="1" applyBorder="1"/>
    <xf numFmtId="169" fontId="30" fillId="0" borderId="0" xfId="0" applyNumberFormat="1" applyFont="1"/>
    <xf numFmtId="0" fontId="30" fillId="0" borderId="0" xfId="3" applyFont="1"/>
    <xf numFmtId="37" fontId="38" fillId="0" borderId="0" xfId="4" applyNumberFormat="1" applyFont="1" applyAlignment="1">
      <alignment horizontal="left"/>
    </xf>
    <xf numFmtId="0" fontId="30" fillId="0" borderId="0" xfId="3" applyFont="1" applyAlignment="1">
      <alignment horizontal="center"/>
    </xf>
    <xf numFmtId="6" fontId="39" fillId="0" borderId="0" xfId="3" applyNumberFormat="1" applyFont="1" applyAlignment="1">
      <alignment vertical="center"/>
    </xf>
    <xf numFmtId="6" fontId="30" fillId="0" borderId="0" xfId="3" applyNumberFormat="1" applyFont="1" applyAlignment="1">
      <alignment vertical="center"/>
    </xf>
    <xf numFmtId="6" fontId="38" fillId="0" borderId="0" xfId="3" applyNumberFormat="1" applyFont="1" applyAlignment="1">
      <alignment vertical="center"/>
    </xf>
    <xf numFmtId="164" fontId="38" fillId="0" borderId="0" xfId="3" applyNumberFormat="1" applyFont="1" applyAlignment="1">
      <alignment vertical="center"/>
    </xf>
    <xf numFmtId="0" fontId="30" fillId="0" borderId="0" xfId="3" applyFont="1" applyAlignment="1">
      <alignment vertical="center"/>
    </xf>
    <xf numFmtId="174" fontId="30" fillId="0" borderId="0" xfId="3" applyNumberFormat="1" applyFont="1" applyAlignment="1">
      <alignment vertical="center"/>
    </xf>
    <xf numFmtId="6" fontId="31" fillId="0" borderId="0" xfId="3" applyNumberFormat="1" applyFont="1" applyAlignment="1">
      <alignment vertical="center"/>
    </xf>
    <xf numFmtId="165" fontId="38" fillId="0" borderId="0" xfId="3" applyNumberFormat="1" applyFont="1"/>
    <xf numFmtId="176" fontId="30" fillId="0" borderId="0" xfId="5" applyNumberFormat="1" applyFont="1" applyFill="1" applyAlignment="1" applyProtection="1">
      <alignment horizontal="center"/>
      <protection locked="0"/>
    </xf>
    <xf numFmtId="177" fontId="30" fillId="0" borderId="0" xfId="3" applyNumberFormat="1" applyFont="1"/>
    <xf numFmtId="175" fontId="30" fillId="0" borderId="0" xfId="3" applyNumberFormat="1" applyFont="1"/>
    <xf numFmtId="0" fontId="4" fillId="0" borderId="0" xfId="0" applyFont="1" applyAlignment="1">
      <alignment horizontal="center"/>
    </xf>
    <xf numFmtId="0" fontId="4" fillId="0" borderId="0" xfId="0" applyFont="1" applyAlignment="1">
      <alignment horizontal="right"/>
    </xf>
    <xf numFmtId="0" fontId="4" fillId="0" borderId="0" xfId="6" applyFont="1"/>
    <xf numFmtId="0" fontId="9" fillId="0" borderId="0" xfId="6" applyFont="1"/>
    <xf numFmtId="14" fontId="8" fillId="0" borderId="0" xfId="6" applyNumberFormat="1" applyFont="1"/>
    <xf numFmtId="43" fontId="8" fillId="0" borderId="0" xfId="8" applyFont="1"/>
    <xf numFmtId="169" fontId="4" fillId="0" borderId="0" xfId="6" applyNumberFormat="1" applyFont="1"/>
    <xf numFmtId="9" fontId="4" fillId="0" borderId="0" xfId="6" applyNumberFormat="1" applyFont="1"/>
    <xf numFmtId="14" fontId="4" fillId="0" borderId="0" xfId="6" applyNumberFormat="1" applyFont="1"/>
    <xf numFmtId="178" fontId="4" fillId="0" borderId="0" xfId="6" applyNumberFormat="1" applyFont="1"/>
    <xf numFmtId="169" fontId="44" fillId="0" borderId="0" xfId="9" applyNumberFormat="1" applyFont="1"/>
    <xf numFmtId="0" fontId="30" fillId="0" borderId="0" xfId="6" applyFont="1"/>
    <xf numFmtId="0" fontId="30" fillId="0" borderId="0" xfId="10" applyFont="1"/>
    <xf numFmtId="179" fontId="38" fillId="0" borderId="0" xfId="6" applyNumberFormat="1" applyFont="1" applyAlignment="1">
      <alignment horizontal="right"/>
    </xf>
    <xf numFmtId="0" fontId="38" fillId="0" borderId="0" xfId="4" applyFont="1"/>
    <xf numFmtId="0" fontId="47" fillId="0" borderId="0" xfId="4" applyFont="1" applyAlignment="1">
      <alignment horizontal="center"/>
    </xf>
    <xf numFmtId="0" fontId="47" fillId="0" borderId="0" xfId="4" applyFont="1" applyAlignment="1">
      <alignment horizontal="right"/>
    </xf>
    <xf numFmtId="0" fontId="47" fillId="0" borderId="1" xfId="4" applyFont="1" applyBorder="1" applyAlignment="1">
      <alignment horizontal="center"/>
    </xf>
    <xf numFmtId="0" fontId="47" fillId="0" borderId="1" xfId="4" applyFont="1" applyBorder="1"/>
    <xf numFmtId="0" fontId="30" fillId="0" borderId="1" xfId="6" applyFont="1" applyBorder="1"/>
    <xf numFmtId="0" fontId="47" fillId="0" borderId="1" xfId="4" applyFont="1" applyBorder="1" applyAlignment="1">
      <alignment horizontal="right"/>
    </xf>
    <xf numFmtId="6" fontId="26" fillId="0" borderId="0" xfId="10" applyNumberFormat="1" applyFont="1" applyAlignment="1">
      <alignment vertical="center"/>
    </xf>
    <xf numFmtId="169" fontId="38" fillId="0" borderId="0" xfId="9" applyNumberFormat="1" applyFont="1" applyBorder="1" applyAlignment="1">
      <alignment horizontal="right"/>
    </xf>
    <xf numFmtId="169" fontId="39" fillId="0" borderId="0" xfId="9" applyNumberFormat="1" applyFont="1" applyBorder="1" applyAlignment="1">
      <alignment horizontal="right"/>
    </xf>
    <xf numFmtId="2" fontId="31" fillId="0" borderId="0" xfId="4" applyNumberFormat="1" applyFont="1" applyAlignment="1">
      <alignment horizontal="right"/>
    </xf>
    <xf numFmtId="2" fontId="38" fillId="0" borderId="0" xfId="4" applyNumberFormat="1" applyFont="1" applyAlignment="1">
      <alignment horizontal="right"/>
    </xf>
    <xf numFmtId="9" fontId="30" fillId="0" borderId="0" xfId="9" applyFont="1"/>
    <xf numFmtId="0" fontId="31" fillId="0" borderId="0" xfId="6" applyFont="1"/>
    <xf numFmtId="0" fontId="30" fillId="0" borderId="0" xfId="6" applyFont="1" applyAlignment="1">
      <alignment horizontal="center"/>
    </xf>
    <xf numFmtId="177" fontId="30" fillId="0" borderId="0" xfId="6" applyNumberFormat="1" applyFont="1"/>
    <xf numFmtId="180" fontId="30" fillId="0" borderId="0" xfId="6" applyNumberFormat="1" applyFont="1"/>
    <xf numFmtId="10" fontId="30" fillId="0" borderId="0" xfId="9" applyNumberFormat="1" applyFont="1" applyBorder="1"/>
    <xf numFmtId="0" fontId="47" fillId="4" borderId="0" xfId="4" applyFont="1" applyFill="1" applyAlignment="1">
      <alignment horizontal="left"/>
    </xf>
    <xf numFmtId="0" fontId="30" fillId="4" borderId="0" xfId="6" applyFont="1" applyFill="1"/>
    <xf numFmtId="0" fontId="14" fillId="4" borderId="0" xfId="6" applyFont="1" applyFill="1" applyAlignment="1">
      <alignment horizontal="right"/>
    </xf>
    <xf numFmtId="0" fontId="14" fillId="0" borderId="1" xfId="6" applyFont="1" applyBorder="1" applyAlignment="1">
      <alignment horizontal="right"/>
    </xf>
    <xf numFmtId="169" fontId="38" fillId="0" borderId="0" xfId="4" applyNumberFormat="1" applyFont="1" applyAlignment="1">
      <alignment horizontal="right"/>
    </xf>
    <xf numFmtId="169" fontId="30" fillId="0" borderId="0" xfId="4" applyNumberFormat="1" applyFont="1" applyAlignment="1">
      <alignment horizontal="right"/>
    </xf>
    <xf numFmtId="181" fontId="30" fillId="0" borderId="0" xfId="6" applyNumberFormat="1" applyFont="1"/>
    <xf numFmtId="0" fontId="14" fillId="4" borderId="0" xfId="6" applyFont="1" applyFill="1"/>
    <xf numFmtId="6" fontId="38" fillId="0" borderId="0" xfId="8" applyNumberFormat="1" applyFont="1"/>
    <xf numFmtId="6" fontId="38" fillId="0" borderId="0" xfId="8" applyNumberFormat="1" applyFont="1" applyFill="1"/>
    <xf numFmtId="169" fontId="30" fillId="0" borderId="0" xfId="9" applyNumberFormat="1" applyFont="1" applyBorder="1"/>
    <xf numFmtId="169" fontId="49" fillId="0" borderId="0" xfId="4" applyNumberFormat="1" applyFont="1" applyAlignment="1">
      <alignment horizontal="right"/>
    </xf>
    <xf numFmtId="169" fontId="49" fillId="0" borderId="1" xfId="4" applyNumberFormat="1" applyFont="1" applyBorder="1" applyAlignment="1">
      <alignment horizontal="right"/>
    </xf>
    <xf numFmtId="0" fontId="14" fillId="0" borderId="0" xfId="6" applyFont="1"/>
    <xf numFmtId="169" fontId="14" fillId="0" borderId="0" xfId="9" applyNumberFormat="1" applyFont="1"/>
    <xf numFmtId="169" fontId="31" fillId="0" borderId="0" xfId="4" applyNumberFormat="1" applyFont="1" applyAlignment="1">
      <alignment horizontal="right"/>
    </xf>
    <xf numFmtId="2" fontId="38" fillId="0" borderId="0" xfId="4" applyNumberFormat="1" applyFont="1"/>
    <xf numFmtId="169" fontId="14" fillId="0" borderId="2" xfId="4" applyNumberFormat="1" applyFont="1" applyBorder="1" applyAlignment="1">
      <alignment horizontal="right"/>
    </xf>
    <xf numFmtId="0" fontId="14" fillId="0" borderId="10" xfId="6" applyFont="1" applyBorder="1"/>
    <xf numFmtId="0" fontId="44" fillId="0" borderId="0" xfId="11" applyFont="1"/>
    <xf numFmtId="0" fontId="21" fillId="0" borderId="3" xfId="0" applyFont="1" applyBorder="1"/>
    <xf numFmtId="10" fontId="11" fillId="0" borderId="0" xfId="0" applyNumberFormat="1" applyFont="1"/>
    <xf numFmtId="0" fontId="11" fillId="0" borderId="0" xfId="0" applyFont="1" applyAlignment="1">
      <alignment horizontal="left"/>
    </xf>
    <xf numFmtId="0" fontId="4" fillId="0" borderId="0" xfId="0" applyFont="1" applyAlignment="1">
      <alignment horizontal="left"/>
    </xf>
    <xf numFmtId="0" fontId="52" fillId="0" borderId="0" xfId="0" applyFont="1" applyAlignment="1">
      <alignment horizontal="left"/>
    </xf>
    <xf numFmtId="169" fontId="31" fillId="0" borderId="0" xfId="3" applyNumberFormat="1" applyFont="1" applyAlignment="1">
      <alignment vertical="center"/>
    </xf>
    <xf numFmtId="37" fontId="39" fillId="0" borderId="0" xfId="4" applyNumberFormat="1" applyFont="1" applyAlignment="1">
      <alignment horizontal="left"/>
    </xf>
    <xf numFmtId="8" fontId="39" fillId="0" borderId="0" xfId="3" applyNumberFormat="1" applyFont="1" applyAlignment="1">
      <alignment vertical="center"/>
    </xf>
    <xf numFmtId="8" fontId="26" fillId="0" borderId="0" xfId="10" applyNumberFormat="1" applyFont="1" applyAlignment="1">
      <alignment vertical="center"/>
    </xf>
    <xf numFmtId="182" fontId="4" fillId="0" borderId="0" xfId="0" applyNumberFormat="1" applyFont="1" applyAlignment="1">
      <alignment horizontal="right"/>
    </xf>
    <xf numFmtId="182" fontId="4" fillId="0" borderId="0" xfId="0" applyNumberFormat="1" applyFont="1"/>
    <xf numFmtId="183" fontId="39" fillId="0" borderId="0" xfId="3" applyNumberFormat="1" applyFont="1" applyAlignment="1">
      <alignment vertical="center"/>
    </xf>
    <xf numFmtId="174" fontId="39" fillId="0" borderId="0" xfId="3" applyNumberFormat="1" applyFont="1" applyAlignment="1">
      <alignment horizontal="right"/>
    </xf>
    <xf numFmtId="3" fontId="9" fillId="0" borderId="2" xfId="0" applyNumberFormat="1" applyFont="1" applyBorder="1"/>
    <xf numFmtId="16" fontId="30" fillId="0" borderId="0" xfId="3" applyNumberFormat="1" applyFont="1"/>
    <xf numFmtId="10" fontId="4" fillId="0" borderId="0" xfId="1" applyNumberFormat="1" applyFont="1"/>
    <xf numFmtId="185" fontId="12" fillId="0" borderId="0" xfId="0" applyNumberFormat="1" applyFont="1"/>
    <xf numFmtId="0" fontId="51" fillId="0" borderId="0" xfId="0" applyFont="1" applyAlignment="1">
      <alignment horizontal="centerContinuous"/>
    </xf>
    <xf numFmtId="0" fontId="51" fillId="0" borderId="0" xfId="0" applyFont="1" applyAlignment="1">
      <alignment horizontal="center"/>
    </xf>
    <xf numFmtId="0" fontId="11" fillId="0" borderId="0" xfId="0" applyFont="1" applyAlignment="1">
      <alignment horizontal="right"/>
    </xf>
    <xf numFmtId="0" fontId="52" fillId="0" borderId="0" xfId="0" applyFont="1" applyAlignment="1">
      <alignment horizontal="left" vertical="center" wrapText="1"/>
    </xf>
    <xf numFmtId="0" fontId="24" fillId="0" borderId="2" xfId="0" applyFont="1" applyBorder="1"/>
    <xf numFmtId="166" fontId="7" fillId="0" borderId="0" xfId="0" applyNumberFormat="1" applyFont="1"/>
    <xf numFmtId="166" fontId="7" fillId="0" borderId="1" xfId="0" applyNumberFormat="1" applyFont="1" applyBorder="1"/>
    <xf numFmtId="169" fontId="4" fillId="0" borderId="2" xfId="0" applyNumberFormat="1" applyFont="1" applyBorder="1"/>
    <xf numFmtId="0" fontId="9" fillId="0" borderId="0" xfId="0" applyFont="1" applyAlignment="1">
      <alignment horizontal="right"/>
    </xf>
    <xf numFmtId="0" fontId="4" fillId="6" borderId="0" xfId="12" applyFont="1" applyFill="1"/>
    <xf numFmtId="0" fontId="4" fillId="0" borderId="0" xfId="12" applyFont="1"/>
    <xf numFmtId="0" fontId="55" fillId="6" borderId="0" xfId="12" applyFont="1" applyFill="1"/>
    <xf numFmtId="0" fontId="56" fillId="6" borderId="0" xfId="13" applyFont="1" applyFill="1" applyAlignment="1" applyProtection="1"/>
    <xf numFmtId="0" fontId="57" fillId="6" borderId="0" xfId="12" applyFont="1" applyFill="1"/>
    <xf numFmtId="0" fontId="58" fillId="0" borderId="0" xfId="12" applyFont="1"/>
    <xf numFmtId="0" fontId="60" fillId="0" borderId="0" xfId="14" applyFont="1" applyAlignment="1" applyProtection="1"/>
    <xf numFmtId="0" fontId="61" fillId="6" borderId="0" xfId="13" applyFont="1" applyFill="1" applyAlignment="1" applyProtection="1"/>
    <xf numFmtId="0" fontId="62" fillId="0" borderId="0" xfId="12" applyFont="1"/>
    <xf numFmtId="0" fontId="60" fillId="0" borderId="0" xfId="14" applyFont="1" applyFill="1"/>
    <xf numFmtId="0" fontId="63" fillId="0" borderId="0" xfId="13" applyFont="1" applyFill="1" applyAlignment="1" applyProtection="1"/>
    <xf numFmtId="0" fontId="61" fillId="0" borderId="0" xfId="13" applyFont="1" applyFill="1" applyAlignment="1" applyProtection="1"/>
    <xf numFmtId="0" fontId="7" fillId="6" borderId="0" xfId="12" applyFont="1" applyFill="1"/>
    <xf numFmtId="0" fontId="64" fillId="0" borderId="0" xfId="12" applyFont="1"/>
    <xf numFmtId="0" fontId="7" fillId="0" borderId="0" xfId="0" applyFont="1" applyAlignment="1">
      <alignment horizontal="center"/>
    </xf>
    <xf numFmtId="0" fontId="38" fillId="0" borderId="0" xfId="0" applyFont="1"/>
    <xf numFmtId="14" fontId="30" fillId="0" borderId="0" xfId="0" applyNumberFormat="1" applyFont="1"/>
    <xf numFmtId="2" fontId="30" fillId="0" borderId="0" xfId="0" applyNumberFormat="1" applyFont="1"/>
    <xf numFmtId="3" fontId="4" fillId="0" borderId="0" xfId="0" applyNumberFormat="1" applyFont="1" applyAlignment="1">
      <alignment horizontal="center"/>
    </xf>
    <xf numFmtId="0" fontId="20" fillId="0" borderId="0" xfId="0" applyFont="1"/>
    <xf numFmtId="170" fontId="14" fillId="0" borderId="0" xfId="0" applyNumberFormat="1" applyFont="1"/>
    <xf numFmtId="170" fontId="4" fillId="0" borderId="1" xfId="0" applyNumberFormat="1" applyFont="1" applyBorder="1"/>
    <xf numFmtId="0" fontId="67" fillId="0" borderId="0" xfId="0" applyFont="1" applyAlignment="1">
      <alignment horizontal="right"/>
    </xf>
    <xf numFmtId="187" fontId="4" fillId="0" borderId="0" xfId="0" applyNumberFormat="1" applyFont="1"/>
    <xf numFmtId="0" fontId="4" fillId="0" borderId="0" xfId="3" applyFont="1"/>
    <xf numFmtId="0" fontId="9" fillId="0" borderId="0" xfId="3" applyFont="1"/>
    <xf numFmtId="0" fontId="4" fillId="0" borderId="0" xfId="3" applyFont="1" applyAlignment="1">
      <alignment horizontal="center"/>
    </xf>
    <xf numFmtId="186" fontId="4" fillId="0" borderId="0" xfId="17" applyFont="1"/>
    <xf numFmtId="9" fontId="4" fillId="0" borderId="0" xfId="16" applyFont="1"/>
    <xf numFmtId="9" fontId="4" fillId="0" borderId="0" xfId="3" applyNumberFormat="1" applyFont="1"/>
    <xf numFmtId="186" fontId="4" fillId="0" borderId="0" xfId="3" applyNumberFormat="1" applyFont="1"/>
    <xf numFmtId="0" fontId="9" fillId="0" borderId="17" xfId="3" applyFont="1" applyBorder="1" applyAlignment="1">
      <alignment horizontal="center"/>
    </xf>
    <xf numFmtId="0" fontId="9" fillId="0" borderId="18" xfId="3" applyFont="1" applyBorder="1" applyAlignment="1">
      <alignment horizontal="center"/>
    </xf>
    <xf numFmtId="0" fontId="9" fillId="0" borderId="19" xfId="3" applyFont="1" applyBorder="1" applyAlignment="1">
      <alignment horizontal="center"/>
    </xf>
    <xf numFmtId="0" fontId="4" fillId="0" borderId="7" xfId="3" applyFont="1" applyBorder="1"/>
    <xf numFmtId="189" fontId="4" fillId="0" borderId="14" xfId="17" applyNumberFormat="1" applyFont="1" applyBorder="1"/>
    <xf numFmtId="0" fontId="4" fillId="0" borderId="20" xfId="3" applyFont="1" applyBorder="1"/>
    <xf numFmtId="0" fontId="4" fillId="0" borderId="1" xfId="3" applyFont="1" applyBorder="1" applyAlignment="1">
      <alignment horizontal="center"/>
    </xf>
    <xf numFmtId="186" fontId="4" fillId="0" borderId="15" xfId="17" applyFont="1" applyBorder="1"/>
    <xf numFmtId="0" fontId="9" fillId="0" borderId="20" xfId="3" applyFont="1" applyBorder="1" applyAlignment="1">
      <alignment horizontal="center" vertical="center"/>
    </xf>
    <xf numFmtId="0" fontId="9" fillId="0" borderId="1" xfId="3" applyFont="1" applyBorder="1" applyAlignment="1">
      <alignment horizontal="center" vertical="center" wrapText="1"/>
    </xf>
    <xf numFmtId="0" fontId="9" fillId="0" borderId="0" xfId="3" applyFont="1" applyAlignment="1">
      <alignment horizontal="center" vertical="center"/>
    </xf>
    <xf numFmtId="0" fontId="4" fillId="0" borderId="7" xfId="3" applyFont="1" applyBorder="1" applyAlignment="1">
      <alignment horizontal="center" vertical="center"/>
    </xf>
    <xf numFmtId="186" fontId="4" fillId="0" borderId="0" xfId="17" applyFont="1" applyBorder="1" applyAlignment="1">
      <alignment horizontal="center"/>
    </xf>
    <xf numFmtId="0" fontId="4" fillId="0" borderId="0" xfId="3" applyFont="1" applyAlignment="1">
      <alignment horizontal="center" vertical="center"/>
    </xf>
    <xf numFmtId="10" fontId="4" fillId="0" borderId="0" xfId="3" applyNumberFormat="1" applyFont="1"/>
    <xf numFmtId="0" fontId="4" fillId="0" borderId="20" xfId="3" applyFont="1" applyBorder="1" applyAlignment="1">
      <alignment horizontal="center" vertical="center"/>
    </xf>
    <xf numFmtId="186" fontId="4" fillId="0" borderId="1" xfId="17" applyFont="1" applyBorder="1" applyAlignment="1">
      <alignment horizontal="center"/>
    </xf>
    <xf numFmtId="169" fontId="4" fillId="0" borderId="0" xfId="16" applyNumberFormat="1" applyFont="1"/>
    <xf numFmtId="0" fontId="27" fillId="0" borderId="0" xfId="3" applyFont="1"/>
    <xf numFmtId="0" fontId="27" fillId="0" borderId="0" xfId="3" applyFont="1" applyAlignment="1">
      <alignment horizontal="center"/>
    </xf>
    <xf numFmtId="186" fontId="27" fillId="0" borderId="0" xfId="3" applyNumberFormat="1" applyFont="1"/>
    <xf numFmtId="0" fontId="4" fillId="0" borderId="13" xfId="3" applyFont="1" applyBorder="1" applyAlignment="1">
      <alignment horizontal="center" vertical="center" wrapText="1"/>
    </xf>
    <xf numFmtId="0" fontId="68" fillId="0" borderId="0" xfId="0" applyFont="1" applyAlignment="1">
      <alignment horizontal="left"/>
    </xf>
    <xf numFmtId="0" fontId="4" fillId="0" borderId="23" xfId="3" applyFont="1" applyBorder="1" applyAlignment="1">
      <alignment horizontal="center" vertical="center" wrapText="1"/>
    </xf>
    <xf numFmtId="0" fontId="4" fillId="0" borderId="13" xfId="3" applyFont="1" applyBorder="1" applyAlignment="1">
      <alignment horizontal="center" vertical="center"/>
    </xf>
    <xf numFmtId="0" fontId="4" fillId="0" borderId="19" xfId="3" applyFont="1" applyBorder="1" applyAlignment="1">
      <alignment horizontal="center" vertical="center" wrapText="1"/>
    </xf>
    <xf numFmtId="0" fontId="4" fillId="0" borderId="16" xfId="3" applyFont="1" applyBorder="1" applyAlignment="1">
      <alignment horizontal="center" vertical="center" wrapText="1"/>
    </xf>
    <xf numFmtId="0" fontId="4" fillId="0" borderId="19" xfId="3" applyFont="1" applyBorder="1" applyAlignment="1">
      <alignment horizontal="center" vertical="center"/>
    </xf>
    <xf numFmtId="0" fontId="4" fillId="8" borderId="0" xfId="0" applyFont="1" applyFill="1"/>
    <xf numFmtId="0" fontId="17" fillId="8" borderId="0" xfId="0" applyFont="1" applyFill="1"/>
    <xf numFmtId="0" fontId="5" fillId="8" borderId="0" xfId="0" applyFont="1" applyFill="1"/>
    <xf numFmtId="0" fontId="13" fillId="8" borderId="0" xfId="0" applyFont="1" applyFill="1"/>
    <xf numFmtId="0" fontId="13" fillId="8" borderId="0" xfId="0" applyFont="1" applyFill="1" applyAlignment="1">
      <alignment horizontal="center"/>
    </xf>
    <xf numFmtId="0" fontId="13" fillId="8" borderId="0" xfId="7" applyFont="1" applyFill="1" applyAlignment="1">
      <alignment horizontal="center" vertical="center"/>
    </xf>
    <xf numFmtId="0" fontId="17" fillId="8" borderId="0" xfId="6" applyFont="1" applyFill="1"/>
    <xf numFmtId="0" fontId="42" fillId="8" borderId="0" xfId="6" applyFont="1" applyFill="1"/>
    <xf numFmtId="0" fontId="4" fillId="8" borderId="0" xfId="6" applyFont="1" applyFill="1"/>
    <xf numFmtId="0" fontId="43" fillId="8" borderId="0" xfId="6" applyFont="1" applyFill="1" applyAlignment="1">
      <alignment horizontal="left" vertical="center" readingOrder="1"/>
    </xf>
    <xf numFmtId="37" fontId="17" fillId="8" borderId="0" xfId="6" applyNumberFormat="1" applyFont="1" applyFill="1" applyAlignment="1">
      <alignment vertical="top"/>
    </xf>
    <xf numFmtId="37" fontId="33" fillId="8" borderId="0" xfId="6" applyNumberFormat="1" applyFont="1" applyFill="1" applyAlignment="1">
      <alignment vertical="top"/>
    </xf>
    <xf numFmtId="0" fontId="45" fillId="8" borderId="0" xfId="6" applyFont="1" applyFill="1" applyAlignment="1">
      <alignment horizontal="left" vertical="center" readingOrder="1"/>
    </xf>
    <xf numFmtId="37" fontId="46" fillId="8" borderId="0" xfId="6" applyNumberFormat="1" applyFont="1" applyFill="1" applyAlignment="1">
      <alignment vertical="top"/>
    </xf>
    <xf numFmtId="37" fontId="34" fillId="8" borderId="0" xfId="6" applyNumberFormat="1" applyFont="1" applyFill="1" applyAlignment="1">
      <alignment vertical="top"/>
    </xf>
    <xf numFmtId="0" fontId="5" fillId="8" borderId="0" xfId="6" applyFont="1" applyFill="1"/>
    <xf numFmtId="0" fontId="4" fillId="8" borderId="0" xfId="0" applyFont="1" applyFill="1" applyAlignment="1">
      <alignment horizontal="center"/>
    </xf>
    <xf numFmtId="0" fontId="4" fillId="8" borderId="0" xfId="0" applyFont="1" applyFill="1" applyAlignment="1">
      <alignment horizontal="left"/>
    </xf>
    <xf numFmtId="0" fontId="40" fillId="8" borderId="0" xfId="0" applyFont="1" applyFill="1"/>
    <xf numFmtId="0" fontId="13" fillId="8" borderId="0" xfId="0" applyFont="1" applyFill="1" applyAlignment="1">
      <alignment horizontal="left"/>
    </xf>
    <xf numFmtId="0" fontId="13" fillId="8" borderId="0" xfId="0" applyFont="1" applyFill="1" applyAlignment="1">
      <alignment horizontal="right"/>
    </xf>
    <xf numFmtId="0" fontId="33" fillId="8" borderId="0" xfId="3" applyFont="1" applyFill="1" applyAlignment="1">
      <alignment vertical="center"/>
    </xf>
    <xf numFmtId="0" fontId="34" fillId="8" borderId="0" xfId="3" applyFont="1" applyFill="1" applyAlignment="1">
      <alignment horizontal="right" vertical="center"/>
    </xf>
    <xf numFmtId="0" fontId="5" fillId="8" borderId="9" xfId="3" applyFont="1" applyFill="1" applyBorder="1" applyAlignment="1">
      <alignment horizontal="centerContinuous" vertical="center"/>
    </xf>
    <xf numFmtId="0" fontId="33" fillId="8" borderId="9" xfId="3" applyFont="1" applyFill="1" applyBorder="1" applyAlignment="1">
      <alignment horizontal="centerContinuous" vertical="center"/>
    </xf>
    <xf numFmtId="0" fontId="5" fillId="8" borderId="0" xfId="3" applyFont="1" applyFill="1" applyAlignment="1">
      <alignment vertical="center"/>
    </xf>
    <xf numFmtId="0" fontId="5" fillId="8" borderId="0" xfId="3" applyFont="1" applyFill="1" applyAlignment="1">
      <alignment horizontal="right" vertical="center"/>
    </xf>
    <xf numFmtId="0" fontId="5" fillId="8" borderId="0" xfId="3" applyFont="1" applyFill="1" applyAlignment="1">
      <alignment horizontal="center" vertical="center"/>
    </xf>
    <xf numFmtId="0" fontId="33" fillId="8" borderId="0" xfId="3" applyFont="1" applyFill="1" applyAlignment="1">
      <alignment horizontal="right" vertical="center"/>
    </xf>
    <xf numFmtId="0" fontId="34" fillId="8" borderId="0" xfId="3" quotePrefix="1" applyFont="1" applyFill="1" applyAlignment="1">
      <alignment horizontal="right" vertical="center"/>
    </xf>
    <xf numFmtId="0" fontId="35" fillId="8" borderId="0" xfId="3" applyFont="1" applyFill="1" applyAlignment="1">
      <alignment horizontal="right" vertical="center"/>
    </xf>
    <xf numFmtId="174" fontId="33" fillId="8" borderId="0" xfId="3" applyNumberFormat="1" applyFont="1" applyFill="1" applyAlignment="1">
      <alignment vertical="center"/>
    </xf>
    <xf numFmtId="0" fontId="5" fillId="8" borderId="0" xfId="3" applyFont="1" applyFill="1"/>
    <xf numFmtId="0" fontId="5" fillId="8" borderId="0" xfId="3" applyFont="1" applyFill="1" applyAlignment="1">
      <alignment horizontal="right"/>
    </xf>
    <xf numFmtId="0" fontId="5" fillId="8" borderId="0" xfId="3" applyFont="1" applyFill="1" applyAlignment="1">
      <alignment horizontal="center"/>
    </xf>
    <xf numFmtId="0" fontId="13" fillId="8" borderId="0" xfId="0" applyFont="1" applyFill="1" applyAlignment="1">
      <alignment horizontal="center" wrapText="1"/>
    </xf>
    <xf numFmtId="0" fontId="13" fillId="8" borderId="0" xfId="0" applyFont="1" applyFill="1" applyAlignment="1">
      <alignment horizontal="centerContinuous"/>
    </xf>
    <xf numFmtId="0" fontId="4" fillId="8" borderId="0" xfId="0" applyFont="1" applyFill="1" applyAlignment="1">
      <alignment horizontal="centerContinuous"/>
    </xf>
    <xf numFmtId="171" fontId="13" fillId="8" borderId="0" xfId="0" applyNumberFormat="1" applyFont="1" applyFill="1"/>
    <xf numFmtId="0" fontId="20" fillId="8" borderId="0" xfId="0" applyFont="1" applyFill="1"/>
    <xf numFmtId="4" fontId="13" fillId="8" borderId="0" xfId="0" applyNumberFormat="1" applyFont="1" applyFill="1"/>
    <xf numFmtId="0" fontId="13" fillId="8" borderId="13" xfId="0" applyFont="1" applyFill="1" applyBorder="1"/>
    <xf numFmtId="0" fontId="13" fillId="8" borderId="13" xfId="0" applyFont="1" applyFill="1" applyBorder="1" applyAlignment="1">
      <alignment vertical="center"/>
    </xf>
    <xf numFmtId="0" fontId="17" fillId="8" borderId="0" xfId="12" applyFont="1" applyFill="1"/>
    <xf numFmtId="0" fontId="40" fillId="8" borderId="0" xfId="12" applyFont="1" applyFill="1"/>
    <xf numFmtId="0" fontId="13" fillId="8" borderId="0" xfId="12" applyFont="1" applyFill="1"/>
    <xf numFmtId="0" fontId="54" fillId="8" borderId="0" xfId="13" applyFont="1" applyFill="1" applyAlignment="1" applyProtection="1"/>
    <xf numFmtId="4" fontId="14" fillId="9" borderId="8" xfId="0" applyNumberFormat="1" applyFont="1" applyFill="1" applyBorder="1"/>
    <xf numFmtId="0" fontId="47" fillId="9" borderId="0" xfId="4" applyFont="1" applyFill="1"/>
    <xf numFmtId="0" fontId="30" fillId="9" borderId="0" xfId="6" applyFont="1" applyFill="1"/>
    <xf numFmtId="0" fontId="31" fillId="9" borderId="0" xfId="6" applyFont="1" applyFill="1"/>
    <xf numFmtId="0" fontId="48" fillId="9" borderId="0" xfId="4" applyFont="1" applyFill="1" applyAlignment="1">
      <alignment horizontal="right"/>
    </xf>
    <xf numFmtId="169" fontId="47" fillId="9" borderId="0" xfId="4" applyNumberFormat="1" applyFont="1" applyFill="1" applyAlignment="1">
      <alignment horizontal="right"/>
    </xf>
    <xf numFmtId="2" fontId="47" fillId="9" borderId="0" xfId="8" applyNumberFormat="1" applyFont="1" applyFill="1" applyBorder="1" applyAlignment="1">
      <alignment horizontal="right"/>
    </xf>
    <xf numFmtId="0" fontId="47" fillId="9" borderId="0" xfId="4" applyFont="1" applyFill="1" applyAlignment="1">
      <alignment horizontal="right"/>
    </xf>
    <xf numFmtId="37" fontId="47" fillId="9" borderId="0" xfId="4" applyNumberFormat="1" applyFont="1" applyFill="1" applyAlignment="1">
      <alignment horizontal="left"/>
    </xf>
    <xf numFmtId="0" fontId="14" fillId="9" borderId="0" xfId="6" applyFont="1" applyFill="1"/>
    <xf numFmtId="6" fontId="6" fillId="9" borderId="0" xfId="10" applyNumberFormat="1" applyFont="1" applyFill="1" applyAlignment="1">
      <alignment vertical="center"/>
    </xf>
    <xf numFmtId="169" fontId="47" fillId="9" borderId="0" xfId="9" applyNumberFormat="1" applyFont="1" applyFill="1" applyBorder="1" applyAlignment="1">
      <alignment horizontal="right"/>
    </xf>
    <xf numFmtId="169" fontId="16" fillId="9" borderId="0" xfId="9" applyNumberFormat="1" applyFont="1" applyFill="1" applyBorder="1" applyAlignment="1">
      <alignment horizontal="right"/>
    </xf>
    <xf numFmtId="2" fontId="15" fillId="9" borderId="0" xfId="4" applyNumberFormat="1" applyFont="1" applyFill="1" applyAlignment="1">
      <alignment horizontal="right"/>
    </xf>
    <xf numFmtId="2" fontId="47" fillId="9" borderId="0" xfId="4" applyNumberFormat="1" applyFont="1" applyFill="1" applyAlignment="1">
      <alignment horizontal="right"/>
    </xf>
    <xf numFmtId="167" fontId="4" fillId="9" borderId="8" xfId="6" applyNumberFormat="1" applyFont="1" applyFill="1" applyBorder="1"/>
    <xf numFmtId="169" fontId="4" fillId="9" borderId="8" xfId="6" applyNumberFormat="1" applyFont="1" applyFill="1" applyBorder="1"/>
    <xf numFmtId="0" fontId="13" fillId="10" borderId="4" xfId="0" applyFont="1" applyFill="1" applyBorder="1" applyAlignment="1">
      <alignment horizontal="centerContinuous"/>
    </xf>
    <xf numFmtId="0" fontId="4" fillId="10" borderId="0" xfId="0" applyFont="1" applyFill="1" applyAlignment="1">
      <alignment horizontal="centerContinuous"/>
    </xf>
    <xf numFmtId="172" fontId="13" fillId="10" borderId="4" xfId="0" applyNumberFormat="1" applyFont="1" applyFill="1" applyBorder="1"/>
    <xf numFmtId="188" fontId="13" fillId="10" borderId="0" xfId="0" applyNumberFormat="1" applyFont="1" applyFill="1"/>
    <xf numFmtId="4" fontId="30" fillId="0" borderId="0" xfId="0" applyNumberFormat="1" applyFont="1"/>
    <xf numFmtId="4" fontId="70" fillId="0" borderId="0" xfId="0" applyNumberFormat="1" applyFont="1"/>
    <xf numFmtId="0" fontId="70" fillId="0" borderId="0" xfId="0" applyFont="1"/>
    <xf numFmtId="4" fontId="14" fillId="0" borderId="0" xfId="0" applyNumberFormat="1" applyFont="1"/>
    <xf numFmtId="0" fontId="30" fillId="0" borderId="2" xfId="0" applyFont="1" applyBorder="1"/>
    <xf numFmtId="0" fontId="14" fillId="0" borderId="2" xfId="0" applyFont="1" applyBorder="1"/>
    <xf numFmtId="4" fontId="71" fillId="0" borderId="0" xfId="0" applyNumberFormat="1" applyFont="1"/>
    <xf numFmtId="0" fontId="72" fillId="0" borderId="0" xfId="0" applyFont="1"/>
    <xf numFmtId="0" fontId="73" fillId="0" borderId="0" xfId="0" applyFont="1"/>
    <xf numFmtId="0" fontId="69" fillId="0" borderId="0" xfId="0" applyFont="1"/>
    <xf numFmtId="0" fontId="71" fillId="0" borderId="0" xfId="0" applyFont="1"/>
    <xf numFmtId="0" fontId="47" fillId="0" borderId="1" xfId="0" applyFont="1" applyBorder="1"/>
    <xf numFmtId="0" fontId="38" fillId="0" borderId="1" xfId="0" applyFont="1" applyBorder="1"/>
    <xf numFmtId="0" fontId="75" fillId="0" borderId="0" xfId="0" applyFont="1"/>
    <xf numFmtId="0" fontId="76" fillId="0" borderId="0" xfId="0" applyFont="1"/>
    <xf numFmtId="0" fontId="75" fillId="0" borderId="2" xfId="0" applyFont="1" applyBorder="1"/>
    <xf numFmtId="0" fontId="77" fillId="0" borderId="0" xfId="0" applyFont="1"/>
    <xf numFmtId="0" fontId="78" fillId="0" borderId="0" xfId="0" applyFont="1" applyAlignment="1">
      <alignment horizontal="right"/>
    </xf>
    <xf numFmtId="0" fontId="76" fillId="0" borderId="2" xfId="0" applyFont="1" applyBorder="1"/>
    <xf numFmtId="0" fontId="75" fillId="0" borderId="1" xfId="0" applyFont="1" applyBorder="1"/>
    <xf numFmtId="0" fontId="33" fillId="8" borderId="0" xfId="0" applyFont="1" applyFill="1"/>
    <xf numFmtId="0" fontId="34" fillId="8" borderId="0" xfId="0" applyFont="1" applyFill="1" applyAlignment="1">
      <alignment horizontal="right"/>
    </xf>
    <xf numFmtId="0" fontId="47" fillId="0" borderId="0" xfId="0" applyFont="1"/>
    <xf numFmtId="187" fontId="31" fillId="0" borderId="0" xfId="0" applyNumberFormat="1" applyFont="1"/>
    <xf numFmtId="187" fontId="14" fillId="0" borderId="2" xfId="0" applyNumberFormat="1" applyFont="1" applyBorder="1"/>
    <xf numFmtId="187" fontId="30" fillId="0" borderId="0" xfId="0" applyNumberFormat="1" applyFont="1"/>
    <xf numFmtId="187" fontId="14" fillId="0" borderId="0" xfId="0" applyNumberFormat="1" applyFont="1"/>
    <xf numFmtId="166" fontId="14" fillId="0" borderId="0" xfId="0" applyNumberFormat="1" applyFont="1"/>
    <xf numFmtId="4" fontId="76" fillId="0" borderId="0" xfId="0" applyNumberFormat="1" applyFont="1"/>
    <xf numFmtId="166" fontId="31" fillId="0" borderId="0" xfId="0" applyNumberFormat="1" applyFont="1"/>
    <xf numFmtId="166" fontId="47" fillId="0" borderId="0" xfId="0" applyNumberFormat="1" applyFont="1"/>
    <xf numFmtId="0" fontId="5" fillId="0" borderId="0" xfId="0" applyFont="1"/>
    <xf numFmtId="0" fontId="14" fillId="0" borderId="1" xfId="0" applyFont="1" applyBorder="1" applyAlignment="1">
      <alignment horizontal="center"/>
    </xf>
    <xf numFmtId="0" fontId="47" fillId="0" borderId="1" xfId="0" applyFont="1" applyBorder="1" applyAlignment="1">
      <alignment horizontal="right"/>
    </xf>
    <xf numFmtId="9" fontId="38" fillId="0" borderId="2" xfId="1" applyFont="1" applyBorder="1"/>
    <xf numFmtId="2" fontId="38" fillId="0" borderId="2" xfId="0" applyNumberFormat="1" applyFont="1" applyBorder="1"/>
    <xf numFmtId="9" fontId="38" fillId="0" borderId="0" xfId="1" applyFont="1" applyBorder="1"/>
    <xf numFmtId="2" fontId="38" fillId="0" borderId="0" xfId="0" applyNumberFormat="1" applyFont="1"/>
    <xf numFmtId="2" fontId="14" fillId="0" borderId="3" xfId="0" applyNumberFormat="1" applyFont="1" applyBorder="1"/>
    <xf numFmtId="15" fontId="47" fillId="0" borderId="0" xfId="0" applyNumberFormat="1" applyFont="1"/>
    <xf numFmtId="15" fontId="47" fillId="0" borderId="1" xfId="0" applyNumberFormat="1" applyFont="1" applyBorder="1"/>
    <xf numFmtId="168" fontId="47" fillId="0" borderId="1" xfId="0" applyNumberFormat="1" applyFont="1" applyBorder="1"/>
    <xf numFmtId="0" fontId="38" fillId="0" borderId="2" xfId="0" applyFont="1" applyBorder="1"/>
    <xf numFmtId="166" fontId="31" fillId="0" borderId="2" xfId="0" applyNumberFormat="1" applyFont="1" applyBorder="1"/>
    <xf numFmtId="0" fontId="80" fillId="0" borderId="0" xfId="0" applyFont="1"/>
    <xf numFmtId="169" fontId="38" fillId="0" borderId="0" xfId="1" applyNumberFormat="1" applyFont="1"/>
    <xf numFmtId="170" fontId="38" fillId="0" borderId="0" xfId="1" applyNumberFormat="1" applyFont="1"/>
    <xf numFmtId="0" fontId="81" fillId="8" borderId="0" xfId="2" applyFont="1" applyFill="1" applyAlignment="1">
      <alignment horizontal="left"/>
    </xf>
    <xf numFmtId="187" fontId="47" fillId="0" borderId="2" xfId="0" applyNumberFormat="1" applyFont="1" applyBorder="1"/>
    <xf numFmtId="187" fontId="47" fillId="0" borderId="0" xfId="0" applyNumberFormat="1" applyFont="1"/>
    <xf numFmtId="187" fontId="52" fillId="0" borderId="0" xfId="0" applyNumberFormat="1" applyFont="1"/>
    <xf numFmtId="0" fontId="74" fillId="0" borderId="0" xfId="0" applyFont="1"/>
    <xf numFmtId="0" fontId="79" fillId="0" borderId="0" xfId="0" applyFont="1"/>
    <xf numFmtId="0" fontId="81" fillId="8" borderId="0" xfId="0" applyFont="1" applyFill="1"/>
    <xf numFmtId="0" fontId="83" fillId="0" borderId="0" xfId="0" applyFont="1"/>
    <xf numFmtId="0" fontId="84" fillId="0" borderId="0" xfId="2" applyFont="1" applyFill="1"/>
    <xf numFmtId="0" fontId="30" fillId="0" borderId="0" xfId="0" applyFont="1" applyAlignment="1">
      <alignment horizontal="left"/>
    </xf>
    <xf numFmtId="184" fontId="4" fillId="0" borderId="0" xfId="0" applyNumberFormat="1" applyFont="1"/>
    <xf numFmtId="169" fontId="30" fillId="0" borderId="0" xfId="3" applyNumberFormat="1" applyFont="1" applyAlignment="1">
      <alignment vertical="center"/>
    </xf>
    <xf numFmtId="0" fontId="30" fillId="0" borderId="0" xfId="0" applyFont="1" applyAlignment="1">
      <alignment horizontal="left" vertical="center" wrapText="1"/>
    </xf>
    <xf numFmtId="184" fontId="30" fillId="0" borderId="0" xfId="3" applyNumberFormat="1" applyFont="1" applyAlignment="1">
      <alignment vertical="center"/>
    </xf>
    <xf numFmtId="0" fontId="30" fillId="2" borderId="0" xfId="0" applyFont="1" applyFill="1"/>
    <xf numFmtId="0" fontId="52" fillId="2" borderId="0" xfId="0" applyFont="1" applyFill="1" applyAlignment="1">
      <alignment horizontal="left"/>
    </xf>
    <xf numFmtId="6" fontId="31" fillId="2" borderId="0" xfId="3" applyNumberFormat="1" applyFont="1" applyFill="1" applyAlignment="1">
      <alignment vertical="center"/>
    </xf>
    <xf numFmtId="169" fontId="31" fillId="2" borderId="0" xfId="3" applyNumberFormat="1" applyFont="1" applyFill="1" applyAlignment="1">
      <alignment vertical="center"/>
    </xf>
    <xf numFmtId="184" fontId="52" fillId="0" borderId="0" xfId="0" applyNumberFormat="1" applyFont="1"/>
    <xf numFmtId="184" fontId="52" fillId="2" borderId="0" xfId="0" applyNumberFormat="1" applyFont="1" applyFill="1"/>
    <xf numFmtId="0" fontId="51" fillId="0" borderId="12" xfId="0" applyFont="1" applyBorder="1" applyAlignment="1">
      <alignment horizontal="centerContinuous"/>
    </xf>
    <xf numFmtId="0" fontId="51" fillId="0" borderId="12" xfId="0" applyFont="1" applyBorder="1" applyAlignment="1">
      <alignment horizontal="center"/>
    </xf>
    <xf numFmtId="0" fontId="0" fillId="0" borderId="11" xfId="0" applyBorder="1"/>
    <xf numFmtId="14" fontId="31" fillId="0" borderId="0" xfId="6" applyNumberFormat="1" applyFont="1"/>
    <xf numFmtId="43" fontId="52" fillId="0" borderId="0" xfId="8" applyFont="1"/>
    <xf numFmtId="43" fontId="31" fillId="0" borderId="0" xfId="8" applyFont="1"/>
    <xf numFmtId="169" fontId="38" fillId="0" borderId="0" xfId="9" applyNumberFormat="1" applyFont="1"/>
    <xf numFmtId="43" fontId="30" fillId="0" borderId="0" xfId="0" applyNumberFormat="1" applyFont="1"/>
    <xf numFmtId="0" fontId="9" fillId="0" borderId="15" xfId="3" applyFont="1" applyBorder="1" applyAlignment="1">
      <alignment horizontal="right" vertical="center"/>
    </xf>
    <xf numFmtId="0" fontId="85" fillId="0" borderId="0" xfId="3" applyFont="1"/>
    <xf numFmtId="187" fontId="14" fillId="0" borderId="3" xfId="0" applyNumberFormat="1" applyFont="1" applyBorder="1"/>
    <xf numFmtId="166" fontId="30" fillId="0" borderId="0" xfId="0" applyNumberFormat="1" applyFont="1"/>
    <xf numFmtId="166" fontId="30" fillId="0" borderId="0" xfId="1" applyNumberFormat="1" applyFont="1"/>
    <xf numFmtId="166" fontId="38" fillId="0" borderId="0" xfId="1" applyNumberFormat="1" applyFont="1"/>
    <xf numFmtId="39" fontId="30" fillId="0" borderId="0" xfId="0" applyNumberFormat="1" applyFont="1"/>
    <xf numFmtId="183" fontId="30" fillId="0" borderId="0" xfId="0" applyNumberFormat="1" applyFont="1"/>
    <xf numFmtId="182" fontId="4" fillId="0" borderId="14" xfId="17" applyNumberFormat="1" applyFont="1" applyBorder="1" applyAlignment="1">
      <alignment horizontal="center" vertical="center"/>
    </xf>
    <xf numFmtId="182" fontId="4" fillId="0" borderId="15" xfId="17" applyNumberFormat="1" applyFont="1" applyBorder="1" applyAlignment="1">
      <alignment horizontal="center" vertical="center"/>
    </xf>
    <xf numFmtId="0" fontId="4" fillId="0" borderId="22" xfId="3" applyFont="1" applyBorder="1" applyAlignment="1">
      <alignment horizontal="center" vertical="center"/>
    </xf>
    <xf numFmtId="190" fontId="39" fillId="0" borderId="0" xfId="3" applyNumberFormat="1" applyFont="1"/>
    <xf numFmtId="167" fontId="8" fillId="0" borderId="0" xfId="0" applyNumberFormat="1" applyFont="1"/>
    <xf numFmtId="9" fontId="14" fillId="0" borderId="1" xfId="0" applyNumberFormat="1" applyFont="1" applyBorder="1" applyAlignment="1">
      <alignment horizontal="center"/>
    </xf>
    <xf numFmtId="0" fontId="9" fillId="0" borderId="22" xfId="3" applyFont="1" applyBorder="1" applyAlignment="1">
      <alignment horizontal="left" vertical="center"/>
    </xf>
    <xf numFmtId="182" fontId="4" fillId="0" borderId="21" xfId="17" applyNumberFormat="1" applyFont="1" applyBorder="1" applyAlignment="1">
      <alignment horizontal="center" vertical="center"/>
    </xf>
    <xf numFmtId="182" fontId="4" fillId="0" borderId="22" xfId="17" applyNumberFormat="1" applyFont="1" applyBorder="1" applyAlignment="1">
      <alignment horizontal="center" vertical="center"/>
    </xf>
    <xf numFmtId="9" fontId="4" fillId="0" borderId="0" xfId="1" applyFont="1" applyFill="1"/>
    <xf numFmtId="9" fontId="86" fillId="0" borderId="0" xfId="1" applyFont="1" applyFill="1"/>
    <xf numFmtId="169" fontId="30" fillId="0" borderId="24" xfId="0" applyNumberFormat="1" applyFont="1" applyBorder="1"/>
    <xf numFmtId="169" fontId="48" fillId="0" borderId="8" xfId="0" applyNumberFormat="1" applyFont="1" applyBorder="1"/>
    <xf numFmtId="0" fontId="87" fillId="0" borderId="0" xfId="0" applyFont="1"/>
    <xf numFmtId="169" fontId="79" fillId="0" borderId="8" xfId="0" applyNumberFormat="1" applyFont="1" applyBorder="1"/>
    <xf numFmtId="0" fontId="1" fillId="0" borderId="0" xfId="18"/>
    <xf numFmtId="9" fontId="1" fillId="0" borderId="0" xfId="18" applyNumberFormat="1"/>
    <xf numFmtId="10" fontId="1" fillId="0" borderId="0" xfId="18" applyNumberFormat="1"/>
    <xf numFmtId="0" fontId="88" fillId="0" borderId="1" xfId="18" applyFont="1" applyBorder="1" applyAlignment="1">
      <alignment horizontal="center"/>
    </xf>
    <xf numFmtId="0" fontId="88" fillId="0" borderId="0" xfId="18" applyFont="1" applyAlignment="1">
      <alignment horizontal="center"/>
    </xf>
    <xf numFmtId="0" fontId="89" fillId="0" borderId="2" xfId="18" applyFont="1" applyBorder="1" applyAlignment="1">
      <alignment horizontal="center" vertical="center" wrapText="1"/>
    </xf>
    <xf numFmtId="0" fontId="89" fillId="6" borderId="2" xfId="18" applyFont="1" applyFill="1" applyBorder="1" applyAlignment="1">
      <alignment horizontal="center" vertical="center" wrapText="1"/>
    </xf>
    <xf numFmtId="0" fontId="88" fillId="6" borderId="1" xfId="19" applyFont="1" applyFill="1" applyBorder="1" applyAlignment="1">
      <alignment horizontal="center"/>
    </xf>
    <xf numFmtId="0" fontId="1" fillId="0" borderId="16" xfId="18" applyBorder="1"/>
    <xf numFmtId="0" fontId="1" fillId="6" borderId="0" xfId="18" applyFill="1"/>
    <xf numFmtId="0" fontId="91" fillId="0" borderId="0" xfId="18" applyFont="1"/>
    <xf numFmtId="0" fontId="89" fillId="0" borderId="14" xfId="18" applyFont="1" applyBorder="1" applyAlignment="1">
      <alignment vertical="center"/>
    </xf>
    <xf numFmtId="0" fontId="89" fillId="0" borderId="0" xfId="18" applyFont="1" applyAlignment="1">
      <alignment vertical="center"/>
    </xf>
    <xf numFmtId="0" fontId="89" fillId="0" borderId="0" xfId="18" applyFont="1"/>
    <xf numFmtId="0" fontId="89" fillId="6" borderId="0" xfId="18" applyFont="1" applyFill="1"/>
    <xf numFmtId="0" fontId="91" fillId="0" borderId="14" xfId="18" applyFont="1" applyBorder="1" applyAlignment="1">
      <alignment vertical="center"/>
    </xf>
    <xf numFmtId="10" fontId="91" fillId="0" borderId="0" xfId="18" applyNumberFormat="1" applyFont="1" applyAlignment="1">
      <alignment vertical="center"/>
    </xf>
    <xf numFmtId="10" fontId="91" fillId="6" borderId="0" xfId="18" applyNumberFormat="1" applyFont="1" applyFill="1" applyAlignment="1">
      <alignment vertical="center"/>
    </xf>
    <xf numFmtId="9" fontId="91" fillId="6" borderId="0" xfId="18" applyNumberFormat="1" applyFont="1" applyFill="1" applyAlignment="1">
      <alignment vertical="center"/>
    </xf>
    <xf numFmtId="0" fontId="91" fillId="0" borderId="13" xfId="18" applyFont="1" applyBorder="1" applyAlignment="1">
      <alignment vertical="center" wrapText="1"/>
    </xf>
    <xf numFmtId="10" fontId="91" fillId="0" borderId="0" xfId="20" applyNumberFormat="1" applyFont="1" applyAlignment="1">
      <alignment vertical="center"/>
    </xf>
    <xf numFmtId="10" fontId="91" fillId="6" borderId="0" xfId="20" applyNumberFormat="1" applyFont="1" applyFill="1" applyAlignment="1">
      <alignment vertical="center"/>
    </xf>
    <xf numFmtId="0" fontId="91" fillId="0" borderId="0" xfId="18" applyFont="1" applyAlignment="1">
      <alignment vertical="center"/>
    </xf>
    <xf numFmtId="0" fontId="91" fillId="6" borderId="0" xfId="18" applyFont="1" applyFill="1" applyAlignment="1">
      <alignment vertical="center"/>
    </xf>
    <xf numFmtId="0" fontId="91" fillId="0" borderId="13" xfId="18" applyFont="1" applyBorder="1"/>
    <xf numFmtId="0" fontId="89" fillId="6" borderId="0" xfId="18" applyFont="1" applyFill="1" applyAlignment="1">
      <alignment vertical="center"/>
    </xf>
    <xf numFmtId="0" fontId="89" fillId="0" borderId="13" xfId="18" applyFont="1" applyBorder="1"/>
    <xf numFmtId="0" fontId="91" fillId="0" borderId="13" xfId="18" applyFont="1" applyBorder="1" applyAlignment="1">
      <alignment wrapText="1"/>
    </xf>
    <xf numFmtId="186" fontId="91" fillId="0" borderId="0" xfId="21" applyFont="1" applyAlignment="1">
      <alignment vertical="center"/>
    </xf>
    <xf numFmtId="186" fontId="91" fillId="6" borderId="0" xfId="21" applyFont="1" applyFill="1" applyAlignment="1">
      <alignment vertical="center"/>
    </xf>
    <xf numFmtId="186" fontId="91" fillId="0" borderId="0" xfId="18" applyNumberFormat="1" applyFont="1" applyAlignment="1">
      <alignment vertical="center"/>
    </xf>
    <xf numFmtId="186" fontId="91" fillId="6" borderId="0" xfId="18" applyNumberFormat="1" applyFont="1" applyFill="1" applyAlignment="1">
      <alignment vertical="center"/>
    </xf>
    <xf numFmtId="2" fontId="91" fillId="0" borderId="0" xfId="18" applyNumberFormat="1" applyFont="1" applyAlignment="1">
      <alignment vertical="center"/>
    </xf>
    <xf numFmtId="2" fontId="91" fillId="6" borderId="0" xfId="18" applyNumberFormat="1" applyFont="1" applyFill="1" applyAlignment="1">
      <alignment vertical="center"/>
    </xf>
    <xf numFmtId="186" fontId="1" fillId="0" borderId="0" xfId="18" applyNumberFormat="1"/>
    <xf numFmtId="0" fontId="93" fillId="0" borderId="0" xfId="0" applyFont="1"/>
    <xf numFmtId="0" fontId="94" fillId="0" borderId="0" xfId="0" applyFont="1"/>
    <xf numFmtId="0" fontId="95" fillId="0" borderId="0" xfId="0" applyFont="1"/>
    <xf numFmtId="10" fontId="91" fillId="0" borderId="0" xfId="20" applyNumberFormat="1" applyFont="1" applyFill="1" applyAlignment="1">
      <alignment vertical="center"/>
    </xf>
    <xf numFmtId="0" fontId="92" fillId="0" borderId="14" xfId="18" applyFont="1" applyBorder="1" applyAlignment="1">
      <alignment vertical="center"/>
    </xf>
    <xf numFmtId="9" fontId="4" fillId="0" borderId="0" xfId="1" applyFont="1"/>
    <xf numFmtId="169" fontId="4" fillId="0" borderId="0" xfId="1" applyNumberFormat="1" applyFont="1"/>
    <xf numFmtId="9" fontId="14" fillId="0" borderId="8" xfId="0" applyNumberFormat="1" applyFont="1" applyBorder="1"/>
    <xf numFmtId="169" fontId="14" fillId="0" borderId="10" xfId="4" applyNumberFormat="1" applyFont="1" applyBorder="1" applyAlignment="1">
      <alignment horizontal="right"/>
    </xf>
    <xf numFmtId="0" fontId="96" fillId="0" borderId="0" xfId="0" applyFont="1" applyAlignment="1">
      <alignment horizontal="justify" vertical="center" wrapText="1"/>
    </xf>
    <xf numFmtId="10" fontId="96" fillId="0" borderId="0" xfId="0" applyNumberFormat="1" applyFont="1" applyAlignment="1">
      <alignment horizontal="center" vertical="center" wrapText="1"/>
    </xf>
    <xf numFmtId="0" fontId="96" fillId="0" borderId="0" xfId="0" applyFont="1" applyAlignment="1">
      <alignment vertical="center" wrapText="1"/>
    </xf>
    <xf numFmtId="0" fontId="97" fillId="0" borderId="0" xfId="0" applyFont="1"/>
    <xf numFmtId="191" fontId="26" fillId="0" borderId="0" xfId="0" applyNumberFormat="1" applyFont="1"/>
    <xf numFmtId="192" fontId="26" fillId="0" borderId="0" xfId="0" applyNumberFormat="1" applyFont="1"/>
    <xf numFmtId="0" fontId="4" fillId="0" borderId="17" xfId="3" applyFont="1" applyBorder="1" applyAlignment="1">
      <alignment horizontal="left" vertical="center"/>
    </xf>
    <xf numFmtId="0" fontId="4" fillId="0" borderId="18" xfId="3" applyFont="1" applyBorder="1" applyAlignment="1">
      <alignment horizontal="left" vertical="center"/>
    </xf>
    <xf numFmtId="0" fontId="4" fillId="0" borderId="19" xfId="3" applyFont="1" applyBorder="1" applyAlignment="1">
      <alignment horizontal="left" vertical="center"/>
    </xf>
    <xf numFmtId="0" fontId="82" fillId="0" borderId="13" xfId="2" applyFont="1" applyFill="1" applyBorder="1"/>
    <xf numFmtId="0" fontId="9" fillId="0" borderId="13" xfId="3" applyFont="1" applyBorder="1" applyAlignment="1">
      <alignment horizontal="left"/>
    </xf>
    <xf numFmtId="0" fontId="4" fillId="0" borderId="13" xfId="3" applyFont="1" applyBorder="1" applyAlignment="1">
      <alignment horizontal="left"/>
    </xf>
    <xf numFmtId="0" fontId="4" fillId="0" borderId="17" xfId="3" applyFont="1" applyBorder="1" applyAlignment="1">
      <alignment horizontal="left" vertical="center" wrapText="1"/>
    </xf>
    <xf numFmtId="0" fontId="4" fillId="0" borderId="18" xfId="3" applyFont="1" applyBorder="1" applyAlignment="1">
      <alignment horizontal="left" vertical="center" wrapText="1"/>
    </xf>
    <xf numFmtId="0" fontId="4" fillId="0" borderId="19" xfId="3" applyFont="1" applyBorder="1" applyAlignment="1">
      <alignment horizontal="left" vertical="center" wrapText="1"/>
    </xf>
    <xf numFmtId="1" fontId="4" fillId="0" borderId="17" xfId="3" applyNumberFormat="1" applyFont="1" applyBorder="1" applyAlignment="1">
      <alignment horizontal="center"/>
    </xf>
    <xf numFmtId="1" fontId="4" fillId="0" borderId="18" xfId="3" applyNumberFormat="1" applyFont="1" applyBorder="1" applyAlignment="1">
      <alignment horizontal="center"/>
    </xf>
    <xf numFmtId="1" fontId="4" fillId="0" borderId="19" xfId="3" applyNumberFormat="1" applyFont="1" applyBorder="1" applyAlignment="1">
      <alignment horizontal="center"/>
    </xf>
    <xf numFmtId="0" fontId="13" fillId="8" borderId="1" xfId="0" applyFont="1" applyFill="1" applyBorder="1" applyAlignment="1">
      <alignment horizontal="center"/>
    </xf>
    <xf numFmtId="0" fontId="13" fillId="8" borderId="0" xfId="0" applyFont="1" applyFill="1" applyAlignment="1">
      <alignment horizontal="center"/>
    </xf>
    <xf numFmtId="0" fontId="4" fillId="0" borderId="23" xfId="3" applyFont="1" applyBorder="1" applyAlignment="1">
      <alignment horizontal="center" vertical="center"/>
    </xf>
    <xf numFmtId="0" fontId="4" fillId="0" borderId="21" xfId="3" applyFont="1" applyBorder="1" applyAlignment="1">
      <alignment horizontal="center" vertical="center"/>
    </xf>
    <xf numFmtId="0" fontId="4" fillId="0" borderId="22" xfId="3" applyFont="1" applyBorder="1" applyAlignment="1">
      <alignment horizontal="center" vertical="center"/>
    </xf>
    <xf numFmtId="0" fontId="4" fillId="0" borderId="6" xfId="3" applyFont="1" applyBorder="1" applyAlignment="1">
      <alignment vertical="center" wrapText="1"/>
    </xf>
    <xf numFmtId="0" fontId="4" fillId="0" borderId="2" xfId="3" applyFont="1" applyBorder="1" applyAlignment="1">
      <alignment vertical="center" wrapText="1"/>
    </xf>
    <xf numFmtId="0" fontId="4" fillId="0" borderId="16" xfId="3" applyFont="1" applyBorder="1" applyAlignment="1">
      <alignment vertical="center" wrapText="1"/>
    </xf>
    <xf numFmtId="0" fontId="4" fillId="0" borderId="17" xfId="3" applyFont="1" applyBorder="1" applyAlignment="1">
      <alignment vertical="center" wrapText="1"/>
    </xf>
    <xf numFmtId="0" fontId="4" fillId="0" borderId="18" xfId="3" applyFont="1" applyBorder="1" applyAlignment="1">
      <alignment vertical="center" wrapText="1"/>
    </xf>
    <xf numFmtId="0" fontId="4" fillId="0" borderId="19" xfId="3" applyFont="1" applyBorder="1" applyAlignment="1">
      <alignment vertical="center" wrapText="1"/>
    </xf>
    <xf numFmtId="0" fontId="4" fillId="0" borderId="23" xfId="3" applyFont="1" applyBorder="1" applyAlignment="1">
      <alignment horizontal="center" vertical="center" wrapText="1"/>
    </xf>
    <xf numFmtId="0" fontId="4" fillId="0" borderId="21" xfId="3" applyFont="1" applyBorder="1" applyAlignment="1">
      <alignment horizontal="center" vertical="center" wrapText="1"/>
    </xf>
    <xf numFmtId="0" fontId="4" fillId="0" borderId="22" xfId="3" applyFont="1" applyBorder="1" applyAlignment="1">
      <alignment horizontal="center" vertical="center" wrapText="1"/>
    </xf>
    <xf numFmtId="0" fontId="7" fillId="0" borderId="17" xfId="3" applyFont="1" applyBorder="1" applyAlignment="1">
      <alignment horizontal="left" vertical="center" wrapText="1"/>
    </xf>
    <xf numFmtId="0" fontId="7" fillId="0" borderId="18" xfId="3" applyFont="1" applyBorder="1" applyAlignment="1">
      <alignment horizontal="left" vertical="center" wrapText="1"/>
    </xf>
    <xf numFmtId="0" fontId="7" fillId="0" borderId="19" xfId="3" applyFont="1" applyBorder="1" applyAlignment="1">
      <alignment horizontal="left" vertical="center" wrapText="1"/>
    </xf>
    <xf numFmtId="0" fontId="9" fillId="0" borderId="0" xfId="0" applyFont="1" applyAlignment="1">
      <alignment horizontal="center" vertical="center" textRotation="180"/>
    </xf>
    <xf numFmtId="0" fontId="14" fillId="0" borderId="0" xfId="0" applyFont="1" applyAlignment="1">
      <alignment horizontal="left" wrapText="1"/>
    </xf>
    <xf numFmtId="0" fontId="14" fillId="0" borderId="1" xfId="0" applyFont="1" applyBorder="1" applyAlignment="1">
      <alignment horizontal="left" wrapText="1"/>
    </xf>
    <xf numFmtId="0" fontId="88" fillId="0" borderId="1" xfId="18" applyFont="1" applyBorder="1" applyAlignment="1">
      <alignment horizontal="center"/>
    </xf>
    <xf numFmtId="0" fontId="13" fillId="8" borderId="0" xfId="0" applyFont="1" applyFill="1" applyAlignment="1">
      <alignment horizontal="center" wrapText="1"/>
    </xf>
    <xf numFmtId="0" fontId="40" fillId="8" borderId="0" xfId="0" applyFont="1" applyFill="1" applyAlignment="1">
      <alignment horizontal="left" vertical="center" wrapText="1"/>
    </xf>
    <xf numFmtId="0" fontId="89" fillId="0" borderId="14" xfId="18" applyFont="1" applyBorder="1" applyAlignment="1">
      <alignment horizontal="center" vertical="center" wrapText="1"/>
    </xf>
    <xf numFmtId="0" fontId="89" fillId="0" borderId="15" xfId="18" applyFont="1" applyBorder="1" applyAlignment="1">
      <alignment horizontal="center" vertical="center" wrapText="1"/>
    </xf>
    <xf numFmtId="0" fontId="90" fillId="6" borderId="0" xfId="19" applyFont="1" applyFill="1" applyBorder="1" applyAlignment="1">
      <alignment horizontal="center" vertical="center"/>
    </xf>
    <xf numFmtId="0" fontId="90" fillId="6" borderId="1" xfId="19" applyFont="1" applyFill="1" applyBorder="1" applyAlignment="1">
      <alignment horizontal="center" vertical="center"/>
    </xf>
  </cellXfs>
  <cellStyles count="22">
    <cellStyle name="20% - Accent1 2" xfId="15" xr:uid="{DF32A096-CDCC-D945-B930-DC871CD0C4DA}"/>
    <cellStyle name="20% - Accent1 2 2" xfId="19" xr:uid="{1E7DB4AA-EE12-4B4E-AF54-320B4E752168}"/>
    <cellStyle name="Comma 2" xfId="17" xr:uid="{1FEA4A17-57D6-EF4A-A483-A3002664927E}"/>
    <cellStyle name="Comma 2 2" xfId="21" xr:uid="{9E739624-287D-844A-BF89-8C92111CD5EE}"/>
    <cellStyle name="Comma 4" xfId="5" xr:uid="{C492DC2A-D107-754C-AA4C-FFB4C6D99EFB}"/>
    <cellStyle name="Comma 5" xfId="8" xr:uid="{039A7796-B73E-0842-884C-D6AF290E6858}"/>
    <cellStyle name="Hyperlink" xfId="2" builtinId="8"/>
    <cellStyle name="Hyperlink 2" xfId="13" xr:uid="{A0D098D7-71AC-764E-BBC4-C397A9927DA3}"/>
    <cellStyle name="Hyperlink 3" xfId="14" xr:uid="{E8B947BF-A962-304F-8351-EB4AB5EA37CE}"/>
    <cellStyle name="Normal" xfId="0" builtinId="0"/>
    <cellStyle name="Normal 2" xfId="11" xr:uid="{A1E6BC86-9C2B-9741-BF52-D681912FF829}"/>
    <cellStyle name="Normal 2 2" xfId="3" xr:uid="{E6E60B80-7801-3C4E-8174-38F4E6BEB8BA}"/>
    <cellStyle name="Normal 2 2 2" xfId="10" xr:uid="{7608C65D-301A-5947-A1A8-97F63B9EE792}"/>
    <cellStyle name="Normal 2 2 3" xfId="18" xr:uid="{972C4DA1-A19A-454A-A57F-D17E5260E738}"/>
    <cellStyle name="Normal 2 3" xfId="7" xr:uid="{29BCA058-3B85-954A-9732-A5407126AC51}"/>
    <cellStyle name="Normal 5 2" xfId="4" xr:uid="{0F55F20D-F42D-FE40-878E-20EAC774FA98}"/>
    <cellStyle name="Normal 6" xfId="6" xr:uid="{166D3A2A-67DB-C84E-9881-49F0061FF018}"/>
    <cellStyle name="Normal 8" xfId="12" xr:uid="{8F4FF14B-AED5-354F-A824-1C08C3440066}"/>
    <cellStyle name="Per cent" xfId="1" builtinId="5"/>
    <cellStyle name="Per cent 2" xfId="16" xr:uid="{503DFE73-5BFA-4B4F-A34A-DF51C699DE4B}"/>
    <cellStyle name="Per cent 2 2" xfId="20" xr:uid="{84626C2F-672C-E144-949E-42A42ACA0461}"/>
    <cellStyle name="Percent 5" xfId="9" xr:uid="{BC36341E-9623-984F-9DBA-87BCE9CB58B8}"/>
  </cellStyles>
  <dxfs count="0"/>
  <tableStyles count="0" defaultTableStyle="TableStyleMedium2" defaultPivotStyle="PivotStyleLight16"/>
  <colors>
    <mruColors>
      <color rgb="FFFF2F92"/>
      <color rgb="FFFFFF72"/>
      <color rgb="FFFF267E"/>
      <color rgb="FFFF2600"/>
      <color rgb="FF941651"/>
      <color rgb="FF0432FF"/>
      <color rgb="FF000A42"/>
      <color rgb="FF011893"/>
      <color rgb="FF941100"/>
      <color rgb="FF942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r>
              <a:rPr lang="en-US" sz="1600" b="1" u="none">
                <a:solidFill>
                  <a:srgbClr val="FF0000"/>
                </a:solidFill>
              </a:rPr>
              <a:t>Valuation Summary</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endParaRPr lang="en-US"/>
        </a:p>
      </c:txPr>
    </c:title>
    <c:autoTitleDeleted val="0"/>
    <c:plotArea>
      <c:layout/>
      <c:stockChart>
        <c:ser>
          <c:idx val="0"/>
          <c:order val="0"/>
          <c:tx>
            <c:strRef>
              <c:f>Summary!$H$6</c:f>
              <c:strCache>
                <c:ptCount val="1"/>
                <c:pt idx="0">
                  <c:v>Comps</c:v>
                </c:pt>
              </c:strCache>
            </c:strRef>
          </c:tx>
          <c:spPr>
            <a:ln w="38100" cap="rnd">
              <a:noFill/>
              <a:round/>
            </a:ln>
            <a:effectLst/>
          </c:spPr>
          <c:marker>
            <c:symbol val="none"/>
          </c:marker>
          <c:val>
            <c:numRef>
              <c:f>Summary!$H$7:$K$7</c:f>
              <c:numCache>
                <c:formatCode>#,##0</c:formatCode>
                <c:ptCount val="4"/>
                <c:pt idx="0">
                  <c:v>24522.976354548318</c:v>
                </c:pt>
                <c:pt idx="1">
                  <c:v>43510.82</c:v>
                </c:pt>
                <c:pt idx="2">
                  <c:v>31029.65</c:v>
                </c:pt>
                <c:pt idx="3">
                  <c:v>35330</c:v>
                </c:pt>
              </c:numCache>
            </c:numRef>
          </c:val>
          <c:smooth val="0"/>
          <c:extLst>
            <c:ext xmlns:c16="http://schemas.microsoft.com/office/drawing/2014/chart" uri="{C3380CC4-5D6E-409C-BE32-E72D297353CC}">
              <c16:uniqueId val="{00000000-6FFA-8E4F-89EF-F91B39EB581F}"/>
            </c:ext>
          </c:extLst>
        </c:ser>
        <c:ser>
          <c:idx val="1"/>
          <c:order val="1"/>
          <c:tx>
            <c:strRef>
              <c:f>Summary!$I$6</c:f>
              <c:strCache>
                <c:ptCount val="1"/>
                <c:pt idx="0">
                  <c:v>DCF</c:v>
                </c:pt>
              </c:strCache>
            </c:strRef>
          </c:tx>
          <c:spPr>
            <a:ln w="38100" cap="rnd">
              <a:noFill/>
              <a:round/>
            </a:ln>
            <a:effectLst/>
          </c:spPr>
          <c:marker>
            <c:symbol val="none"/>
          </c:marker>
          <c:val>
            <c:numRef>
              <c:f>Summary!$H$8:$K$8</c:f>
              <c:numCache>
                <c:formatCode>#,##0</c:formatCode>
                <c:ptCount val="4"/>
                <c:pt idx="0">
                  <c:v>24522.976354548318</c:v>
                </c:pt>
                <c:pt idx="1">
                  <c:v>43510.82</c:v>
                </c:pt>
                <c:pt idx="2">
                  <c:v>31029.65</c:v>
                </c:pt>
                <c:pt idx="3">
                  <c:v>35330</c:v>
                </c:pt>
              </c:numCache>
            </c:numRef>
          </c:val>
          <c:smooth val="0"/>
          <c:extLst>
            <c:ext xmlns:c16="http://schemas.microsoft.com/office/drawing/2014/chart" uri="{C3380CC4-5D6E-409C-BE32-E72D297353CC}">
              <c16:uniqueId val="{00000001-6FFA-8E4F-89EF-F91B39EB581F}"/>
            </c:ext>
          </c:extLst>
        </c:ser>
        <c:ser>
          <c:idx val="2"/>
          <c:order val="2"/>
          <c:tx>
            <c:strRef>
              <c:f>Summary!$J$6</c:f>
              <c:strCache>
                <c:ptCount val="1"/>
                <c:pt idx="0">
                  <c:v>52-week hi/lo</c:v>
                </c:pt>
              </c:strCache>
            </c:strRef>
          </c:tx>
          <c:spPr>
            <a:ln w="38100" cap="rnd">
              <a:noFill/>
              <a:round/>
            </a:ln>
            <a:effectLst/>
          </c:spPr>
          <c:marker>
            <c:symbol val="none"/>
          </c:marker>
          <c:val>
            <c:numRef>
              <c:f>Summary!$H$9:$K$9</c:f>
              <c:numCache>
                <c:formatCode>#,##0</c:formatCode>
                <c:ptCount val="4"/>
                <c:pt idx="0">
                  <c:v>16497.947582255638</c:v>
                </c:pt>
                <c:pt idx="1">
                  <c:v>17727.45</c:v>
                </c:pt>
                <c:pt idx="2">
                  <c:v>25072.65</c:v>
                </c:pt>
                <c:pt idx="3">
                  <c:v>29152</c:v>
                </c:pt>
              </c:numCache>
            </c:numRef>
          </c:val>
          <c:smooth val="0"/>
          <c:extLst>
            <c:ext xmlns:c16="http://schemas.microsoft.com/office/drawing/2014/chart" uri="{C3380CC4-5D6E-409C-BE32-E72D297353CC}">
              <c16:uniqueId val="{00000002-6FFA-8E4F-89EF-F91B39EB581F}"/>
            </c:ext>
          </c:extLst>
        </c:ser>
        <c:ser>
          <c:idx val="3"/>
          <c:order val="3"/>
          <c:tx>
            <c:strRef>
              <c:f>Summary!$K$5:$K$6</c:f>
              <c:strCache>
                <c:ptCount val="1"/>
                <c:pt idx="0">
                  <c:v>Market Consensus</c:v>
                </c:pt>
              </c:strCache>
            </c:strRef>
          </c:tx>
          <c:spPr>
            <a:ln w="38100" cap="rnd">
              <a:noFill/>
              <a:round/>
            </a:ln>
            <a:effectLst/>
          </c:spPr>
          <c:marker>
            <c:symbol val="none"/>
          </c:marker>
          <c:val>
            <c:numRef>
              <c:f>Summary!$H$10:$K$10</c:f>
              <c:numCache>
                <c:formatCode>#,##0</c:formatCode>
                <c:ptCount val="4"/>
                <c:pt idx="0">
                  <c:v>16497.947582255638</c:v>
                </c:pt>
                <c:pt idx="1">
                  <c:v>17727.45</c:v>
                </c:pt>
                <c:pt idx="2">
                  <c:v>25072.65</c:v>
                </c:pt>
                <c:pt idx="3">
                  <c:v>29152</c:v>
                </c:pt>
              </c:numCache>
            </c:numRef>
          </c:val>
          <c:smooth val="0"/>
          <c:extLst>
            <c:ext xmlns:c16="http://schemas.microsoft.com/office/drawing/2014/chart" uri="{C3380CC4-5D6E-409C-BE32-E72D297353CC}">
              <c16:uniqueId val="{00000003-6FFA-8E4F-89EF-F91B39EB581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rgbClr val="000A42"/>
              </a:solidFill>
              <a:ln w="9525" cap="flat" cmpd="sng" algn="ctr">
                <a:noFill/>
                <a:round/>
              </a:ln>
              <a:effectLst/>
            </c:spPr>
          </c:downBars>
        </c:upDownBars>
        <c:axId val="1720623104"/>
        <c:axId val="1720697856"/>
      </c:stockChart>
      <c:catAx>
        <c:axId val="1720623104"/>
        <c:scaling>
          <c:orientation val="minMax"/>
        </c:scaling>
        <c:delete val="1"/>
        <c:axPos val="b"/>
        <c:majorTickMark val="none"/>
        <c:minorTickMark val="none"/>
        <c:tickLblPos val="nextTo"/>
        <c:crossAx val="1720697856"/>
        <c:crosses val="autoZero"/>
        <c:auto val="1"/>
        <c:lblAlgn val="ctr"/>
        <c:lblOffset val="100"/>
        <c:noMultiLvlLbl val="0"/>
      </c:catAx>
      <c:valAx>
        <c:axId val="1720697856"/>
        <c:scaling>
          <c:orientation val="minMax"/>
          <c:max val="44000"/>
          <c:min val="1700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23104"/>
        <c:crosses val="autoZero"/>
        <c:crossBetween val="between"/>
        <c:majorUnit val="3000"/>
        <c:minorUnit val="2000"/>
      </c:valAx>
      <c:spPr>
        <a:noFill/>
        <a:ln>
          <a:noFill/>
        </a:ln>
        <a:effectLst/>
      </c:spPr>
    </c:plotArea>
    <c:legend>
      <c:legendPos val="b"/>
      <c:layout>
        <c:manualLayout>
          <c:xMode val="edge"/>
          <c:yMode val="edge"/>
          <c:x val="0"/>
          <c:y val="0.91990504863362665"/>
          <c:w val="1"/>
          <c:h val="5.908654800502878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1724337</xdr:colOff>
      <xdr:row>0</xdr:row>
      <xdr:rowOff>45683</xdr:rowOff>
    </xdr:from>
    <xdr:to>
      <xdr:col>7</xdr:col>
      <xdr:colOff>2550294</xdr:colOff>
      <xdr:row>6</xdr:row>
      <xdr:rowOff>7454</xdr:rowOff>
    </xdr:to>
    <xdr:pic>
      <xdr:nvPicPr>
        <xdr:cNvPr id="5" name="Picture 4">
          <a:extLst>
            <a:ext uri="{FF2B5EF4-FFF2-40B4-BE49-F238E27FC236}">
              <a16:creationId xmlns:a16="http://schemas.microsoft.com/office/drawing/2014/main" id="{8704E03A-D7D7-9821-8E6B-C17730E51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09013" y="45683"/>
          <a:ext cx="3667468" cy="1350548"/>
        </a:xfrm>
        <a:prstGeom prst="rect">
          <a:avLst/>
        </a:prstGeom>
        <a:ln w="127000" cap="rnd">
          <a:solidFill>
            <a:srgbClr val="FFFFFF"/>
          </a:solidFill>
        </a:ln>
        <a:effectLst>
          <a:outerShdw blurRad="76200" dist="95250" dir="10500000" sx="97000" sy="23000" kx="900000" algn="br" rotWithShape="0">
            <a:srgbClr val="000000">
              <a:alpha val="20000"/>
            </a:srgbClr>
          </a:outerShdw>
          <a:reflection blurRad="6350" stA="50000" endA="300" endPos="55000" dir="5400000" sy="-100000" algn="bl" rotWithShape="0"/>
        </a:effectLst>
        <a:scene3d>
          <a:camera prst="orthographicFront"/>
          <a:lightRig rig="twoPt" dir="t">
            <a:rot lat="0" lon="0" rev="7800000"/>
          </a:lightRig>
        </a:scene3d>
        <a:sp3d contourW="6350">
          <a:bevelT w="50800" h="16510"/>
          <a:contourClr>
            <a:srgbClr val="C0C0C0"/>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149411</xdr:colOff>
      <xdr:row>3</xdr:row>
      <xdr:rowOff>149411</xdr:rowOff>
    </xdr:from>
    <xdr:to>
      <xdr:col>21</xdr:col>
      <xdr:colOff>74705</xdr:colOff>
      <xdr:row>29</xdr:row>
      <xdr:rowOff>149412</xdr:rowOff>
    </xdr:to>
    <xdr:pic>
      <xdr:nvPicPr>
        <xdr:cNvPr id="3" name="Picture 2">
          <a:extLst>
            <a:ext uri="{FF2B5EF4-FFF2-40B4-BE49-F238E27FC236}">
              <a16:creationId xmlns:a16="http://schemas.microsoft.com/office/drawing/2014/main" id="{DD4E074E-8F80-3C0E-DD09-C3AD8E2E36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05587" y="1139264"/>
          <a:ext cx="10738971" cy="66488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50800</xdr:colOff>
      <xdr:row>12</xdr:row>
      <xdr:rowOff>71120</xdr:rowOff>
    </xdr:from>
    <xdr:to>
      <xdr:col>11</xdr:col>
      <xdr:colOff>812800</xdr:colOff>
      <xdr:row>29</xdr:row>
      <xdr:rowOff>152400</xdr:rowOff>
    </xdr:to>
    <xdr:graphicFrame macro="">
      <xdr:nvGraphicFramePr>
        <xdr:cNvPr id="2" name="Chart 1">
          <a:extLst>
            <a:ext uri="{FF2B5EF4-FFF2-40B4-BE49-F238E27FC236}">
              <a16:creationId xmlns:a16="http://schemas.microsoft.com/office/drawing/2014/main" id="{E2DE9A15-723E-9076-8192-DACD11F34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125352</xdr:colOff>
      <xdr:row>21</xdr:row>
      <xdr:rowOff>15240</xdr:rowOff>
    </xdr:from>
    <xdr:to>
      <xdr:col>11</xdr:col>
      <xdr:colOff>806072</xdr:colOff>
      <xdr:row>21</xdr:row>
      <xdr:rowOff>66040</xdr:rowOff>
    </xdr:to>
    <xdr:cxnSp macro="">
      <xdr:nvCxnSpPr>
        <xdr:cNvPr id="4" name="Straight Connector 3">
          <a:extLst>
            <a:ext uri="{FF2B5EF4-FFF2-40B4-BE49-F238E27FC236}">
              <a16:creationId xmlns:a16="http://schemas.microsoft.com/office/drawing/2014/main" id="{94C9AB85-55AB-6832-0AF6-7B4800123CC5}"/>
            </a:ext>
          </a:extLst>
        </xdr:cNvPr>
        <xdr:cNvCxnSpPr/>
      </xdr:nvCxnSpPr>
      <xdr:spPr>
        <a:xfrm flipV="1">
          <a:off x="404752" y="4502573"/>
          <a:ext cx="9663853" cy="50800"/>
        </a:xfrm>
        <a:prstGeom prst="line">
          <a:avLst/>
        </a:prstGeom>
        <a:ln w="19050" cap="flat" cmpd="sng" algn="ctr">
          <a:solidFill>
            <a:schemeClr val="accent5"/>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shreecemen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A545-E994-DC42-9CB5-932A02E622F1}">
  <dimension ref="A1:H25"/>
  <sheetViews>
    <sheetView showGridLines="0" tabSelected="1" zoomScale="140" workbookViewId="0">
      <selection activeCell="K11" sqref="K11"/>
    </sheetView>
  </sheetViews>
  <sheetFormatPr baseColWidth="10" defaultColWidth="9.1640625" defaultRowHeight="15"/>
  <cols>
    <col min="1" max="1" width="2.6640625" style="156" customWidth="1"/>
    <col min="2" max="2" width="6.1640625" style="156" customWidth="1"/>
    <col min="3" max="3" width="4.33203125" style="156" customWidth="1"/>
    <col min="4" max="5" width="9.1640625" style="156" customWidth="1"/>
    <col min="6" max="6" width="26.1640625" style="156" customWidth="1"/>
    <col min="7" max="7" width="11.1640625" style="156" customWidth="1"/>
    <col min="8" max="8" width="34.1640625" style="156" customWidth="1"/>
    <col min="9" max="16384" width="9.1640625" style="156"/>
  </cols>
  <sheetData>
    <row r="1" spans="1:8" ht="33">
      <c r="A1" s="258" t="str">
        <f>Historical!A1</f>
        <v>Shree Cement Limited</v>
      </c>
      <c r="B1" s="259"/>
      <c r="C1" s="259"/>
      <c r="D1" s="259"/>
      <c r="E1" s="259"/>
      <c r="F1" s="259"/>
      <c r="G1" s="259"/>
      <c r="H1" s="259"/>
    </row>
    <row r="2" spans="1:8">
      <c r="A2" s="260" t="s">
        <v>274</v>
      </c>
      <c r="B2" s="261"/>
      <c r="C2" s="259"/>
      <c r="D2" s="259"/>
      <c r="E2" s="259"/>
      <c r="F2" s="261"/>
      <c r="G2" s="261"/>
      <c r="H2" s="259"/>
    </row>
    <row r="3" spans="1:8">
      <c r="A3" s="157"/>
      <c r="B3" s="157"/>
      <c r="C3" s="157"/>
      <c r="D3" s="157"/>
      <c r="E3" s="157"/>
      <c r="F3" s="157"/>
      <c r="G3" s="157"/>
      <c r="H3" s="157"/>
    </row>
    <row r="4" spans="1:8" ht="16">
      <c r="B4" s="158" t="s">
        <v>275</v>
      </c>
      <c r="C4" s="159"/>
      <c r="D4" s="160"/>
      <c r="E4" s="160"/>
    </row>
    <row r="5" spans="1:8">
      <c r="A5" s="157"/>
      <c r="B5" s="161"/>
      <c r="C5" s="162" t="s">
        <v>276</v>
      </c>
      <c r="D5" s="157"/>
      <c r="E5" s="157"/>
      <c r="F5" s="157"/>
      <c r="G5" s="157"/>
      <c r="H5" s="157"/>
    </row>
    <row r="6" spans="1:8">
      <c r="A6" s="157"/>
      <c r="B6" s="161"/>
      <c r="C6" s="162" t="s">
        <v>147</v>
      </c>
      <c r="D6" s="157"/>
      <c r="E6" s="157"/>
      <c r="F6" s="157"/>
      <c r="G6" s="157"/>
      <c r="H6" s="157"/>
    </row>
    <row r="7" spans="1:8">
      <c r="A7" s="157"/>
      <c r="B7" s="161"/>
      <c r="C7" s="162" t="s">
        <v>194</v>
      </c>
      <c r="D7" s="157"/>
      <c r="E7" s="157"/>
      <c r="F7" s="157"/>
      <c r="G7" s="157"/>
      <c r="H7" s="157"/>
    </row>
    <row r="8" spans="1:8">
      <c r="A8" s="157"/>
      <c r="B8" s="161"/>
      <c r="C8" s="162" t="s">
        <v>337</v>
      </c>
      <c r="D8" s="157"/>
      <c r="E8" s="157"/>
      <c r="F8" s="157"/>
      <c r="G8" s="157"/>
      <c r="H8" s="157"/>
    </row>
    <row r="9" spans="1:8">
      <c r="A9" s="157"/>
      <c r="B9" s="161"/>
      <c r="C9" s="162"/>
      <c r="D9" s="157"/>
      <c r="E9" s="157"/>
      <c r="F9" s="157"/>
      <c r="G9" s="157"/>
      <c r="H9" s="157"/>
    </row>
    <row r="10" spans="1:8" ht="16">
      <c r="B10" s="158" t="s">
        <v>277</v>
      </c>
      <c r="C10" s="163"/>
    </row>
    <row r="11" spans="1:8">
      <c r="A11" s="157"/>
      <c r="B11" s="164"/>
      <c r="C11" s="162" t="s">
        <v>76</v>
      </c>
      <c r="D11" s="157"/>
      <c r="E11" s="157"/>
      <c r="F11" s="157"/>
      <c r="G11" s="157"/>
      <c r="H11" s="129"/>
    </row>
    <row r="12" spans="1:8">
      <c r="A12" s="157"/>
      <c r="B12" s="164"/>
      <c r="C12" s="162" t="s">
        <v>91</v>
      </c>
      <c r="D12" s="157"/>
      <c r="E12" s="157"/>
      <c r="F12" s="157"/>
      <c r="G12" s="157"/>
      <c r="H12" s="129"/>
    </row>
    <row r="13" spans="1:8">
      <c r="A13" s="157"/>
      <c r="B13" s="164"/>
      <c r="C13" s="162" t="s">
        <v>114</v>
      </c>
      <c r="D13" s="157"/>
      <c r="E13" s="157"/>
      <c r="F13" s="157"/>
      <c r="G13" s="157"/>
      <c r="H13" s="129"/>
    </row>
    <row r="14" spans="1:8">
      <c r="A14" s="157"/>
      <c r="B14" s="161"/>
      <c r="C14" s="165" t="s">
        <v>134</v>
      </c>
      <c r="D14" s="157"/>
      <c r="E14" s="157"/>
      <c r="F14" s="157"/>
      <c r="G14" s="157"/>
      <c r="H14" s="129"/>
    </row>
    <row r="15" spans="1:8">
      <c r="A15" s="157"/>
      <c r="B15" s="161"/>
      <c r="C15" s="165" t="s">
        <v>136</v>
      </c>
      <c r="D15" s="157"/>
      <c r="E15" s="157"/>
      <c r="F15" s="157"/>
      <c r="G15" s="157"/>
      <c r="H15" s="129"/>
    </row>
    <row r="16" spans="1:8">
      <c r="A16" s="157"/>
      <c r="B16" s="161"/>
      <c r="C16" s="165" t="s">
        <v>278</v>
      </c>
      <c r="D16" s="157"/>
      <c r="E16" s="157"/>
      <c r="F16" s="157"/>
      <c r="G16" s="157"/>
      <c r="H16" s="129"/>
    </row>
    <row r="17" spans="1:8">
      <c r="A17" s="157"/>
      <c r="B17" s="161"/>
      <c r="C17" s="165" t="s">
        <v>248</v>
      </c>
      <c r="D17" s="157"/>
      <c r="E17" s="157"/>
      <c r="F17" s="157"/>
      <c r="G17" s="157"/>
      <c r="H17" s="129"/>
    </row>
    <row r="18" spans="1:8">
      <c r="A18" s="157"/>
      <c r="B18" s="161"/>
      <c r="C18" s="165" t="s">
        <v>233</v>
      </c>
      <c r="D18" s="157"/>
      <c r="E18" s="157"/>
      <c r="F18" s="157"/>
      <c r="G18" s="157"/>
      <c r="H18" s="129"/>
    </row>
    <row r="19" spans="1:8">
      <c r="A19" s="157"/>
      <c r="B19" s="166"/>
      <c r="C19" s="165" t="s">
        <v>187</v>
      </c>
      <c r="D19" s="157"/>
      <c r="E19" s="157"/>
      <c r="F19" s="157"/>
      <c r="G19" s="157"/>
      <c r="H19" s="129"/>
    </row>
    <row r="20" spans="1:8">
      <c r="A20" s="157"/>
      <c r="B20" s="166"/>
      <c r="C20" s="167"/>
      <c r="D20" s="157"/>
      <c r="E20" s="157"/>
      <c r="F20" s="157"/>
      <c r="G20" s="157"/>
      <c r="H20" s="157"/>
    </row>
    <row r="21" spans="1:8" ht="16">
      <c r="B21" s="158" t="s">
        <v>279</v>
      </c>
      <c r="C21" s="168"/>
    </row>
    <row r="22" spans="1:8">
      <c r="A22" s="157"/>
      <c r="B22" s="169"/>
      <c r="C22" s="162" t="s">
        <v>146</v>
      </c>
      <c r="D22" s="157"/>
      <c r="E22" s="157"/>
      <c r="F22" s="157"/>
      <c r="G22" s="157"/>
      <c r="H22" s="157"/>
    </row>
    <row r="23" spans="1:8">
      <c r="A23" s="157"/>
      <c r="B23" s="169"/>
      <c r="C23" s="162" t="s">
        <v>309</v>
      </c>
      <c r="D23" s="157"/>
      <c r="E23" s="157"/>
      <c r="F23" s="157"/>
      <c r="G23" s="157"/>
      <c r="H23" s="157"/>
    </row>
    <row r="24" spans="1:8">
      <c r="A24" s="157"/>
      <c r="B24" s="169"/>
      <c r="C24" s="162" t="s">
        <v>280</v>
      </c>
      <c r="D24" s="157"/>
      <c r="E24" s="157"/>
      <c r="F24" s="157"/>
      <c r="G24" s="157"/>
      <c r="H24" s="157"/>
    </row>
    <row r="25" spans="1:8">
      <c r="A25" s="157"/>
      <c r="B25" s="157"/>
      <c r="C25" s="162" t="s">
        <v>273</v>
      </c>
      <c r="D25" s="157"/>
      <c r="E25" s="157"/>
      <c r="F25" s="157"/>
      <c r="G25" s="157"/>
      <c r="H25" s="157"/>
    </row>
  </sheetData>
  <hyperlinks>
    <hyperlink ref="C25" location="Summary!A1" display="Valuation Summary" xr:uid="{A783315A-D9E3-2042-A2A5-83FF4B6F9820}"/>
    <hyperlink ref="C7" location="'Market Data'!A1" display="Market Data" xr:uid="{F848FE9E-708D-914C-A315-6C0A4606AD49}"/>
    <hyperlink ref="C8" location="Model!A5" display="Assumptions" xr:uid="{37C0A649-C018-2142-8D05-747A4F037246}"/>
    <hyperlink ref="C11" location="Model!A23" display="Income Statement" xr:uid="{D9476672-9552-BB45-86DA-C95174F3DE5F}"/>
    <hyperlink ref="C12" location="Model!A41" display="Balance Sheet" xr:uid="{4FFB7E12-55E0-7149-9BC3-FD37BBC3B338}"/>
    <hyperlink ref="C13" location="Model!A73" display="Cash Flow Statement" xr:uid="{0E19AC5D-3996-7B45-9F04-1017D7031BF4}"/>
    <hyperlink ref="C14" location="Model!C104" display="Working Capital" xr:uid="{0CA88F65-0657-DB41-B6C3-75542EF3F372}"/>
    <hyperlink ref="C15" location="Model!C110" display="Depreciation Schedule" xr:uid="{F7D6CB73-480B-F441-AE20-3402C2B0981C}"/>
    <hyperlink ref="C16" location="Model!C116" display="Debt Schedule" xr:uid="{04126F00-40C1-8D45-A8FE-4D382C0AD60B}"/>
    <hyperlink ref="C17" location="WACC!A1" display="WACC" xr:uid="{C3AE54B6-7C44-1146-829E-8465DBB5A081}"/>
    <hyperlink ref="C18" location="Beta!A1" display="Beta" xr:uid="{B5A977D5-A3B1-6344-BA79-7729AA4EE2C0}"/>
    <hyperlink ref="C22" location="Model!A123" display="DCF Model" xr:uid="{86519305-1393-C445-BABE-F14378004AC7}"/>
    <hyperlink ref="C19" location="Model!A166" display="Sensitivity Analysis" xr:uid="{49815456-97B6-134B-9AB0-3CAB29F2C8D6}"/>
    <hyperlink ref="C24" location="Comps!A1" display="Comparables Analysis" xr:uid="{7896CCB6-6B26-234F-9D1F-92DF56E31D8C}"/>
    <hyperlink ref="C6" location="Assumptions!B1" display="Assumptions" xr:uid="{763CC5B2-AA27-BC48-BAD5-8DC7DF7D0B26}"/>
    <hyperlink ref="C23" location="'Ratio Analysis'!A1" display="Ratio Analysis" xr:uid="{95114651-8992-1640-B2D1-4408C5CAD3FA}"/>
    <hyperlink ref="C5" location="Historical!A1" display="Historical Financial Statement" xr:uid="{7C9C2C51-50BE-F04D-9340-BB1CD1F251FE}"/>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687E6-A58F-E04A-92C3-6DD4656519E4}">
  <dimension ref="A1:AA176"/>
  <sheetViews>
    <sheetView showGridLines="0" topLeftCell="A150" zoomScale="75" zoomScaleNormal="214" workbookViewId="0">
      <selection activeCell="O54" sqref="O54"/>
    </sheetView>
  </sheetViews>
  <sheetFormatPr baseColWidth="10" defaultColWidth="13.83203125" defaultRowHeight="16"/>
  <cols>
    <col min="1" max="3" width="1.1640625" style="59" customWidth="1"/>
    <col min="4" max="4" width="71.33203125" style="59" bestFit="1" customWidth="1"/>
    <col min="5" max="6" width="13.83203125" style="59" customWidth="1"/>
    <col min="7" max="7" width="2.6640625" style="59" customWidth="1"/>
    <col min="8" max="16384" width="13.83203125" style="59"/>
  </cols>
  <sheetData>
    <row r="1" spans="1:17" ht="37" customHeight="1">
      <c r="A1" s="330" t="s">
        <v>352</v>
      </c>
      <c r="B1" s="303"/>
      <c r="C1" s="303"/>
      <c r="D1" s="303"/>
      <c r="E1" s="303"/>
      <c r="F1" s="303"/>
      <c r="G1" s="303"/>
      <c r="H1" s="303"/>
      <c r="I1" s="303"/>
      <c r="J1" s="303"/>
      <c r="K1" s="303"/>
      <c r="L1" s="303"/>
    </row>
    <row r="2" spans="1:17" ht="16" customHeight="1">
      <c r="A2" s="217" t="s">
        <v>9</v>
      </c>
      <c r="B2" s="303"/>
      <c r="C2" s="303"/>
      <c r="D2" s="303"/>
      <c r="E2" s="303"/>
      <c r="F2" s="303"/>
      <c r="G2" s="303"/>
      <c r="H2" s="303"/>
      <c r="I2" s="303"/>
      <c r="J2" s="303"/>
      <c r="K2" s="303"/>
      <c r="L2" s="304" t="s">
        <v>407</v>
      </c>
    </row>
    <row r="3" spans="1:17" s="12" customFormat="1" ht="16" customHeight="1">
      <c r="A3" s="12" t="s">
        <v>55</v>
      </c>
      <c r="L3" s="300"/>
    </row>
    <row r="4" spans="1:17" ht="16" customHeight="1">
      <c r="A4" s="294" t="s">
        <v>10</v>
      </c>
      <c r="B4" s="295"/>
      <c r="C4" s="295"/>
      <c r="D4" s="295"/>
      <c r="E4" s="295"/>
      <c r="F4" s="171"/>
      <c r="G4" s="171"/>
      <c r="H4" s="305">
        <v>2021</v>
      </c>
      <c r="I4" s="305">
        <v>2022</v>
      </c>
      <c r="J4" s="305">
        <v>2023</v>
      </c>
      <c r="K4" s="305">
        <v>2024</v>
      </c>
      <c r="L4" s="305">
        <f t="shared" ref="L4" si="0">K4+1</f>
        <v>2025</v>
      </c>
    </row>
    <row r="5" spans="1:17" ht="15" customHeight="1">
      <c r="C5" s="296" t="s">
        <v>4</v>
      </c>
      <c r="E5" s="296"/>
      <c r="F5" s="298"/>
      <c r="G5" s="298"/>
      <c r="H5" s="287"/>
      <c r="I5" s="287"/>
      <c r="J5" s="287"/>
      <c r="K5" s="287"/>
      <c r="L5" s="287"/>
      <c r="M5" s="292"/>
    </row>
    <row r="6" spans="1:17" ht="15" customHeight="1">
      <c r="D6" s="297" t="s">
        <v>397</v>
      </c>
      <c r="E6" s="297"/>
      <c r="F6" s="297"/>
      <c r="G6" s="297"/>
      <c r="H6" s="306">
        <v>13559.77</v>
      </c>
      <c r="I6" s="306">
        <v>15009.56</v>
      </c>
      <c r="J6" s="306">
        <v>17852.330000000002</v>
      </c>
      <c r="K6" s="306">
        <v>20403.8</v>
      </c>
      <c r="L6" s="306">
        <v>19282.830000000002</v>
      </c>
      <c r="M6" s="284"/>
      <c r="N6" s="284"/>
      <c r="O6" s="283"/>
      <c r="P6" s="283"/>
      <c r="Q6" s="283"/>
    </row>
    <row r="7" spans="1:17" ht="15" customHeight="1">
      <c r="D7" s="297" t="s">
        <v>11</v>
      </c>
      <c r="E7" s="297"/>
      <c r="F7" s="297"/>
      <c r="G7" s="297"/>
      <c r="H7" s="306">
        <v>438.26</v>
      </c>
      <c r="I7" s="306">
        <v>545.89</v>
      </c>
      <c r="J7" s="306">
        <v>459.08</v>
      </c>
      <c r="K7" s="306">
        <v>598.12</v>
      </c>
      <c r="L7" s="306">
        <v>589.22</v>
      </c>
      <c r="M7" s="285"/>
      <c r="N7" s="285"/>
    </row>
    <row r="8" spans="1:17" ht="15" customHeight="1">
      <c r="C8" s="298" t="s">
        <v>12</v>
      </c>
      <c r="D8" s="287"/>
      <c r="E8" s="298"/>
      <c r="F8" s="298"/>
      <c r="G8" s="298"/>
      <c r="H8" s="307">
        <f t="shared" ref="H8:L8" si="1">SUM(H6:H7)</f>
        <v>13998.03</v>
      </c>
      <c r="I8" s="307">
        <f t="shared" si="1"/>
        <v>15555.449999999999</v>
      </c>
      <c r="J8" s="307">
        <f t="shared" si="1"/>
        <v>18311.410000000003</v>
      </c>
      <c r="K8" s="307">
        <f t="shared" si="1"/>
        <v>21001.919999999998</v>
      </c>
      <c r="L8" s="307">
        <f t="shared" si="1"/>
        <v>19872.050000000003</v>
      </c>
      <c r="M8" s="289"/>
      <c r="N8" s="289"/>
      <c r="O8" s="286"/>
      <c r="P8" s="286"/>
      <c r="Q8" s="286"/>
    </row>
    <row r="9" spans="1:17" ht="15" customHeight="1">
      <c r="C9" s="296" t="s">
        <v>6</v>
      </c>
      <c r="E9" s="296"/>
      <c r="F9" s="296"/>
      <c r="G9" s="296"/>
      <c r="H9" s="308"/>
      <c r="I9" s="308"/>
      <c r="J9" s="308"/>
      <c r="K9" s="308"/>
      <c r="L9" s="308"/>
      <c r="M9" s="289"/>
      <c r="N9" s="289"/>
      <c r="O9" s="283"/>
      <c r="P9" s="283"/>
      <c r="Q9" s="283"/>
    </row>
    <row r="10" spans="1:17" ht="15" customHeight="1">
      <c r="D10" s="297" t="s">
        <v>13</v>
      </c>
      <c r="E10" s="297"/>
      <c r="F10" s="297"/>
      <c r="G10" s="297"/>
      <c r="H10" s="306">
        <v>976.37</v>
      </c>
      <c r="I10" s="306">
        <v>1129.8900000000001</v>
      </c>
      <c r="J10" s="306">
        <v>1417.72</v>
      </c>
      <c r="K10" s="306">
        <v>2014.99</v>
      </c>
      <c r="L10" s="306">
        <v>1940.1</v>
      </c>
      <c r="M10" s="285"/>
      <c r="N10" s="284"/>
      <c r="O10" s="283"/>
      <c r="P10" s="283"/>
      <c r="Q10" s="283"/>
    </row>
    <row r="11" spans="1:17" ht="15" customHeight="1">
      <c r="D11" s="297" t="s">
        <v>262</v>
      </c>
      <c r="E11" s="297"/>
      <c r="F11" s="297"/>
      <c r="G11" s="297"/>
      <c r="H11" s="306">
        <v>43.66</v>
      </c>
      <c r="I11" s="306">
        <v>87.51</v>
      </c>
      <c r="J11" s="306">
        <v>90.04</v>
      </c>
      <c r="K11" s="306">
        <v>10.18</v>
      </c>
      <c r="L11" s="306">
        <v>18.79</v>
      </c>
      <c r="M11" s="285"/>
      <c r="N11" s="285"/>
    </row>
    <row r="12" spans="1:17" ht="15" customHeight="1">
      <c r="D12" s="297" t="s">
        <v>263</v>
      </c>
      <c r="E12" s="297"/>
      <c r="F12" s="297"/>
      <c r="G12" s="297"/>
      <c r="H12" s="306">
        <v>49.6</v>
      </c>
      <c r="I12" s="306">
        <v>-179.21</v>
      </c>
      <c r="J12" s="306">
        <v>-75.319999999999993</v>
      </c>
      <c r="K12" s="306">
        <v>-87.81</v>
      </c>
      <c r="L12" s="306">
        <v>49.07</v>
      </c>
      <c r="M12" s="285"/>
      <c r="N12" s="285"/>
    </row>
    <row r="13" spans="1:17" ht="15" customHeight="1">
      <c r="D13" s="297" t="s">
        <v>264</v>
      </c>
      <c r="E13" s="297"/>
      <c r="F13" s="297"/>
      <c r="G13" s="297"/>
      <c r="H13" s="306">
        <v>869.22</v>
      </c>
      <c r="I13" s="306">
        <v>913.46</v>
      </c>
      <c r="J13" s="306">
        <v>977.77</v>
      </c>
      <c r="K13" s="306">
        <v>1064.43</v>
      </c>
      <c r="L13" s="306">
        <v>1147.83</v>
      </c>
      <c r="M13" s="285"/>
      <c r="N13" s="285"/>
      <c r="P13" s="283"/>
      <c r="Q13" s="283"/>
    </row>
    <row r="14" spans="1:17" ht="15" customHeight="1">
      <c r="D14" s="297" t="s">
        <v>400</v>
      </c>
      <c r="E14" s="297"/>
      <c r="F14" s="297"/>
      <c r="G14" s="297"/>
      <c r="H14" s="306">
        <v>2397.9</v>
      </c>
      <c r="I14" s="306">
        <v>3620.18</v>
      </c>
      <c r="J14" s="306">
        <v>6080.66</v>
      </c>
      <c r="K14" s="306">
        <v>6254.54</v>
      </c>
      <c r="L14" s="306">
        <v>5011.84</v>
      </c>
      <c r="M14" s="284"/>
      <c r="N14" s="284"/>
      <c r="O14" s="283"/>
      <c r="P14" s="283"/>
      <c r="Q14" s="283"/>
    </row>
    <row r="15" spans="1:17" ht="15" customHeight="1">
      <c r="D15" s="59" t="s">
        <v>401</v>
      </c>
      <c r="E15" s="297"/>
      <c r="F15" s="297"/>
      <c r="G15" s="297"/>
      <c r="H15" s="306"/>
      <c r="I15" s="306"/>
      <c r="J15" s="306"/>
      <c r="K15" s="306"/>
      <c r="L15" s="306"/>
      <c r="M15" s="284"/>
      <c r="N15" s="284"/>
      <c r="O15" s="283"/>
      <c r="P15" s="283"/>
      <c r="Q15" s="283"/>
    </row>
    <row r="16" spans="1:17" ht="15" customHeight="1">
      <c r="D16" s="428" t="s">
        <v>552</v>
      </c>
      <c r="E16" s="297"/>
      <c r="F16" s="297"/>
      <c r="G16" s="297"/>
      <c r="H16" s="306">
        <v>2294.31</v>
      </c>
      <c r="I16" s="306">
        <v>2469.0700000000002</v>
      </c>
      <c r="J16" s="306">
        <v>2782.46</v>
      </c>
      <c r="K16" s="306">
        <v>3238.1</v>
      </c>
      <c r="L16" s="306">
        <v>3412.37</v>
      </c>
      <c r="M16" s="284"/>
      <c r="N16" s="284"/>
      <c r="O16" s="283"/>
      <c r="P16" s="283"/>
      <c r="Q16" s="283"/>
    </row>
    <row r="17" spans="3:17" ht="15" customHeight="1">
      <c r="D17" s="428" t="s">
        <v>551</v>
      </c>
      <c r="E17" s="297"/>
      <c r="F17" s="297"/>
      <c r="G17" s="297"/>
      <c r="H17" s="306">
        <v>815.88</v>
      </c>
      <c r="I17" s="306">
        <v>829.89</v>
      </c>
      <c r="J17" s="306">
        <v>1001.17</v>
      </c>
      <c r="K17" s="306">
        <v>912.43</v>
      </c>
      <c r="L17" s="306">
        <v>972.39</v>
      </c>
      <c r="M17" s="284"/>
      <c r="N17" s="284"/>
      <c r="O17" s="283"/>
      <c r="P17" s="283"/>
      <c r="Q17" s="283"/>
    </row>
    <row r="18" spans="3:17" ht="15" customHeight="1">
      <c r="D18" s="297" t="s">
        <v>398</v>
      </c>
      <c r="E18" s="297"/>
      <c r="F18" s="297"/>
      <c r="G18" s="297"/>
      <c r="H18" s="306">
        <v>251.29</v>
      </c>
      <c r="I18" s="306">
        <v>216.12</v>
      </c>
      <c r="J18" s="306">
        <v>262.87</v>
      </c>
      <c r="K18" s="306">
        <v>258.33999999999997</v>
      </c>
      <c r="L18" s="306">
        <v>204.96</v>
      </c>
      <c r="M18" s="285"/>
      <c r="N18" s="285"/>
    </row>
    <row r="19" spans="3:17" ht="15" customHeight="1">
      <c r="D19" s="297" t="s">
        <v>399</v>
      </c>
      <c r="E19" s="297"/>
      <c r="F19" s="297"/>
      <c r="G19" s="297"/>
      <c r="H19" s="306">
        <v>1262.3399999999999</v>
      </c>
      <c r="I19" s="306">
        <v>1145.8800000000001</v>
      </c>
      <c r="J19" s="306">
        <v>1660.67</v>
      </c>
      <c r="K19" s="306">
        <v>1897.32</v>
      </c>
      <c r="L19" s="306">
        <v>3006.78</v>
      </c>
      <c r="M19" s="284"/>
      <c r="N19" s="284"/>
      <c r="O19" s="283"/>
      <c r="P19" s="283"/>
      <c r="Q19" s="283"/>
    </row>
    <row r="20" spans="3:17" ht="15" customHeight="1">
      <c r="D20" s="297" t="s">
        <v>402</v>
      </c>
      <c r="E20" s="297"/>
      <c r="F20" s="297"/>
      <c r="G20" s="297"/>
      <c r="H20" s="306">
        <v>2048.65</v>
      </c>
      <c r="I20" s="306">
        <v>2459.12</v>
      </c>
      <c r="J20" s="306">
        <v>2681.44</v>
      </c>
      <c r="K20" s="306">
        <v>2514.54</v>
      </c>
      <c r="L20" s="306">
        <v>2844.49</v>
      </c>
      <c r="M20" s="284"/>
      <c r="N20" s="284"/>
      <c r="O20" s="283"/>
      <c r="P20" s="283"/>
      <c r="Q20" s="283"/>
    </row>
    <row r="21" spans="3:17" ht="15" customHeight="1">
      <c r="D21" s="297" t="s">
        <v>403</v>
      </c>
      <c r="E21" s="297"/>
      <c r="F21" s="297"/>
      <c r="G21" s="297"/>
      <c r="H21" s="306">
        <v>-15.27</v>
      </c>
      <c r="I21" s="306">
        <v>-28.28</v>
      </c>
      <c r="J21" s="306">
        <v>-63.11</v>
      </c>
      <c r="K21" s="306">
        <v>-34.340000000000003</v>
      </c>
      <c r="L21" s="306">
        <v>-48.08</v>
      </c>
      <c r="M21" s="289"/>
      <c r="N21" s="289"/>
      <c r="O21" s="286"/>
      <c r="P21" s="286"/>
      <c r="Q21" s="286"/>
    </row>
    <row r="22" spans="3:17" ht="15" customHeight="1">
      <c r="C22" s="298" t="s">
        <v>14</v>
      </c>
      <c r="D22" s="287"/>
      <c r="E22" s="298"/>
      <c r="F22" s="298"/>
      <c r="G22" s="298"/>
      <c r="H22" s="307">
        <f>SUM(H10:H21)</f>
        <v>10993.949999999999</v>
      </c>
      <c r="I22" s="307">
        <f>SUM(I10:I21)</f>
        <v>12663.63</v>
      </c>
      <c r="J22" s="307">
        <f>SUM(J10:J21)</f>
        <v>16816.37</v>
      </c>
      <c r="K22" s="307">
        <f>SUM(K10:K21)</f>
        <v>18042.72</v>
      </c>
      <c r="L22" s="307">
        <f>SUM(L10:L21)</f>
        <v>18560.539999999997</v>
      </c>
      <c r="M22" s="285"/>
      <c r="N22" s="285"/>
    </row>
    <row r="23" spans="3:17" ht="15" customHeight="1">
      <c r="C23" s="296" t="s">
        <v>15</v>
      </c>
      <c r="E23" s="296"/>
      <c r="F23" s="296"/>
      <c r="G23" s="296"/>
      <c r="H23" s="309">
        <f t="shared" ref="H23:L23" si="2">H8-H22</f>
        <v>3004.0800000000017</v>
      </c>
      <c r="I23" s="309">
        <f t="shared" si="2"/>
        <v>2891.8199999999997</v>
      </c>
      <c r="J23" s="309">
        <f t="shared" si="2"/>
        <v>1495.0400000000045</v>
      </c>
      <c r="K23" s="309">
        <f t="shared" si="2"/>
        <v>2959.1999999999971</v>
      </c>
      <c r="L23" s="309">
        <f t="shared" si="2"/>
        <v>1311.5100000000057</v>
      </c>
      <c r="M23" s="285"/>
      <c r="N23" s="285"/>
    </row>
    <row r="24" spans="3:17" ht="15" customHeight="1">
      <c r="D24" s="296" t="s">
        <v>16</v>
      </c>
      <c r="E24" s="296"/>
      <c r="F24" s="296"/>
      <c r="G24" s="296"/>
      <c r="H24" s="308"/>
      <c r="I24" s="308"/>
      <c r="J24" s="308"/>
      <c r="K24" s="308"/>
      <c r="L24" s="308"/>
      <c r="M24" s="285"/>
      <c r="N24" s="285"/>
    </row>
    <row r="25" spans="3:17" ht="15" customHeight="1">
      <c r="D25" s="297" t="s">
        <v>17</v>
      </c>
      <c r="E25" s="297"/>
      <c r="F25" s="297"/>
      <c r="G25" s="297"/>
      <c r="H25" s="306">
        <v>765.27</v>
      </c>
      <c r="I25" s="306">
        <v>547.92999999999995</v>
      </c>
      <c r="J25" s="306">
        <v>252.25</v>
      </c>
      <c r="K25" s="306">
        <v>511.94</v>
      </c>
      <c r="L25" s="306">
        <v>336.21</v>
      </c>
      <c r="M25" s="285"/>
      <c r="N25" s="285"/>
    </row>
    <row r="26" spans="3:17" ht="15" customHeight="1">
      <c r="D26" s="297" t="s">
        <v>405</v>
      </c>
      <c r="E26" s="297"/>
      <c r="F26" s="297"/>
      <c r="G26" s="297"/>
      <c r="H26" s="306">
        <v>-10.27</v>
      </c>
      <c r="I26" s="306">
        <v>-104.53</v>
      </c>
      <c r="J26" s="306">
        <v>-154.31</v>
      </c>
      <c r="K26" s="306">
        <v>0</v>
      </c>
      <c r="L26" s="306">
        <v>-0.06</v>
      </c>
      <c r="M26" s="293"/>
      <c r="N26" s="293"/>
      <c r="O26" s="12"/>
      <c r="P26" s="12"/>
      <c r="Q26" s="12"/>
    </row>
    <row r="27" spans="3:17" ht="15" customHeight="1">
      <c r="D27" s="297" t="s">
        <v>404</v>
      </c>
      <c r="E27" s="297"/>
      <c r="F27" s="297"/>
      <c r="G27" s="297"/>
      <c r="H27" s="306">
        <v>-40.51</v>
      </c>
      <c r="I27" s="306">
        <v>111.81</v>
      </c>
      <c r="J27" s="306">
        <v>127.96</v>
      </c>
      <c r="K27" s="306">
        <v>51.1</v>
      </c>
      <c r="L27" s="306">
        <v>-148.44</v>
      </c>
      <c r="M27" s="289"/>
      <c r="N27" s="289"/>
      <c r="O27" s="286"/>
      <c r="P27" s="286"/>
      <c r="Q27" s="286"/>
    </row>
    <row r="28" spans="3:17" ht="15" customHeight="1">
      <c r="C28" s="296" t="s">
        <v>18</v>
      </c>
      <c r="E28" s="296"/>
      <c r="F28" s="296"/>
      <c r="G28" s="296"/>
      <c r="H28" s="309">
        <f>SUM(H25:H27)</f>
        <v>714.49</v>
      </c>
      <c r="I28" s="309">
        <f t="shared" ref="I28:L28" si="3">SUM(I25:I27)</f>
        <v>555.21</v>
      </c>
      <c r="J28" s="309">
        <f t="shared" si="3"/>
        <v>225.89999999999998</v>
      </c>
      <c r="K28" s="309">
        <f t="shared" si="3"/>
        <v>563.04</v>
      </c>
      <c r="L28" s="309">
        <f t="shared" si="3"/>
        <v>187.70999999999998</v>
      </c>
      <c r="M28" s="284"/>
      <c r="N28" s="284"/>
      <c r="O28" s="283"/>
      <c r="P28" s="283"/>
      <c r="Q28" s="283"/>
    </row>
    <row r="29" spans="3:17" ht="15" customHeight="1">
      <c r="C29" s="298" t="s">
        <v>7</v>
      </c>
      <c r="D29" s="287"/>
      <c r="E29" s="298"/>
      <c r="F29" s="298"/>
      <c r="G29" s="298"/>
      <c r="H29" s="307">
        <f t="shared" ref="H29:L29" si="4">H23-H28</f>
        <v>2289.590000000002</v>
      </c>
      <c r="I29" s="307">
        <f t="shared" si="4"/>
        <v>2336.6099999999997</v>
      </c>
      <c r="J29" s="307">
        <f t="shared" si="4"/>
        <v>1269.1400000000044</v>
      </c>
      <c r="K29" s="307">
        <f t="shared" si="4"/>
        <v>2396.1599999999971</v>
      </c>
      <c r="L29" s="307">
        <f t="shared" si="4"/>
        <v>1123.8000000000056</v>
      </c>
      <c r="M29" s="284"/>
      <c r="N29" s="284"/>
      <c r="O29" s="283"/>
      <c r="P29" s="283"/>
      <c r="Q29" s="283"/>
    </row>
    <row r="30" spans="3:17" ht="15" customHeight="1">
      <c r="C30" s="296"/>
      <c r="D30" s="299" t="s">
        <v>354</v>
      </c>
      <c r="E30" s="296"/>
      <c r="F30" s="296"/>
      <c r="G30" s="296"/>
      <c r="H30" s="310"/>
      <c r="I30" s="310"/>
      <c r="J30" s="310"/>
      <c r="K30" s="310"/>
      <c r="L30" s="310"/>
      <c r="M30" s="285"/>
      <c r="N30" s="285"/>
    </row>
    <row r="31" spans="3:17" ht="15" customHeight="1">
      <c r="C31" s="296"/>
      <c r="D31" s="297" t="s">
        <v>355</v>
      </c>
      <c r="E31" s="296"/>
      <c r="F31" s="296"/>
      <c r="G31" s="296"/>
      <c r="H31" s="306">
        <v>2285.87</v>
      </c>
      <c r="I31" s="306">
        <v>2331.94</v>
      </c>
      <c r="J31" s="306">
        <v>1270.7</v>
      </c>
      <c r="K31" s="306">
        <v>2395.6999999999998</v>
      </c>
      <c r="L31" s="306">
        <v>1122.77</v>
      </c>
      <c r="M31" s="12"/>
    </row>
    <row r="32" spans="3:17" ht="15" customHeight="1">
      <c r="C32" s="296"/>
      <c r="D32" s="297" t="s">
        <v>356</v>
      </c>
      <c r="E32" s="296"/>
      <c r="F32" s="296"/>
      <c r="G32" s="296"/>
      <c r="H32" s="306">
        <v>3.72</v>
      </c>
      <c r="I32" s="306">
        <v>4.67</v>
      </c>
      <c r="J32" s="306">
        <v>-1.56</v>
      </c>
      <c r="K32" s="306">
        <v>0.46</v>
      </c>
      <c r="L32" s="306">
        <v>1.03</v>
      </c>
      <c r="M32" s="12"/>
    </row>
    <row r="33" spans="1:18" ht="15" customHeight="1">
      <c r="C33" s="296"/>
      <c r="E33" s="296"/>
      <c r="F33" s="296"/>
      <c r="G33" s="296"/>
      <c r="H33" s="310"/>
      <c r="I33" s="310"/>
      <c r="J33" s="310"/>
      <c r="K33" s="310"/>
      <c r="L33" s="310"/>
      <c r="M33" s="12"/>
    </row>
    <row r="34" spans="1:18" ht="15" customHeight="1">
      <c r="B34" s="171"/>
    </row>
    <row r="35" spans="1:18" ht="15" customHeight="1">
      <c r="A35" s="294" t="s">
        <v>19</v>
      </c>
      <c r="B35" s="295"/>
      <c r="C35" s="295"/>
      <c r="D35" s="295"/>
      <c r="E35" s="171"/>
      <c r="F35" s="171"/>
      <c r="G35" s="295"/>
      <c r="H35" s="294">
        <f>H4</f>
        <v>2021</v>
      </c>
      <c r="I35" s="294">
        <f>I4</f>
        <v>2022</v>
      </c>
      <c r="J35" s="294">
        <f>J4</f>
        <v>2023</v>
      </c>
      <c r="K35" s="294">
        <f>K4</f>
        <v>2024</v>
      </c>
      <c r="L35" s="294">
        <f>L4</f>
        <v>2025</v>
      </c>
      <c r="N35" s="311"/>
    </row>
    <row r="36" spans="1:18" ht="15" customHeight="1">
      <c r="B36" s="296" t="s">
        <v>0</v>
      </c>
      <c r="C36" s="171"/>
      <c r="D36" s="171"/>
      <c r="E36" s="298"/>
      <c r="F36" s="298"/>
      <c r="G36" s="171"/>
      <c r="H36" s="305"/>
      <c r="I36" s="305"/>
      <c r="J36" s="305"/>
      <c r="K36" s="305"/>
      <c r="L36" s="305"/>
      <c r="M36" s="290"/>
    </row>
    <row r="37" spans="1:18" ht="15" customHeight="1">
      <c r="C37" s="296" t="s">
        <v>20</v>
      </c>
      <c r="D37" s="296"/>
      <c r="E37" s="297"/>
      <c r="F37" s="297"/>
      <c r="G37" s="296"/>
      <c r="M37" s="12"/>
    </row>
    <row r="38" spans="1:18" ht="15" customHeight="1">
      <c r="D38" s="59" t="s">
        <v>357</v>
      </c>
      <c r="E38" s="297"/>
      <c r="F38" s="297"/>
      <c r="G38" s="297"/>
      <c r="H38" s="306">
        <v>5714.5</v>
      </c>
      <c r="I38" s="306">
        <v>6724.19</v>
      </c>
      <c r="J38" s="306">
        <v>6793.74</v>
      </c>
      <c r="K38" s="333">
        <v>8834.9500000000007</v>
      </c>
      <c r="L38" s="333">
        <v>8548.17</v>
      </c>
      <c r="N38" s="284"/>
      <c r="O38" s="284"/>
      <c r="P38" s="283"/>
      <c r="Q38" s="283"/>
      <c r="R38" s="283"/>
    </row>
    <row r="39" spans="1:18" ht="15" customHeight="1">
      <c r="D39" s="59" t="s">
        <v>358</v>
      </c>
      <c r="E39" s="297"/>
      <c r="F39" s="297"/>
      <c r="G39" s="297"/>
      <c r="H39" s="306">
        <v>996.54</v>
      </c>
      <c r="I39" s="306">
        <v>1053.52</v>
      </c>
      <c r="J39" s="306">
        <v>2796.61</v>
      </c>
      <c r="K39" s="333">
        <v>1929.67</v>
      </c>
      <c r="L39" s="333">
        <v>3796.22</v>
      </c>
      <c r="N39" s="285"/>
      <c r="O39" s="284"/>
      <c r="P39" s="283"/>
      <c r="Q39" s="283"/>
      <c r="R39" s="283"/>
    </row>
    <row r="40" spans="1:18" ht="15" customHeight="1">
      <c r="D40" s="59" t="s">
        <v>359</v>
      </c>
      <c r="E40" s="297"/>
      <c r="F40" s="297"/>
      <c r="G40" s="297"/>
      <c r="H40" s="306">
        <v>60.25</v>
      </c>
      <c r="I40" s="306">
        <v>57.25</v>
      </c>
      <c r="J40" s="306">
        <v>74.67</v>
      </c>
      <c r="K40" s="333">
        <v>123.45</v>
      </c>
      <c r="L40" s="333">
        <v>93.24</v>
      </c>
      <c r="N40" s="285"/>
      <c r="O40" s="285"/>
    </row>
    <row r="41" spans="1:18" ht="15" customHeight="1">
      <c r="D41" s="59" t="s">
        <v>360</v>
      </c>
      <c r="E41" s="297"/>
      <c r="F41" s="297"/>
      <c r="G41" s="297"/>
      <c r="H41" s="306">
        <v>441.5</v>
      </c>
      <c r="I41" s="306">
        <v>500.8</v>
      </c>
      <c r="J41" s="306">
        <v>612.46</v>
      </c>
      <c r="K41" s="333">
        <v>632.51</v>
      </c>
      <c r="L41" s="333">
        <v>673.31</v>
      </c>
      <c r="N41" s="285"/>
      <c r="O41" s="285"/>
    </row>
    <row r="42" spans="1:18" ht="15" customHeight="1">
      <c r="D42" s="291" t="s">
        <v>100</v>
      </c>
      <c r="E42" s="297"/>
      <c r="F42" s="297"/>
      <c r="G42" s="297"/>
      <c r="H42" s="306"/>
      <c r="I42" s="306"/>
      <c r="J42" s="306"/>
      <c r="K42" s="333"/>
      <c r="L42" s="333"/>
      <c r="N42" s="285"/>
      <c r="O42" s="285"/>
    </row>
    <row r="43" spans="1:18" ht="15" customHeight="1">
      <c r="D43" s="59" t="s">
        <v>381</v>
      </c>
      <c r="E43" s="297"/>
      <c r="F43" s="297"/>
      <c r="G43" s="297"/>
      <c r="H43" s="306">
        <v>4699.03</v>
      </c>
      <c r="I43" s="306">
        <v>5506.34</v>
      </c>
      <c r="J43" s="306">
        <v>5285.25</v>
      </c>
      <c r="K43" s="333">
        <v>2291.79</v>
      </c>
      <c r="L43" s="333">
        <v>1396.47</v>
      </c>
      <c r="N43" s="284"/>
      <c r="O43" s="284"/>
      <c r="P43" s="283"/>
      <c r="Q43" s="283"/>
      <c r="R43" s="283"/>
    </row>
    <row r="44" spans="1:18" ht="15" customHeight="1">
      <c r="D44" s="59" t="s">
        <v>382</v>
      </c>
      <c r="E44" s="12"/>
      <c r="F44" s="12"/>
      <c r="G44" s="297"/>
      <c r="H44" s="306">
        <v>4.46</v>
      </c>
      <c r="I44" s="306">
        <v>4.3499999999999996</v>
      </c>
      <c r="J44" s="306">
        <v>3.67</v>
      </c>
      <c r="K44" s="333">
        <v>3.41</v>
      </c>
      <c r="L44" s="333">
        <v>2.84</v>
      </c>
      <c r="N44" s="285"/>
      <c r="O44" s="285"/>
    </row>
    <row r="45" spans="1:18" ht="15" customHeight="1">
      <c r="D45" s="59" t="s">
        <v>383</v>
      </c>
      <c r="E45" s="12"/>
      <c r="F45" s="12"/>
      <c r="G45" s="297"/>
      <c r="H45" s="306">
        <v>130.07</v>
      </c>
      <c r="I45" s="306">
        <v>137.53</v>
      </c>
      <c r="J45" s="306">
        <v>143.30000000000001</v>
      </c>
      <c r="K45" s="333">
        <v>113.81</v>
      </c>
      <c r="L45" s="333">
        <v>144.35</v>
      </c>
      <c r="N45" s="285"/>
      <c r="O45" s="285"/>
    </row>
    <row r="46" spans="1:18" ht="15" customHeight="1">
      <c r="D46" s="59" t="s">
        <v>361</v>
      </c>
      <c r="E46" s="12"/>
      <c r="F46" s="12"/>
      <c r="G46" s="297"/>
      <c r="H46" s="306">
        <v>786.08</v>
      </c>
      <c r="I46" s="306">
        <v>674.39</v>
      </c>
      <c r="J46" s="306">
        <v>682.28</v>
      </c>
      <c r="K46" s="333">
        <v>658.15</v>
      </c>
      <c r="L46" s="333">
        <v>803.82</v>
      </c>
      <c r="N46" s="285"/>
      <c r="O46" s="285"/>
    </row>
    <row r="47" spans="1:18" ht="15" customHeight="1">
      <c r="D47" s="59" t="s">
        <v>362</v>
      </c>
      <c r="E47" s="297"/>
      <c r="F47" s="297"/>
      <c r="G47" s="12"/>
      <c r="H47" s="306">
        <v>102.03</v>
      </c>
      <c r="I47" s="306">
        <v>27.35</v>
      </c>
      <c r="J47" s="306">
        <v>173.1</v>
      </c>
      <c r="K47" s="333">
        <v>200.5</v>
      </c>
      <c r="L47" s="333">
        <v>302.86</v>
      </c>
      <c r="N47" s="285"/>
      <c r="O47" s="285"/>
    </row>
    <row r="48" spans="1:18" ht="15" customHeight="1">
      <c r="D48" s="59" t="s">
        <v>101</v>
      </c>
      <c r="E48" s="297"/>
      <c r="F48" s="297"/>
      <c r="G48" s="297"/>
      <c r="H48" s="306">
        <v>391.38</v>
      </c>
      <c r="I48" s="306">
        <v>592.83000000000004</v>
      </c>
      <c r="J48" s="306">
        <v>800.93</v>
      </c>
      <c r="K48" s="333">
        <v>953.02</v>
      </c>
      <c r="L48" s="333">
        <v>628.13</v>
      </c>
      <c r="N48" s="285"/>
      <c r="O48" s="285"/>
    </row>
    <row r="49" spans="3:18" ht="15" customHeight="1">
      <c r="C49" s="298" t="s">
        <v>21</v>
      </c>
      <c r="D49" s="287"/>
      <c r="E49" s="301"/>
      <c r="F49" s="301"/>
      <c r="G49" s="301"/>
      <c r="H49" s="307">
        <f>SUM(H38:H48)</f>
        <v>13325.839999999998</v>
      </c>
      <c r="I49" s="307">
        <f>SUM(I38:I48)</f>
        <v>15278.55</v>
      </c>
      <c r="J49" s="307">
        <f>SUM(J38:J48)</f>
        <v>17366.009999999998</v>
      </c>
      <c r="K49" s="307">
        <f t="shared" ref="K49:L49" si="5">SUM(K38:K48)</f>
        <v>15741.260000000002</v>
      </c>
      <c r="L49" s="307">
        <f t="shared" si="5"/>
        <v>16389.41</v>
      </c>
      <c r="N49" s="284"/>
      <c r="O49" s="284"/>
      <c r="P49" s="283"/>
      <c r="Q49" s="283"/>
      <c r="R49" s="283"/>
    </row>
    <row r="50" spans="3:18" ht="15" customHeight="1">
      <c r="C50" s="12" t="s">
        <v>363</v>
      </c>
      <c r="E50" s="297"/>
      <c r="F50" s="297"/>
      <c r="G50" s="297"/>
      <c r="H50" s="306"/>
      <c r="I50" s="306"/>
      <c r="J50" s="306"/>
      <c r="K50" s="306"/>
      <c r="L50" s="306"/>
      <c r="M50" s="12"/>
      <c r="N50" s="289"/>
      <c r="O50" s="289"/>
      <c r="P50" s="286"/>
      <c r="Q50" s="286"/>
      <c r="R50" s="286"/>
    </row>
    <row r="51" spans="3:18" ht="15" customHeight="1">
      <c r="D51" s="59" t="s">
        <v>364</v>
      </c>
      <c r="E51" s="296"/>
      <c r="F51" s="296"/>
      <c r="G51" s="296"/>
      <c r="H51" s="306">
        <v>1715.72</v>
      </c>
      <c r="I51" s="306">
        <v>2497.02</v>
      </c>
      <c r="J51" s="306">
        <v>2759.68</v>
      </c>
      <c r="K51" s="306">
        <v>3555.07</v>
      </c>
      <c r="L51" s="306">
        <v>2443.64</v>
      </c>
      <c r="N51" s="284"/>
      <c r="O51" s="284"/>
      <c r="P51" s="283"/>
      <c r="Q51" s="283"/>
      <c r="R51" s="283"/>
    </row>
    <row r="52" spans="3:18" ht="15" customHeight="1">
      <c r="D52" s="291" t="s">
        <v>100</v>
      </c>
      <c r="E52" s="296"/>
      <c r="F52" s="296"/>
      <c r="G52" s="296"/>
      <c r="H52" s="308"/>
      <c r="I52" s="308"/>
      <c r="J52" s="308"/>
      <c r="K52" s="308"/>
      <c r="L52" s="308"/>
      <c r="N52" s="284"/>
      <c r="O52" s="284"/>
      <c r="P52" s="283"/>
      <c r="Q52" s="283"/>
      <c r="R52" s="283"/>
    </row>
    <row r="53" spans="3:18" ht="15" customHeight="1">
      <c r="D53" s="59" t="s">
        <v>381</v>
      </c>
      <c r="E53" s="296"/>
      <c r="F53" s="296"/>
      <c r="G53" s="296"/>
      <c r="H53" s="306">
        <v>3801.47</v>
      </c>
      <c r="I53" s="306">
        <v>3526.3</v>
      </c>
      <c r="J53" s="306">
        <v>3397.89</v>
      </c>
      <c r="K53" s="306">
        <v>5264.04</v>
      </c>
      <c r="L53" s="306">
        <v>6452.56</v>
      </c>
      <c r="N53" s="284"/>
      <c r="O53" s="284"/>
      <c r="P53" s="283"/>
      <c r="Q53" s="283"/>
      <c r="R53" s="283"/>
    </row>
    <row r="54" spans="3:18" ht="15" customHeight="1">
      <c r="D54" s="59" t="s">
        <v>384</v>
      </c>
      <c r="E54" s="297"/>
      <c r="F54" s="297"/>
      <c r="G54" s="297"/>
      <c r="H54" s="306">
        <v>679.43</v>
      </c>
      <c r="I54" s="306">
        <v>788.29</v>
      </c>
      <c r="J54" s="306">
        <v>1211.57</v>
      </c>
      <c r="K54" s="306">
        <v>1286.53</v>
      </c>
      <c r="L54" s="306">
        <v>1401.46</v>
      </c>
      <c r="N54" s="285"/>
      <c r="O54" s="285"/>
      <c r="P54" s="283"/>
      <c r="Q54" s="283"/>
      <c r="R54" s="283"/>
    </row>
    <row r="55" spans="3:18" ht="15" customHeight="1">
      <c r="D55" s="59" t="s">
        <v>385</v>
      </c>
      <c r="E55" s="12"/>
      <c r="F55" s="12"/>
      <c r="G55" s="12"/>
      <c r="H55" s="306">
        <v>472.14</v>
      </c>
      <c r="I55" s="306">
        <v>148.56</v>
      </c>
      <c r="J55" s="306">
        <v>46.17</v>
      </c>
      <c r="K55" s="306">
        <v>262.36</v>
      </c>
      <c r="L55" s="306">
        <v>141.15</v>
      </c>
      <c r="N55" s="285"/>
      <c r="O55" s="285"/>
    </row>
    <row r="56" spans="3:18" ht="15" customHeight="1">
      <c r="D56" s="59" t="s">
        <v>386</v>
      </c>
      <c r="E56" s="297"/>
      <c r="F56" s="297"/>
      <c r="G56" s="297"/>
      <c r="H56" s="306">
        <v>236.21</v>
      </c>
      <c r="I56" s="306">
        <v>141.09</v>
      </c>
      <c r="J56" s="306">
        <v>114.76</v>
      </c>
      <c r="K56" s="306">
        <v>159.44999999999999</v>
      </c>
      <c r="L56" s="306">
        <v>152.43</v>
      </c>
      <c r="N56" s="285"/>
      <c r="O56" s="285"/>
    </row>
    <row r="57" spans="3:18" ht="15" customHeight="1">
      <c r="D57" s="59" t="s">
        <v>382</v>
      </c>
      <c r="E57" s="297"/>
      <c r="F57" s="297"/>
      <c r="G57" s="297"/>
      <c r="H57" s="306">
        <v>21.23</v>
      </c>
      <c r="I57" s="306">
        <v>25.34</v>
      </c>
      <c r="J57" s="306">
        <v>6.93</v>
      </c>
      <c r="K57" s="306">
        <v>3.64</v>
      </c>
      <c r="L57" s="306">
        <v>3.13</v>
      </c>
      <c r="N57" s="285"/>
      <c r="O57" s="285"/>
    </row>
    <row r="58" spans="3:18" ht="15" customHeight="1">
      <c r="D58" s="59" t="s">
        <v>383</v>
      </c>
      <c r="E58" s="297"/>
      <c r="F58" s="297"/>
      <c r="G58" s="297"/>
      <c r="H58" s="306">
        <v>191.61</v>
      </c>
      <c r="I58" s="306">
        <v>236.27</v>
      </c>
      <c r="J58" s="306">
        <v>315.87</v>
      </c>
      <c r="K58" s="306">
        <v>236.89</v>
      </c>
      <c r="L58" s="306">
        <v>143.91999999999999</v>
      </c>
      <c r="N58" s="285"/>
      <c r="O58" s="285"/>
    </row>
    <row r="59" spans="3:18" ht="15" customHeight="1">
      <c r="D59" s="59" t="s">
        <v>97</v>
      </c>
      <c r="E59" s="297"/>
      <c r="F59" s="297"/>
      <c r="G59" s="297"/>
      <c r="H59" s="306">
        <v>1069.52</v>
      </c>
      <c r="I59" s="306">
        <v>1107.46</v>
      </c>
      <c r="J59" s="306">
        <v>1115.06</v>
      </c>
      <c r="K59" s="306">
        <v>1444.23</v>
      </c>
      <c r="L59" s="306">
        <v>1364.06</v>
      </c>
      <c r="N59" s="284"/>
      <c r="O59" s="284"/>
      <c r="P59" s="283"/>
      <c r="Q59" s="283"/>
      <c r="R59" s="283"/>
    </row>
    <row r="60" spans="3:18" ht="15" customHeight="1">
      <c r="C60" s="298" t="s">
        <v>22</v>
      </c>
      <c r="D60" s="287"/>
      <c r="E60" s="301"/>
      <c r="F60" s="301"/>
      <c r="G60" s="301"/>
      <c r="H60" s="331">
        <f>SUM(H51,H53:H59)</f>
        <v>8187.33</v>
      </c>
      <c r="I60" s="331">
        <f>SUM(I51,I53:I59)</f>
        <v>8470.3300000000017</v>
      </c>
      <c r="J60" s="331">
        <f>SUM(J51,J53:J59)</f>
        <v>8967.93</v>
      </c>
      <c r="K60" s="331">
        <f t="shared" ref="K60" si="6">SUM(K51,K53:K59)</f>
        <v>12212.210000000001</v>
      </c>
      <c r="L60" s="331">
        <f>SUM(L51,L53:L59)</f>
        <v>12102.349999999999</v>
      </c>
      <c r="M60" s="12"/>
      <c r="N60" s="289"/>
      <c r="O60" s="289"/>
      <c r="P60" s="286"/>
      <c r="Q60" s="286"/>
      <c r="R60" s="286"/>
    </row>
    <row r="61" spans="3:18" ht="15" customHeight="1">
      <c r="C61" s="296" t="s">
        <v>1</v>
      </c>
      <c r="E61" s="297"/>
      <c r="F61" s="297"/>
      <c r="G61" s="297"/>
      <c r="H61" s="332">
        <f>SUM(H49,H60)</f>
        <v>21513.17</v>
      </c>
      <c r="I61" s="332">
        <f>SUM(I49,I60)</f>
        <v>23748.880000000001</v>
      </c>
      <c r="J61" s="332">
        <f>SUM(J49,J60)</f>
        <v>26333.94</v>
      </c>
      <c r="K61" s="332">
        <f>SUM(K49,K60)</f>
        <v>27953.47</v>
      </c>
      <c r="L61" s="332">
        <f>SUM(L49,L60)</f>
        <v>28491.759999999998</v>
      </c>
    </row>
    <row r="62" spans="3:18" ht="15" customHeight="1">
      <c r="C62" s="296" t="s">
        <v>2</v>
      </c>
      <c r="E62" s="297"/>
      <c r="F62" s="297"/>
      <c r="G62" s="297"/>
      <c r="H62" s="306"/>
      <c r="I62" s="306"/>
      <c r="J62" s="306"/>
      <c r="K62" s="306"/>
      <c r="L62" s="306"/>
    </row>
    <row r="63" spans="3:18" ht="15" customHeight="1">
      <c r="C63" s="296" t="s">
        <v>23</v>
      </c>
      <c r="E63" s="297"/>
      <c r="F63" s="297"/>
      <c r="G63" s="297"/>
      <c r="H63" s="309"/>
      <c r="I63" s="309"/>
      <c r="J63" s="309"/>
      <c r="K63" s="309"/>
      <c r="L63" s="309"/>
    </row>
    <row r="64" spans="3:18" ht="15" customHeight="1">
      <c r="D64" s="297" t="s">
        <v>24</v>
      </c>
      <c r="E64" s="296"/>
      <c r="F64" s="296"/>
      <c r="G64" s="296"/>
      <c r="H64" s="333">
        <v>36.08</v>
      </c>
      <c r="I64" s="333">
        <v>36.08</v>
      </c>
      <c r="J64" s="333">
        <v>36.08</v>
      </c>
      <c r="K64" s="333">
        <v>36.08</v>
      </c>
      <c r="L64" s="333">
        <v>36.08</v>
      </c>
    </row>
    <row r="65" spans="3:18" ht="15" customHeight="1">
      <c r="D65" s="297" t="s">
        <v>25</v>
      </c>
      <c r="E65" s="296"/>
      <c r="F65" s="296"/>
      <c r="G65" s="296"/>
      <c r="H65" s="333">
        <v>15361.33</v>
      </c>
      <c r="I65" s="333">
        <v>17424.2</v>
      </c>
      <c r="J65" s="333">
        <v>18600.32</v>
      </c>
      <c r="K65" s="333">
        <v>20666.84</v>
      </c>
      <c r="L65" s="333">
        <v>21501.67</v>
      </c>
    </row>
    <row r="66" spans="3:18" ht="15" customHeight="1">
      <c r="C66" s="298"/>
      <c r="D66" s="288" t="s">
        <v>394</v>
      </c>
      <c r="E66" s="298"/>
      <c r="F66" s="298"/>
      <c r="G66" s="298"/>
      <c r="H66" s="331">
        <f t="shared" ref="H66:J66" si="7">SUM(H64:H65)</f>
        <v>15397.41</v>
      </c>
      <c r="I66" s="331">
        <f t="shared" si="7"/>
        <v>17460.280000000002</v>
      </c>
      <c r="J66" s="331">
        <f t="shared" si="7"/>
        <v>18636.400000000001</v>
      </c>
      <c r="K66" s="331">
        <f>SUM(K64:K65)</f>
        <v>20702.920000000002</v>
      </c>
      <c r="L66" s="331">
        <f>SUM(L64:L65)</f>
        <v>21537.75</v>
      </c>
    </row>
    <row r="67" spans="3:18" ht="15" customHeight="1">
      <c r="C67" s="296"/>
      <c r="D67" s="59" t="s">
        <v>395</v>
      </c>
      <c r="E67" s="296"/>
      <c r="F67" s="296"/>
      <c r="G67" s="296"/>
      <c r="H67" s="333">
        <v>51.16</v>
      </c>
      <c r="I67" s="333">
        <v>50.29</v>
      </c>
      <c r="J67" s="333">
        <v>40.56</v>
      </c>
      <c r="K67" s="333">
        <v>41.12</v>
      </c>
      <c r="L67" s="333">
        <v>40.770000000000003</v>
      </c>
    </row>
    <row r="68" spans="3:18" ht="15" customHeight="1">
      <c r="C68" s="288" t="s">
        <v>365</v>
      </c>
      <c r="D68" s="287"/>
      <c r="E68" s="298"/>
      <c r="F68" s="298"/>
      <c r="G68" s="298"/>
      <c r="H68" s="331">
        <f t="shared" ref="H68:J68" si="8">SUM(H66:H67)</f>
        <v>15448.57</v>
      </c>
      <c r="I68" s="331">
        <f t="shared" si="8"/>
        <v>17510.570000000003</v>
      </c>
      <c r="J68" s="331">
        <f t="shared" si="8"/>
        <v>18676.960000000003</v>
      </c>
      <c r="K68" s="331">
        <f>SUM(K66:K67)</f>
        <v>20744.04</v>
      </c>
      <c r="L68" s="331">
        <f>SUM(L66:L67)</f>
        <v>21578.52</v>
      </c>
    </row>
    <row r="69" spans="3:18" ht="15" customHeight="1">
      <c r="C69" s="12" t="s">
        <v>366</v>
      </c>
      <c r="E69" s="289"/>
      <c r="F69" s="289"/>
      <c r="G69" s="286"/>
      <c r="H69" s="286"/>
      <c r="I69" s="286"/>
      <c r="J69" s="313"/>
      <c r="K69" s="313"/>
      <c r="L69" s="313"/>
      <c r="M69" s="12"/>
      <c r="N69" s="289"/>
      <c r="O69" s="289"/>
      <c r="P69" s="286"/>
      <c r="Q69" s="286"/>
      <c r="R69" s="286"/>
    </row>
    <row r="70" spans="3:18" ht="15" customHeight="1">
      <c r="C70" s="12" t="s">
        <v>367</v>
      </c>
      <c r="E70" s="289"/>
      <c r="F70" s="289"/>
      <c r="G70" s="286"/>
      <c r="H70" s="286"/>
      <c r="I70" s="286"/>
      <c r="J70" s="283"/>
      <c r="K70" s="283"/>
      <c r="L70" s="283"/>
      <c r="M70" s="12"/>
      <c r="N70" s="289"/>
      <c r="O70" s="289"/>
      <c r="P70" s="286"/>
      <c r="Q70" s="286"/>
      <c r="R70" s="286"/>
    </row>
    <row r="71" spans="3:18" ht="15" customHeight="1">
      <c r="D71" s="291" t="s">
        <v>368</v>
      </c>
      <c r="E71" s="289"/>
      <c r="F71" s="289"/>
      <c r="G71" s="286"/>
      <c r="H71" s="286"/>
      <c r="I71" s="286"/>
      <c r="M71" s="291"/>
      <c r="N71" s="289"/>
      <c r="O71" s="289"/>
      <c r="P71" s="286"/>
      <c r="Q71" s="286"/>
      <c r="R71" s="286"/>
    </row>
    <row r="72" spans="3:18" ht="15" customHeight="1">
      <c r="D72" s="59" t="s">
        <v>387</v>
      </c>
      <c r="H72" s="306">
        <v>1331.55</v>
      </c>
      <c r="I72" s="306">
        <v>1298.3399999999999</v>
      </c>
      <c r="J72" s="306">
        <v>580.87</v>
      </c>
      <c r="K72" s="306">
        <v>713.08</v>
      </c>
      <c r="L72" s="306">
        <v>726.6</v>
      </c>
      <c r="N72" s="284"/>
      <c r="O72" s="284"/>
    </row>
    <row r="73" spans="3:18" ht="15" customHeight="1">
      <c r="D73" s="59" t="s">
        <v>388</v>
      </c>
      <c r="H73" s="306">
        <v>83.95</v>
      </c>
      <c r="I73" s="306">
        <v>87.64</v>
      </c>
      <c r="J73" s="306">
        <v>137.66</v>
      </c>
      <c r="K73" s="306">
        <v>141.65</v>
      </c>
      <c r="L73" s="306">
        <v>184.3</v>
      </c>
      <c r="N73" s="285"/>
      <c r="O73" s="285"/>
    </row>
    <row r="74" spans="3:18" ht="15" customHeight="1">
      <c r="D74" s="59" t="s">
        <v>389</v>
      </c>
      <c r="H74" s="306">
        <v>174.28</v>
      </c>
      <c r="I74" s="306">
        <v>136.15</v>
      </c>
      <c r="J74" s="306">
        <v>172.41</v>
      </c>
      <c r="K74" s="306">
        <v>142.72</v>
      </c>
      <c r="L74" s="306">
        <v>124.33</v>
      </c>
      <c r="N74" s="285"/>
      <c r="O74" s="285"/>
    </row>
    <row r="75" spans="3:18" ht="15" customHeight="1">
      <c r="C75" s="297"/>
      <c r="D75" s="59" t="s">
        <v>369</v>
      </c>
      <c r="H75" s="306">
        <v>31.75</v>
      </c>
      <c r="I75" s="306">
        <v>29.74</v>
      </c>
      <c r="J75" s="306">
        <v>33.92</v>
      </c>
      <c r="K75" s="306">
        <v>30.72</v>
      </c>
      <c r="L75" s="306">
        <v>34.11</v>
      </c>
      <c r="N75" s="285"/>
      <c r="O75" s="285"/>
    </row>
    <row r="76" spans="3:18" ht="15" customHeight="1">
      <c r="C76" s="297"/>
      <c r="D76" s="59" t="s">
        <v>370</v>
      </c>
      <c r="H76" s="306">
        <v>0</v>
      </c>
      <c r="I76" s="306">
        <v>0</v>
      </c>
      <c r="J76" s="306">
        <v>0</v>
      </c>
      <c r="K76" s="306">
        <v>28.88</v>
      </c>
      <c r="L76" s="306">
        <v>27.45</v>
      </c>
    </row>
    <row r="77" spans="3:18" ht="15" customHeight="1">
      <c r="C77" s="297"/>
      <c r="D77" s="59" t="s">
        <v>371</v>
      </c>
      <c r="H77" s="306">
        <v>0</v>
      </c>
      <c r="I77" s="306">
        <v>0</v>
      </c>
      <c r="J77" s="306">
        <v>0</v>
      </c>
      <c r="K77" s="306">
        <v>24.55</v>
      </c>
      <c r="L77" s="306">
        <v>60.32</v>
      </c>
    </row>
    <row r="78" spans="3:18" ht="15" customHeight="1">
      <c r="C78" s="298" t="s">
        <v>27</v>
      </c>
      <c r="D78" s="287"/>
      <c r="E78" s="301"/>
      <c r="F78" s="301"/>
      <c r="G78" s="301"/>
      <c r="H78" s="331">
        <f t="shared" ref="H78:J78" si="9">SUM(H72:H77)</f>
        <v>1621.53</v>
      </c>
      <c r="I78" s="331">
        <f t="shared" si="9"/>
        <v>1551.8700000000001</v>
      </c>
      <c r="J78" s="331">
        <f t="shared" si="9"/>
        <v>924.8599999999999</v>
      </c>
      <c r="K78" s="331">
        <f>SUM(K72:K77)</f>
        <v>1081.6000000000001</v>
      </c>
      <c r="L78" s="331">
        <f>SUM(L72:L77)</f>
        <v>1157.1099999999999</v>
      </c>
      <c r="M78" s="12"/>
      <c r="N78" s="289"/>
      <c r="O78" s="289"/>
      <c r="P78" s="12"/>
      <c r="Q78" s="286"/>
      <c r="R78" s="286"/>
    </row>
    <row r="79" spans="3:18" ht="15" customHeight="1">
      <c r="C79" s="12" t="s">
        <v>372</v>
      </c>
      <c r="E79" s="297"/>
      <c r="F79" s="297"/>
      <c r="G79" s="297"/>
      <c r="H79" s="308"/>
      <c r="I79" s="308"/>
      <c r="J79" s="308"/>
      <c r="K79" s="308"/>
      <c r="L79" s="308"/>
      <c r="M79" s="12"/>
      <c r="N79" s="289"/>
      <c r="O79" s="289"/>
      <c r="P79" s="12"/>
      <c r="Q79" s="286"/>
      <c r="R79" s="286"/>
    </row>
    <row r="80" spans="3:18" ht="15" customHeight="1">
      <c r="D80" s="291" t="s">
        <v>368</v>
      </c>
      <c r="E80" s="297"/>
      <c r="F80" s="297"/>
      <c r="G80" s="297"/>
      <c r="H80" s="306"/>
      <c r="I80" s="306"/>
      <c r="J80" s="306"/>
      <c r="K80" s="306"/>
      <c r="L80" s="306"/>
      <c r="M80" s="291"/>
      <c r="N80" s="289"/>
      <c r="O80" s="289"/>
      <c r="P80" s="12"/>
      <c r="Q80" s="286"/>
      <c r="R80" s="286"/>
    </row>
    <row r="81" spans="1:19" ht="15" customHeight="1">
      <c r="D81" s="59" t="s">
        <v>390</v>
      </c>
      <c r="E81" s="297"/>
      <c r="F81" s="297"/>
      <c r="G81" s="297"/>
      <c r="H81" s="306">
        <v>802.3</v>
      </c>
      <c r="I81" s="306">
        <v>715.84</v>
      </c>
      <c r="J81" s="306">
        <v>1958.97</v>
      </c>
      <c r="K81" s="306">
        <v>761.84</v>
      </c>
      <c r="L81" s="306">
        <v>90.32</v>
      </c>
      <c r="N81" s="285"/>
      <c r="O81" s="285"/>
      <c r="P81" s="283"/>
    </row>
    <row r="82" spans="1:19" ht="15" customHeight="1">
      <c r="D82" s="59" t="s">
        <v>391</v>
      </c>
      <c r="E82" s="296"/>
      <c r="F82" s="296"/>
      <c r="G82" s="296"/>
      <c r="H82" s="306">
        <v>12.08</v>
      </c>
      <c r="I82" s="306">
        <v>27.4</v>
      </c>
      <c r="J82" s="306">
        <v>47.17</v>
      </c>
      <c r="K82" s="306">
        <v>38.979999999999997</v>
      </c>
      <c r="L82" s="306">
        <v>44.91</v>
      </c>
      <c r="N82" s="285"/>
      <c r="O82" s="285"/>
    </row>
    <row r="83" spans="1:19" ht="15" customHeight="1">
      <c r="D83" s="59" t="s">
        <v>392</v>
      </c>
      <c r="E83" s="296"/>
      <c r="F83" s="296"/>
      <c r="G83" s="296"/>
      <c r="H83" s="306">
        <v>882.97</v>
      </c>
      <c r="I83" s="306">
        <v>890.37</v>
      </c>
      <c r="J83" s="306">
        <v>1196</v>
      </c>
      <c r="K83" s="306">
        <v>1214.23</v>
      </c>
      <c r="L83" s="306">
        <v>1361.03</v>
      </c>
      <c r="N83" s="285"/>
      <c r="O83" s="285"/>
    </row>
    <row r="84" spans="1:19" ht="15" customHeight="1">
      <c r="C84" s="297"/>
      <c r="D84" s="59" t="s">
        <v>393</v>
      </c>
      <c r="E84" s="12"/>
      <c r="F84" s="12"/>
      <c r="G84" s="12"/>
      <c r="H84" s="306">
        <v>1254.32</v>
      </c>
      <c r="I84" s="306">
        <v>1391.77</v>
      </c>
      <c r="J84" s="306">
        <v>1811.41</v>
      </c>
      <c r="K84" s="306">
        <v>1683.5</v>
      </c>
      <c r="L84" s="306">
        <v>1806.34</v>
      </c>
      <c r="N84" s="284"/>
      <c r="O84" s="284"/>
      <c r="P84" s="283"/>
      <c r="Q84" s="283"/>
      <c r="R84" s="283"/>
    </row>
    <row r="85" spans="1:19" ht="15" customHeight="1">
      <c r="C85" s="297"/>
      <c r="D85" s="59" t="s">
        <v>373</v>
      </c>
      <c r="E85" s="297"/>
      <c r="F85" s="297"/>
      <c r="G85" s="297"/>
      <c r="H85" s="306">
        <v>1415.01</v>
      </c>
      <c r="I85" s="306">
        <v>1338.47</v>
      </c>
      <c r="J85" s="306">
        <v>1394.13</v>
      </c>
      <c r="K85" s="306">
        <v>2020.09</v>
      </c>
      <c r="L85" s="306">
        <v>2032.01</v>
      </c>
      <c r="N85" s="284"/>
      <c r="O85" s="284"/>
      <c r="P85" s="283"/>
      <c r="Q85" s="283"/>
      <c r="R85" s="283"/>
    </row>
    <row r="86" spans="1:19" ht="15" customHeight="1">
      <c r="C86" s="297"/>
      <c r="D86" s="59" t="s">
        <v>369</v>
      </c>
      <c r="E86" s="297"/>
      <c r="F86" s="297"/>
      <c r="G86" s="297"/>
      <c r="H86" s="306">
        <v>8.3000000000000007</v>
      </c>
      <c r="I86" s="306">
        <v>8.41</v>
      </c>
      <c r="J86" s="306">
        <v>10.26</v>
      </c>
      <c r="K86" s="306">
        <v>11.71</v>
      </c>
      <c r="L86" s="306">
        <v>14.67</v>
      </c>
      <c r="N86" s="285"/>
      <c r="O86" s="285"/>
    </row>
    <row r="87" spans="1:19" ht="15" customHeight="1">
      <c r="C87" s="297"/>
      <c r="D87" s="59" t="s">
        <v>374</v>
      </c>
      <c r="E87" s="297"/>
      <c r="F87" s="297"/>
      <c r="G87" s="297"/>
      <c r="H87" s="306">
        <v>68.09</v>
      </c>
      <c r="I87" s="306">
        <v>314.18</v>
      </c>
      <c r="J87" s="306">
        <v>314.18</v>
      </c>
      <c r="K87" s="306">
        <v>397.48</v>
      </c>
      <c r="L87" s="306">
        <v>406.85</v>
      </c>
      <c r="N87" s="285"/>
      <c r="O87" s="285"/>
    </row>
    <row r="88" spans="1:19" ht="15" customHeight="1">
      <c r="C88" s="298" t="s">
        <v>28</v>
      </c>
      <c r="D88" s="287"/>
      <c r="E88" s="301"/>
      <c r="F88" s="301"/>
      <c r="G88" s="301"/>
      <c r="H88" s="331">
        <f t="shared" ref="H88:J88" si="10">SUM(H81:H87)</f>
        <v>4443.0700000000006</v>
      </c>
      <c r="I88" s="331">
        <f t="shared" si="10"/>
        <v>4686.4400000000005</v>
      </c>
      <c r="J88" s="331">
        <f t="shared" si="10"/>
        <v>6732.1200000000008</v>
      </c>
      <c r="K88" s="331">
        <f t="shared" ref="K88:L88" si="11">SUM(K81:K87)</f>
        <v>6127.83</v>
      </c>
      <c r="L88" s="331">
        <f t="shared" si="11"/>
        <v>5756.13</v>
      </c>
      <c r="M88" s="12"/>
      <c r="N88" s="289"/>
      <c r="O88" s="289"/>
      <c r="P88" s="286"/>
      <c r="Q88" s="286"/>
      <c r="R88" s="286"/>
    </row>
    <row r="89" spans="1:19" ht="15" customHeight="1">
      <c r="C89" s="296" t="s">
        <v>29</v>
      </c>
      <c r="E89" s="297"/>
      <c r="F89" s="297"/>
      <c r="G89" s="297"/>
      <c r="H89" s="332">
        <f>SUM(H88,H78)</f>
        <v>6064.6</v>
      </c>
      <c r="I89" s="332">
        <f t="shared" ref="I89:L89" si="12">SUM(I88,I78)</f>
        <v>6238.31</v>
      </c>
      <c r="J89" s="332">
        <f t="shared" si="12"/>
        <v>7656.9800000000005</v>
      </c>
      <c r="K89" s="332">
        <f>SUM(K88,K78)</f>
        <v>7209.43</v>
      </c>
      <c r="L89" s="332">
        <f t="shared" si="12"/>
        <v>6913.24</v>
      </c>
      <c r="M89" s="12"/>
      <c r="N89" s="289"/>
      <c r="O89" s="289"/>
      <c r="P89" s="286"/>
      <c r="Q89" s="286"/>
      <c r="R89" s="286"/>
    </row>
    <row r="90" spans="1:19" ht="15" customHeight="1">
      <c r="C90" s="298" t="s">
        <v>3</v>
      </c>
      <c r="D90" s="287"/>
      <c r="E90" s="301"/>
      <c r="F90" s="301"/>
      <c r="G90" s="301"/>
      <c r="H90" s="331">
        <f>SUM(H89,H68)</f>
        <v>21513.17</v>
      </c>
      <c r="I90" s="331">
        <f t="shared" ref="I90:L90" si="13">SUM(I89,I68)</f>
        <v>23748.880000000005</v>
      </c>
      <c r="J90" s="331">
        <f t="shared" si="13"/>
        <v>26333.940000000002</v>
      </c>
      <c r="K90" s="331">
        <f>SUM(K89,K68)</f>
        <v>27953.47</v>
      </c>
      <c r="L90" s="331">
        <f t="shared" si="13"/>
        <v>28491.760000000002</v>
      </c>
      <c r="M90" s="12"/>
      <c r="N90" s="289"/>
      <c r="O90" s="289"/>
      <c r="P90" s="286"/>
      <c r="Q90" s="286"/>
      <c r="R90" s="286"/>
    </row>
    <row r="91" spans="1:19" ht="15" customHeight="1">
      <c r="C91" s="296"/>
      <c r="E91" s="297"/>
      <c r="F91" s="297"/>
      <c r="G91" s="297"/>
      <c r="H91" s="312"/>
      <c r="I91" s="312"/>
      <c r="J91" s="312"/>
      <c r="K91" s="312"/>
      <c r="L91" s="312"/>
      <c r="M91" s="12"/>
      <c r="N91" s="289"/>
      <c r="O91" s="289"/>
      <c r="P91" s="286"/>
      <c r="Q91" s="286"/>
      <c r="R91" s="286"/>
    </row>
    <row r="92" spans="1:19" ht="15" customHeight="1">
      <c r="E92" s="296"/>
      <c r="F92" s="297"/>
      <c r="G92" s="296"/>
      <c r="H92" s="312"/>
      <c r="I92" s="312"/>
      <c r="J92" s="312"/>
      <c r="K92" s="312"/>
      <c r="L92" s="312"/>
    </row>
    <row r="93" spans="1:19" ht="15" customHeight="1">
      <c r="A93" s="294" t="s">
        <v>30</v>
      </c>
      <c r="B93" s="61"/>
      <c r="C93" s="295"/>
      <c r="D93" s="295"/>
      <c r="E93" s="302"/>
      <c r="F93" s="302"/>
      <c r="G93" s="302"/>
      <c r="H93" s="294">
        <f>H35</f>
        <v>2021</v>
      </c>
      <c r="I93" s="294">
        <f>I35</f>
        <v>2022</v>
      </c>
      <c r="J93" s="294">
        <f>J35</f>
        <v>2023</v>
      </c>
      <c r="K93" s="294">
        <f>K35</f>
        <v>2024</v>
      </c>
      <c r="L93" s="294">
        <f>L35</f>
        <v>2025</v>
      </c>
    </row>
    <row r="94" spans="1:19" ht="15" customHeight="1">
      <c r="C94" s="335" t="s">
        <v>31</v>
      </c>
      <c r="E94" s="296"/>
      <c r="F94" s="296"/>
      <c r="G94" s="296"/>
      <c r="H94" s="310"/>
      <c r="I94" s="310"/>
      <c r="J94" s="310"/>
      <c r="K94" s="310"/>
      <c r="L94" s="310"/>
      <c r="M94" s="334"/>
    </row>
    <row r="95" spans="1:19" ht="15" customHeight="1">
      <c r="C95" s="296" t="s">
        <v>15</v>
      </c>
      <c r="G95" s="296"/>
      <c r="H95" s="306">
        <v>3004.08</v>
      </c>
      <c r="I95" s="306">
        <v>2891.82</v>
      </c>
      <c r="J95" s="306">
        <v>1495.04</v>
      </c>
      <c r="K95" s="306">
        <v>2959.2</v>
      </c>
      <c r="L95" s="306">
        <v>1311.51</v>
      </c>
      <c r="O95" s="289"/>
      <c r="P95" s="289"/>
      <c r="Q95" s="286"/>
      <c r="R95" s="286"/>
      <c r="S95" s="286"/>
    </row>
    <row r="96" spans="1:19" ht="15" customHeight="1">
      <c r="B96" s="171"/>
      <c r="C96" s="283" t="s">
        <v>8</v>
      </c>
      <c r="E96" s="171"/>
      <c r="F96" s="171"/>
      <c r="G96" s="171"/>
      <c r="H96" s="306"/>
      <c r="I96" s="306"/>
      <c r="J96" s="306"/>
      <c r="K96" s="306"/>
      <c r="L96" s="306"/>
      <c r="Q96" s="283"/>
    </row>
    <row r="97" spans="3:19" ht="15" customHeight="1">
      <c r="D97" s="297" t="s">
        <v>408</v>
      </c>
      <c r="E97" s="296"/>
      <c r="F97" s="296"/>
      <c r="G97" s="296"/>
      <c r="H97" s="306">
        <v>1262.3399999999999</v>
      </c>
      <c r="I97" s="306">
        <v>1145.8800000000001</v>
      </c>
      <c r="J97" s="306">
        <v>1660.67</v>
      </c>
      <c r="K97" s="306">
        <v>1897.32</v>
      </c>
      <c r="L97" s="306">
        <v>3006.78</v>
      </c>
      <c r="O97" s="284"/>
      <c r="P97" s="284"/>
      <c r="Q97" s="283"/>
      <c r="R97" s="283"/>
      <c r="S97" s="283"/>
    </row>
    <row r="98" spans="3:19" ht="15" customHeight="1">
      <c r="D98" s="297" t="s">
        <v>409</v>
      </c>
      <c r="E98" s="297"/>
      <c r="F98" s="297"/>
      <c r="G98" s="297"/>
      <c r="H98" s="306">
        <v>2.33</v>
      </c>
      <c r="I98" s="306">
        <v>1.43</v>
      </c>
      <c r="J98" s="306">
        <v>-3.43</v>
      </c>
      <c r="K98" s="306">
        <v>-0.56000000000000005</v>
      </c>
      <c r="L98" s="306">
        <v>-0.55000000000000004</v>
      </c>
      <c r="O98" s="285"/>
      <c r="P98" s="285"/>
    </row>
    <row r="99" spans="3:19" ht="15" customHeight="1">
      <c r="D99" s="297" t="s">
        <v>375</v>
      </c>
      <c r="E99" s="297"/>
      <c r="F99" s="297"/>
      <c r="G99" s="297"/>
      <c r="H99" s="306">
        <v>0</v>
      </c>
      <c r="I99" s="306">
        <v>0.05</v>
      </c>
      <c r="J99" s="306">
        <v>0.57999999999999996</v>
      </c>
      <c r="K99" s="306">
        <v>1.51</v>
      </c>
      <c r="L99" s="306">
        <v>0.17</v>
      </c>
      <c r="O99" s="285"/>
      <c r="P99" s="285"/>
    </row>
    <row r="100" spans="3:19" ht="15" customHeight="1">
      <c r="D100" s="297" t="s">
        <v>410</v>
      </c>
      <c r="E100" s="286"/>
      <c r="F100" s="286"/>
      <c r="G100" s="286"/>
      <c r="H100" s="306">
        <v>20.65</v>
      </c>
      <c r="I100" s="306">
        <v>5.99</v>
      </c>
      <c r="J100" s="306">
        <v>0.18</v>
      </c>
      <c r="K100" s="306">
        <v>-1.1399999999999999</v>
      </c>
      <c r="L100" s="306">
        <v>17.29</v>
      </c>
      <c r="O100" s="285"/>
      <c r="P100" s="285"/>
    </row>
    <row r="101" spans="3:19" ht="15" customHeight="1">
      <c r="D101" s="297" t="s">
        <v>376</v>
      </c>
      <c r="E101" s="297"/>
      <c r="F101" s="297"/>
      <c r="G101" s="297"/>
      <c r="H101" s="306">
        <v>0</v>
      </c>
      <c r="I101" s="306">
        <v>0</v>
      </c>
      <c r="J101" s="306">
        <v>0</v>
      </c>
      <c r="K101" s="306">
        <v>0</v>
      </c>
      <c r="L101" s="306">
        <v>10.41</v>
      </c>
    </row>
    <row r="102" spans="3:19" ht="15" customHeight="1">
      <c r="D102" s="297" t="s">
        <v>411</v>
      </c>
      <c r="E102" s="297"/>
      <c r="F102" s="297"/>
      <c r="G102" s="297"/>
      <c r="H102" s="306">
        <v>0</v>
      </c>
      <c r="I102" s="306">
        <v>0</v>
      </c>
      <c r="J102" s="306">
        <v>-14</v>
      </c>
      <c r="K102" s="306">
        <v>0</v>
      </c>
      <c r="L102" s="306">
        <v>-12.42</v>
      </c>
    </row>
    <row r="103" spans="3:19" ht="15" customHeight="1">
      <c r="D103" s="297" t="s">
        <v>412</v>
      </c>
      <c r="E103" s="297"/>
      <c r="F103" s="297"/>
      <c r="G103" s="297"/>
      <c r="H103" s="306">
        <v>-35.130000000000003</v>
      </c>
      <c r="I103" s="306">
        <v>-102.53</v>
      </c>
      <c r="J103" s="306">
        <v>1.88</v>
      </c>
      <c r="K103" s="306">
        <v>16.5</v>
      </c>
      <c r="L103" s="306">
        <v>-18.02</v>
      </c>
      <c r="O103" s="285"/>
      <c r="P103" s="285"/>
    </row>
    <row r="104" spans="3:19" ht="15" customHeight="1">
      <c r="D104" s="297" t="s">
        <v>413</v>
      </c>
      <c r="E104" s="297"/>
      <c r="F104" s="297"/>
      <c r="G104" s="297"/>
      <c r="H104" s="306">
        <v>-156.59</v>
      </c>
      <c r="I104" s="306">
        <v>-114.74</v>
      </c>
      <c r="J104" s="306">
        <v>-131.07</v>
      </c>
      <c r="K104" s="306">
        <v>-327.36</v>
      </c>
      <c r="L104" s="306">
        <v>-380.44</v>
      </c>
      <c r="O104" s="285"/>
      <c r="P104" s="285"/>
    </row>
    <row r="105" spans="3:19" ht="15" customHeight="1">
      <c r="D105" s="297" t="s">
        <v>377</v>
      </c>
      <c r="E105" s="297"/>
      <c r="F105" s="297"/>
      <c r="G105" s="297"/>
      <c r="H105" s="306">
        <v>-229.94</v>
      </c>
      <c r="I105" s="306">
        <v>-315.73</v>
      </c>
      <c r="J105" s="306">
        <v>-306.27999999999997</v>
      </c>
      <c r="K105" s="306">
        <v>-270.98</v>
      </c>
      <c r="L105" s="306">
        <v>-181.16</v>
      </c>
      <c r="O105" s="285"/>
      <c r="P105" s="285"/>
    </row>
    <row r="106" spans="3:19" ht="15" customHeight="1">
      <c r="D106" s="297" t="s">
        <v>416</v>
      </c>
      <c r="E106" s="297"/>
      <c r="F106" s="297"/>
      <c r="G106" s="297"/>
      <c r="H106" s="306">
        <v>0</v>
      </c>
      <c r="I106" s="306">
        <v>0.06</v>
      </c>
      <c r="J106" s="306">
        <v>0</v>
      </c>
      <c r="K106" s="306">
        <v>-1.77</v>
      </c>
      <c r="L106" s="306">
        <v>0</v>
      </c>
      <c r="O106" s="285"/>
      <c r="P106" s="285"/>
    </row>
    <row r="107" spans="3:19" ht="15" customHeight="1">
      <c r="D107" s="297" t="s">
        <v>414</v>
      </c>
      <c r="E107" s="297"/>
      <c r="F107" s="297"/>
      <c r="G107" s="297"/>
      <c r="H107" s="306">
        <v>-9.16</v>
      </c>
      <c r="I107" s="306">
        <v>-6.32</v>
      </c>
      <c r="J107" s="306">
        <v>-6.14</v>
      </c>
      <c r="K107" s="306">
        <v>-6.15</v>
      </c>
      <c r="L107" s="306">
        <v>-2.44</v>
      </c>
      <c r="O107" s="285"/>
      <c r="P107" s="285"/>
    </row>
    <row r="108" spans="3:19" ht="15" customHeight="1">
      <c r="D108" s="297" t="s">
        <v>415</v>
      </c>
      <c r="E108" s="297"/>
      <c r="F108" s="297"/>
      <c r="G108" s="297"/>
      <c r="H108" s="306">
        <v>-3.72</v>
      </c>
      <c r="I108" s="306">
        <v>-5.0599999999999996</v>
      </c>
      <c r="J108" s="306">
        <v>-6.76</v>
      </c>
      <c r="K108" s="306">
        <v>-7.95</v>
      </c>
      <c r="L108" s="306">
        <v>-6.08</v>
      </c>
      <c r="O108" s="285"/>
      <c r="P108" s="285"/>
    </row>
    <row r="109" spans="3:19" ht="15" customHeight="1">
      <c r="D109" s="297" t="s">
        <v>353</v>
      </c>
      <c r="E109" s="297"/>
      <c r="F109" s="297"/>
      <c r="G109" s="297"/>
      <c r="H109" s="306">
        <v>251.29</v>
      </c>
      <c r="I109" s="306">
        <v>216.12</v>
      </c>
      <c r="J109" s="306">
        <v>262.87</v>
      </c>
      <c r="K109" s="306">
        <v>258.33999999999997</v>
      </c>
      <c r="L109" s="306">
        <v>204.96</v>
      </c>
      <c r="O109" s="285"/>
      <c r="P109" s="285"/>
    </row>
    <row r="110" spans="3:19" ht="15" customHeight="1">
      <c r="C110" s="298" t="s">
        <v>32</v>
      </c>
      <c r="D110" s="287"/>
      <c r="E110" s="298"/>
      <c r="F110" s="298"/>
      <c r="G110" s="298"/>
      <c r="H110" s="307">
        <f>SUM(H97:H109)</f>
        <v>1102.07</v>
      </c>
      <c r="I110" s="307">
        <f>SUM(I97:I109)</f>
        <v>825.15000000000009</v>
      </c>
      <c r="J110" s="307">
        <f>SUM(J97:J109)</f>
        <v>1458.5</v>
      </c>
      <c r="K110" s="307">
        <f>SUM(K97:K109)</f>
        <v>1557.7599999999998</v>
      </c>
      <c r="L110" s="307">
        <f>SUM(L97:L109)</f>
        <v>2638.5</v>
      </c>
      <c r="M110" s="12"/>
      <c r="N110" s="12"/>
      <c r="O110" s="293"/>
      <c r="P110" s="293"/>
      <c r="Q110" s="12"/>
      <c r="R110" s="286"/>
      <c r="S110" s="12"/>
    </row>
    <row r="111" spans="3:19" ht="15" customHeight="1">
      <c r="D111" s="297" t="s">
        <v>33</v>
      </c>
      <c r="E111" s="297"/>
      <c r="F111" s="297"/>
      <c r="G111" s="297"/>
      <c r="H111" s="309">
        <f>SUM(H95,H110)</f>
        <v>4106.1499999999996</v>
      </c>
      <c r="I111" s="309">
        <f>SUM(I95,I110)</f>
        <v>3716.9700000000003</v>
      </c>
      <c r="J111" s="309">
        <f>SUM(J95,J110)</f>
        <v>2953.54</v>
      </c>
      <c r="K111" s="309">
        <f>SUM(K95,K110)</f>
        <v>4516.9599999999991</v>
      </c>
      <c r="L111" s="309">
        <f>SUM(L95,L110)</f>
        <v>3950.01</v>
      </c>
      <c r="M111" s="12"/>
      <c r="O111" s="289"/>
      <c r="P111" s="289"/>
      <c r="Q111" s="286"/>
      <c r="R111" s="286"/>
      <c r="S111" s="286"/>
    </row>
    <row r="112" spans="3:19" ht="15" customHeight="1">
      <c r="C112" s="12" t="s">
        <v>34</v>
      </c>
      <c r="E112" s="12"/>
      <c r="F112" s="12"/>
      <c r="G112" s="12"/>
      <c r="H112" s="308"/>
      <c r="I112" s="308"/>
      <c r="J112" s="308"/>
      <c r="K112" s="308"/>
      <c r="L112" s="308"/>
      <c r="O112" s="285"/>
      <c r="P112" s="285"/>
    </row>
    <row r="113" spans="3:27" ht="15" customHeight="1">
      <c r="D113" s="297" t="s">
        <v>440</v>
      </c>
      <c r="E113" s="297"/>
      <c r="F113" s="297"/>
      <c r="G113" s="297"/>
      <c r="H113" s="306">
        <v>416.99</v>
      </c>
      <c r="I113" s="306">
        <v>-99.57</v>
      </c>
      <c r="J113" s="306">
        <v>-606.22</v>
      </c>
      <c r="K113" s="306">
        <v>-456.42</v>
      </c>
      <c r="L113" s="306">
        <v>-43.03</v>
      </c>
      <c r="O113" s="289"/>
      <c r="P113" s="289"/>
      <c r="Q113" s="286"/>
      <c r="R113" s="286"/>
      <c r="S113" s="286"/>
    </row>
    <row r="114" spans="3:27" ht="15" customHeight="1">
      <c r="D114" s="297" t="s">
        <v>441</v>
      </c>
      <c r="E114" s="297"/>
      <c r="F114" s="297"/>
      <c r="G114" s="297"/>
      <c r="H114" s="306">
        <v>-8.9700000000000006</v>
      </c>
      <c r="I114" s="306">
        <v>-772.32</v>
      </c>
      <c r="J114" s="306">
        <v>-235.02</v>
      </c>
      <c r="K114" s="306">
        <v>-790.49</v>
      </c>
      <c r="L114" s="306">
        <v>1120.5</v>
      </c>
      <c r="O114" s="284"/>
      <c r="P114" s="284"/>
      <c r="Q114" s="286"/>
      <c r="R114" s="286"/>
      <c r="S114" s="286"/>
    </row>
    <row r="115" spans="3:27" ht="15" customHeight="1">
      <c r="D115" s="297" t="s">
        <v>442</v>
      </c>
      <c r="E115" s="297"/>
      <c r="F115" s="297"/>
      <c r="G115" s="297"/>
      <c r="H115" s="306">
        <v>484.68</v>
      </c>
      <c r="I115" s="306">
        <v>24.23</v>
      </c>
      <c r="J115" s="306">
        <v>789.65</v>
      </c>
      <c r="K115" s="306">
        <v>521.63</v>
      </c>
      <c r="L115" s="306">
        <v>328.37</v>
      </c>
    </row>
    <row r="116" spans="3:27" ht="15" customHeight="1">
      <c r="C116" s="298" t="s">
        <v>32</v>
      </c>
      <c r="D116" s="287"/>
      <c r="E116" s="298"/>
      <c r="F116" s="298"/>
      <c r="G116" s="298"/>
      <c r="H116" s="307">
        <f>SUM(H113:H115)</f>
        <v>892.7</v>
      </c>
      <c r="I116" s="307">
        <f>SUM(I113:I115)</f>
        <v>-847.66000000000008</v>
      </c>
      <c r="J116" s="307">
        <f>SUM(J113:J115)</f>
        <v>-51.590000000000032</v>
      </c>
      <c r="K116" s="331">
        <f>SUM(K113:K115)</f>
        <v>-725.28000000000009</v>
      </c>
      <c r="L116" s="307">
        <f>SUM(L113:L115)</f>
        <v>1405.8400000000001</v>
      </c>
    </row>
    <row r="117" spans="3:27" ht="15" customHeight="1">
      <c r="D117" s="297" t="s">
        <v>35</v>
      </c>
      <c r="E117" s="297"/>
      <c r="F117" s="297"/>
      <c r="G117" s="297"/>
      <c r="H117" s="309">
        <f>SUM(H111,H116)</f>
        <v>4998.8499999999995</v>
      </c>
      <c r="I117" s="309">
        <f>SUM(I111,I116)</f>
        <v>2869.3100000000004</v>
      </c>
      <c r="J117" s="309">
        <f>SUM(J111,J116)</f>
        <v>2901.95</v>
      </c>
      <c r="K117" s="309">
        <f>SUM(K111,K116)</f>
        <v>3791.6799999999989</v>
      </c>
      <c r="L117" s="309">
        <f>SUM(L111,L116)</f>
        <v>5355.85</v>
      </c>
    </row>
    <row r="118" spans="3:27" ht="15" customHeight="1">
      <c r="D118" s="297" t="s">
        <v>36</v>
      </c>
      <c r="E118" s="297"/>
      <c r="F118" s="297"/>
      <c r="G118" s="297"/>
      <c r="H118" s="306">
        <v>-745.06</v>
      </c>
      <c r="I118" s="306">
        <v>-201.33</v>
      </c>
      <c r="J118" s="306">
        <v>-333.21</v>
      </c>
      <c r="K118" s="306">
        <v>-444.19</v>
      </c>
      <c r="L118" s="306">
        <v>-435.52</v>
      </c>
    </row>
    <row r="119" spans="3:27" ht="15" customHeight="1">
      <c r="C119" s="296" t="s">
        <v>37</v>
      </c>
      <c r="E119" s="296"/>
      <c r="F119" s="296"/>
      <c r="G119" s="296"/>
      <c r="H119" s="332">
        <f>SUM(H117:H118)</f>
        <v>4253.7899999999991</v>
      </c>
      <c r="I119" s="332">
        <f>SUM(I117:I118)</f>
        <v>2667.9800000000005</v>
      </c>
      <c r="J119" s="332">
        <f>SUM(J117:J118)</f>
        <v>2568.7399999999998</v>
      </c>
      <c r="K119" s="332">
        <f>SUM(K117:K118)</f>
        <v>3347.4899999999989</v>
      </c>
      <c r="L119" s="332">
        <f>SUM(L117:L118)</f>
        <v>4920.33</v>
      </c>
    </row>
    <row r="120" spans="3:27" ht="15" customHeight="1">
      <c r="D120" s="297"/>
      <c r="E120" s="297"/>
      <c r="F120" s="297"/>
      <c r="G120" s="297"/>
      <c r="H120" s="308"/>
      <c r="I120" s="308"/>
      <c r="J120" s="308"/>
      <c r="K120" s="308"/>
      <c r="L120" s="308"/>
    </row>
    <row r="121" spans="3:27" ht="15" customHeight="1">
      <c r="C121" s="335" t="s">
        <v>38</v>
      </c>
      <c r="E121" s="296"/>
      <c r="F121" s="296"/>
      <c r="G121" s="296"/>
      <c r="H121" s="308"/>
      <c r="I121" s="308"/>
      <c r="J121" s="308"/>
      <c r="K121" s="308"/>
      <c r="L121" s="308"/>
      <c r="M121" s="334"/>
      <c r="O121" s="284"/>
      <c r="P121" s="284"/>
      <c r="Q121" s="286"/>
      <c r="R121" s="286"/>
      <c r="S121" s="286"/>
      <c r="X121" s="296"/>
      <c r="Y121" s="296"/>
    </row>
    <row r="122" spans="3:27" ht="15" customHeight="1">
      <c r="D122" s="297" t="s">
        <v>417</v>
      </c>
      <c r="E122" s="297"/>
      <c r="F122" s="297"/>
      <c r="G122" s="297"/>
      <c r="H122" s="306">
        <v>-1121.3800000000001</v>
      </c>
      <c r="I122" s="306">
        <v>-2215.84</v>
      </c>
      <c r="J122" s="306">
        <v>-3291.38</v>
      </c>
      <c r="K122" s="306">
        <v>-3140.3</v>
      </c>
      <c r="L122" s="306">
        <v>-4093.38</v>
      </c>
      <c r="O122" s="284"/>
      <c r="P122" s="284"/>
      <c r="Q122" s="283"/>
      <c r="R122" s="283"/>
      <c r="S122" s="283"/>
      <c r="U122" s="334"/>
      <c r="W122" s="284"/>
      <c r="X122" s="284"/>
      <c r="Y122" s="286"/>
      <c r="Z122" s="286"/>
      <c r="AA122" s="286"/>
    </row>
    <row r="123" spans="3:27" ht="15" customHeight="1">
      <c r="D123" s="297" t="s">
        <v>418</v>
      </c>
      <c r="E123" s="297"/>
      <c r="F123" s="297"/>
      <c r="G123" s="297"/>
      <c r="H123" s="306">
        <v>5.46</v>
      </c>
      <c r="I123" s="306">
        <v>8.8000000000000007</v>
      </c>
      <c r="J123" s="306">
        <v>35.340000000000003</v>
      </c>
      <c r="K123" s="306">
        <v>30.85</v>
      </c>
      <c r="L123" s="306">
        <v>21.35</v>
      </c>
      <c r="O123" s="285"/>
      <c r="P123" s="285"/>
      <c r="W123" s="284"/>
      <c r="X123" s="284"/>
      <c r="Y123" s="283"/>
      <c r="Z123" s="283"/>
      <c r="AA123" s="283"/>
    </row>
    <row r="124" spans="3:27" ht="15" customHeight="1">
      <c r="D124" s="297" t="s">
        <v>419</v>
      </c>
      <c r="E124" s="297"/>
      <c r="F124" s="297"/>
      <c r="G124" s="297"/>
      <c r="H124" s="306">
        <v>-13.2</v>
      </c>
      <c r="I124" s="306">
        <v>-2.38</v>
      </c>
      <c r="J124" s="306">
        <v>-23.07</v>
      </c>
      <c r="K124" s="306">
        <v>-60.05</v>
      </c>
      <c r="L124" s="306">
        <v>-11.34</v>
      </c>
      <c r="O124" s="285"/>
      <c r="P124" s="285"/>
      <c r="W124" s="285"/>
      <c r="X124" s="285"/>
    </row>
    <row r="125" spans="3:27" ht="15" customHeight="1">
      <c r="D125" s="59" t="s">
        <v>420</v>
      </c>
      <c r="H125" s="306">
        <v>-753.82</v>
      </c>
      <c r="I125" s="306">
        <v>361.63</v>
      </c>
      <c r="J125" s="306">
        <v>255.8</v>
      </c>
      <c r="K125" s="306">
        <v>41.14</v>
      </c>
      <c r="L125" s="306">
        <v>-861.78</v>
      </c>
      <c r="O125" s="285"/>
      <c r="P125" s="285"/>
      <c r="W125" s="285"/>
      <c r="X125" s="285"/>
    </row>
    <row r="126" spans="3:27" ht="15" customHeight="1">
      <c r="D126" s="297" t="s">
        <v>421</v>
      </c>
      <c r="E126" s="297"/>
      <c r="F126" s="297"/>
      <c r="G126" s="297"/>
      <c r="H126" s="306">
        <v>0</v>
      </c>
      <c r="I126" s="306">
        <v>0</v>
      </c>
      <c r="J126" s="306">
        <v>0</v>
      </c>
      <c r="K126" s="306">
        <v>-10.039999999999999</v>
      </c>
      <c r="L126" s="306">
        <v>0</v>
      </c>
      <c r="W126" s="285"/>
      <c r="X126" s="285"/>
    </row>
    <row r="127" spans="3:27" ht="15" customHeight="1">
      <c r="D127" s="297" t="s">
        <v>422</v>
      </c>
      <c r="E127" s="297"/>
      <c r="F127" s="297"/>
      <c r="G127" s="297"/>
      <c r="H127" s="306">
        <v>0</v>
      </c>
      <c r="I127" s="306">
        <v>0</v>
      </c>
      <c r="J127" s="306">
        <v>0</v>
      </c>
      <c r="K127" s="306">
        <v>10.039999999999999</v>
      </c>
      <c r="L127" s="306">
        <v>0</v>
      </c>
    </row>
    <row r="128" spans="3:27" ht="15" customHeight="1">
      <c r="D128" s="297" t="s">
        <v>423</v>
      </c>
      <c r="E128" s="297"/>
      <c r="F128" s="297"/>
      <c r="G128" s="297"/>
      <c r="H128" s="306">
        <v>-2110.41</v>
      </c>
      <c r="I128" s="306">
        <v>-1149.32</v>
      </c>
      <c r="J128" s="306">
        <v>-97.37</v>
      </c>
      <c r="K128" s="306">
        <v>-226.19</v>
      </c>
      <c r="L128" s="306">
        <v>-127.22</v>
      </c>
      <c r="O128" s="284"/>
      <c r="P128" s="284"/>
    </row>
    <row r="129" spans="3:27" ht="15" customHeight="1">
      <c r="D129" s="297" t="s">
        <v>424</v>
      </c>
      <c r="E129" s="297"/>
      <c r="F129" s="297"/>
      <c r="G129" s="297"/>
      <c r="H129" s="306">
        <v>890.4</v>
      </c>
      <c r="I129" s="306">
        <v>450.24</v>
      </c>
      <c r="J129" s="306">
        <v>330.67</v>
      </c>
      <c r="K129" s="306">
        <v>1607.13</v>
      </c>
      <c r="L129" s="306">
        <v>1095.3800000000001</v>
      </c>
      <c r="O129" s="285"/>
      <c r="P129" s="285"/>
      <c r="R129" s="283"/>
      <c r="S129" s="283"/>
      <c r="W129" s="284"/>
      <c r="X129" s="284"/>
    </row>
    <row r="130" spans="3:27" ht="15" customHeight="1">
      <c r="D130" s="297" t="s">
        <v>425</v>
      </c>
      <c r="E130" s="297"/>
      <c r="F130" s="297"/>
      <c r="G130" s="297"/>
      <c r="H130" s="306">
        <v>-16.75</v>
      </c>
      <c r="I130" s="306">
        <v>-21.2</v>
      </c>
      <c r="J130" s="306">
        <v>0</v>
      </c>
      <c r="K130" s="306">
        <v>0</v>
      </c>
      <c r="L130" s="306">
        <v>0</v>
      </c>
      <c r="O130" s="285"/>
      <c r="P130" s="285"/>
      <c r="R130" s="283"/>
      <c r="S130" s="283"/>
      <c r="W130" s="285"/>
      <c r="X130" s="285"/>
      <c r="Z130" s="283"/>
      <c r="AA130" s="283"/>
    </row>
    <row r="131" spans="3:27" ht="15" customHeight="1">
      <c r="D131" s="297" t="s">
        <v>426</v>
      </c>
      <c r="E131" s="297"/>
      <c r="F131" s="297"/>
      <c r="G131" s="297"/>
      <c r="H131" s="306">
        <v>-0.03</v>
      </c>
      <c r="I131" s="306">
        <v>0</v>
      </c>
      <c r="J131" s="306">
        <v>0</v>
      </c>
      <c r="K131" s="306">
        <v>0</v>
      </c>
      <c r="L131" s="306">
        <v>0</v>
      </c>
      <c r="O131" s="285"/>
      <c r="P131" s="285"/>
      <c r="Q131" s="285"/>
      <c r="R131" s="285"/>
      <c r="S131" s="285"/>
      <c r="W131" s="285"/>
      <c r="X131" s="285"/>
      <c r="Z131" s="283"/>
      <c r="AA131" s="283"/>
    </row>
    <row r="132" spans="3:27" ht="15" customHeight="1">
      <c r="D132" s="297" t="s">
        <v>427</v>
      </c>
      <c r="E132" s="297"/>
      <c r="F132" s="297"/>
      <c r="G132" s="297"/>
      <c r="H132" s="306">
        <v>0</v>
      </c>
      <c r="I132" s="306">
        <v>17.2</v>
      </c>
      <c r="J132" s="306">
        <v>18.77</v>
      </c>
      <c r="K132" s="306">
        <v>1.98</v>
      </c>
      <c r="L132" s="306">
        <v>0</v>
      </c>
      <c r="O132" s="285"/>
      <c r="P132" s="285"/>
      <c r="W132" s="285"/>
      <c r="X132" s="285"/>
      <c r="Y132" s="285"/>
      <c r="Z132" s="285"/>
      <c r="AA132" s="285"/>
    </row>
    <row r="133" spans="3:27" ht="15" customHeight="1">
      <c r="D133" s="297" t="s">
        <v>428</v>
      </c>
      <c r="E133" s="297"/>
      <c r="F133" s="297"/>
      <c r="G133" s="297"/>
      <c r="H133" s="306">
        <v>-270.45</v>
      </c>
      <c r="I133" s="306">
        <v>-37.28</v>
      </c>
      <c r="J133" s="306">
        <v>-74.08</v>
      </c>
      <c r="K133" s="306">
        <v>-54.63</v>
      </c>
      <c r="L133" s="306">
        <v>-74.72</v>
      </c>
      <c r="O133" s="285"/>
      <c r="P133" s="285"/>
      <c r="W133" s="285"/>
      <c r="X133" s="285"/>
      <c r="Y133" s="285"/>
      <c r="Z133" s="285"/>
      <c r="AA133" s="285"/>
    </row>
    <row r="134" spans="3:27" ht="15" customHeight="1">
      <c r="D134" s="297" t="s">
        <v>429</v>
      </c>
      <c r="E134" s="297"/>
      <c r="F134" s="297"/>
      <c r="G134" s="297"/>
      <c r="H134" s="306">
        <v>524.66</v>
      </c>
      <c r="I134" s="306">
        <v>163.07</v>
      </c>
      <c r="J134" s="306">
        <v>67.959999999999994</v>
      </c>
      <c r="K134" s="306">
        <v>31.77</v>
      </c>
      <c r="L134" s="306">
        <v>81.05</v>
      </c>
      <c r="O134" s="285"/>
      <c r="P134" s="285"/>
      <c r="W134" s="285"/>
      <c r="X134" s="285"/>
      <c r="Y134" s="285"/>
      <c r="Z134" s="285"/>
      <c r="AA134" s="285"/>
    </row>
    <row r="135" spans="3:27" ht="15" customHeight="1">
      <c r="D135" s="297" t="s">
        <v>430</v>
      </c>
      <c r="E135" s="297"/>
      <c r="F135" s="297"/>
      <c r="G135" s="297"/>
      <c r="H135" s="306">
        <v>2.19</v>
      </c>
      <c r="I135" s="306">
        <v>0.05</v>
      </c>
      <c r="J135" s="306">
        <v>-0.25</v>
      </c>
      <c r="K135" s="306">
        <v>0.18</v>
      </c>
      <c r="L135" s="306">
        <v>1.03</v>
      </c>
      <c r="O135" s="285"/>
      <c r="P135" s="285"/>
      <c r="W135" s="285"/>
      <c r="X135" s="285"/>
      <c r="Y135" s="285"/>
      <c r="Z135" s="285"/>
      <c r="AA135" s="285"/>
    </row>
    <row r="136" spans="3:27" ht="15" customHeight="1">
      <c r="D136" s="297" t="s">
        <v>431</v>
      </c>
      <c r="E136" s="297"/>
      <c r="F136" s="297"/>
      <c r="G136" s="297"/>
      <c r="H136" s="306">
        <v>0</v>
      </c>
      <c r="I136" s="306">
        <v>-29.42</v>
      </c>
      <c r="J136" s="306">
        <v>0</v>
      </c>
      <c r="K136" s="306">
        <v>0</v>
      </c>
      <c r="L136" s="306">
        <v>0</v>
      </c>
      <c r="O136" s="285"/>
      <c r="P136" s="285"/>
      <c r="W136" s="285"/>
      <c r="X136" s="285"/>
      <c r="Y136" s="285"/>
      <c r="Z136" s="285"/>
      <c r="AA136" s="285"/>
    </row>
    <row r="137" spans="3:27" ht="15" customHeight="1">
      <c r="D137" s="297" t="s">
        <v>378</v>
      </c>
      <c r="E137" s="297"/>
      <c r="F137" s="297"/>
      <c r="G137" s="297"/>
      <c r="H137" s="306">
        <v>9.16</v>
      </c>
      <c r="I137" s="306">
        <v>6.32</v>
      </c>
      <c r="J137" s="306">
        <v>6.14</v>
      </c>
      <c r="K137" s="306">
        <v>6.15</v>
      </c>
      <c r="L137" s="306">
        <v>2.44</v>
      </c>
      <c r="O137" s="285"/>
      <c r="P137" s="285"/>
      <c r="W137" s="285"/>
      <c r="X137" s="285"/>
      <c r="Y137" s="285"/>
      <c r="Z137" s="285"/>
      <c r="AA137" s="285"/>
    </row>
    <row r="138" spans="3:27" ht="15" customHeight="1">
      <c r="D138" s="297" t="s">
        <v>379</v>
      </c>
      <c r="E138" s="297"/>
      <c r="F138" s="297"/>
      <c r="G138" s="297"/>
      <c r="H138" s="306">
        <v>209.13</v>
      </c>
      <c r="I138" s="306">
        <v>296.76</v>
      </c>
      <c r="J138" s="306">
        <v>356.98</v>
      </c>
      <c r="K138" s="306">
        <v>343.51</v>
      </c>
      <c r="L138" s="306">
        <v>239.56</v>
      </c>
      <c r="O138" s="285"/>
      <c r="P138" s="285"/>
      <c r="W138" s="285"/>
      <c r="X138" s="285"/>
    </row>
    <row r="139" spans="3:27" ht="15" customHeight="1">
      <c r="C139" s="298" t="s">
        <v>39</v>
      </c>
      <c r="D139" s="287"/>
      <c r="E139" s="298"/>
      <c r="F139" s="298"/>
      <c r="G139" s="298"/>
      <c r="H139" s="307">
        <f>SUM(H122:H138)</f>
        <v>-2645.04</v>
      </c>
      <c r="I139" s="307">
        <f t="shared" ref="I139:J139" si="14">SUM(I122:I138)</f>
        <v>-2151.37</v>
      </c>
      <c r="J139" s="307">
        <f t="shared" si="14"/>
        <v>-2414.4899999999998</v>
      </c>
      <c r="K139" s="307">
        <f>SUM(K122:K138)</f>
        <v>-1418.4600000000005</v>
      </c>
      <c r="L139" s="307">
        <f>SUM(L122:L138)</f>
        <v>-3727.63</v>
      </c>
      <c r="M139" s="12"/>
      <c r="O139" s="289"/>
      <c r="P139" s="289"/>
      <c r="Q139" s="286"/>
      <c r="R139" s="286"/>
      <c r="S139" s="286"/>
      <c r="W139" s="285"/>
      <c r="X139" s="285"/>
    </row>
    <row r="140" spans="3:27" ht="15" customHeight="1">
      <c r="D140" s="297"/>
      <c r="E140" s="297"/>
      <c r="F140" s="297"/>
      <c r="G140" s="297"/>
      <c r="H140" s="308"/>
      <c r="I140" s="308"/>
      <c r="J140" s="308"/>
      <c r="K140" s="308"/>
      <c r="L140" s="308"/>
      <c r="M140" s="12"/>
      <c r="O140" s="289"/>
      <c r="P140" s="289"/>
      <c r="Q140" s="286"/>
      <c r="R140" s="286"/>
      <c r="S140" s="286"/>
      <c r="W140" s="285"/>
      <c r="X140" s="285"/>
    </row>
    <row r="141" spans="3:27" ht="15" customHeight="1">
      <c r="C141" s="335" t="s">
        <v>40</v>
      </c>
      <c r="E141" s="296"/>
      <c r="F141" s="296"/>
      <c r="G141" s="296"/>
      <c r="H141" s="308"/>
      <c r="I141" s="308"/>
      <c r="J141" s="308"/>
      <c r="K141" s="308"/>
      <c r="L141" s="308"/>
      <c r="M141" s="334"/>
      <c r="O141" s="289"/>
      <c r="P141" s="289"/>
      <c r="Q141" s="286"/>
      <c r="R141" s="286"/>
      <c r="S141" s="286"/>
      <c r="W141" s="285"/>
      <c r="X141" s="285"/>
    </row>
    <row r="142" spans="3:27" ht="15" customHeight="1">
      <c r="D142" s="297" t="s">
        <v>432</v>
      </c>
      <c r="E142" s="297"/>
      <c r="F142" s="297"/>
      <c r="G142" s="297"/>
      <c r="H142" s="306">
        <v>-6.53</v>
      </c>
      <c r="I142" s="306">
        <v>-0.81</v>
      </c>
      <c r="J142" s="306">
        <v>-0.87</v>
      </c>
      <c r="K142" s="306">
        <v>-0.19</v>
      </c>
      <c r="L142" s="306">
        <v>-0.85</v>
      </c>
      <c r="O142" s="285"/>
      <c r="P142" s="285"/>
      <c r="W142" s="285"/>
      <c r="X142" s="285"/>
    </row>
    <row r="143" spans="3:27" ht="15" customHeight="1">
      <c r="D143" s="297" t="s">
        <v>433</v>
      </c>
      <c r="E143" s="297"/>
      <c r="F143" s="297"/>
      <c r="G143" s="297"/>
      <c r="H143" s="306">
        <v>0</v>
      </c>
      <c r="I143" s="306">
        <v>322.27999999999997</v>
      </c>
      <c r="J143" s="306">
        <v>193.63</v>
      </c>
      <c r="K143" s="306">
        <v>698.57</v>
      </c>
      <c r="L143" s="306">
        <v>24.52</v>
      </c>
      <c r="O143" s="285"/>
      <c r="P143" s="285"/>
      <c r="W143" s="285"/>
      <c r="X143" s="285"/>
    </row>
    <row r="144" spans="3:27" ht="15" customHeight="1">
      <c r="D144" s="297" t="s">
        <v>434</v>
      </c>
      <c r="E144" s="297"/>
      <c r="F144" s="297"/>
      <c r="G144" s="297"/>
      <c r="H144" s="306">
        <v>-710.3</v>
      </c>
      <c r="I144" s="306">
        <v>-290.17</v>
      </c>
      <c r="J144" s="306">
        <v>-378.93</v>
      </c>
      <c r="K144" s="306">
        <v>-1168.49</v>
      </c>
      <c r="L144" s="306">
        <v>-256.01</v>
      </c>
      <c r="O144" s="285"/>
      <c r="P144" s="285"/>
      <c r="S144" s="283"/>
      <c r="W144" s="285"/>
      <c r="X144" s="285"/>
    </row>
    <row r="145" spans="1:27" ht="15" customHeight="1">
      <c r="D145" s="297" t="s">
        <v>435</v>
      </c>
      <c r="E145" s="297"/>
      <c r="F145" s="297"/>
      <c r="G145" s="297"/>
      <c r="H145" s="306">
        <v>-61.55</v>
      </c>
      <c r="I145" s="306">
        <v>-98.38</v>
      </c>
      <c r="J145" s="306">
        <v>-147.61000000000001</v>
      </c>
      <c r="K145" s="306">
        <v>-148.9</v>
      </c>
      <c r="L145" s="306">
        <v>-127.29</v>
      </c>
      <c r="N145" s="12"/>
      <c r="O145" s="12"/>
      <c r="Q145" s="12"/>
      <c r="R145" s="12"/>
      <c r="U145" s="12"/>
      <c r="W145" s="289"/>
      <c r="X145" s="289"/>
      <c r="Y145" s="286"/>
      <c r="Z145" s="286"/>
      <c r="AA145" s="286"/>
    </row>
    <row r="146" spans="1:27" ht="15" customHeight="1">
      <c r="D146" s="297" t="s">
        <v>436</v>
      </c>
      <c r="E146" s="297"/>
      <c r="F146" s="297"/>
      <c r="G146" s="297"/>
      <c r="H146" s="306">
        <v>0</v>
      </c>
      <c r="I146" s="306">
        <v>0</v>
      </c>
      <c r="J146" s="306">
        <v>72.67</v>
      </c>
      <c r="K146" s="306">
        <v>20.7</v>
      </c>
      <c r="L146" s="306">
        <v>0</v>
      </c>
      <c r="U146" s="12"/>
      <c r="W146" s="289"/>
      <c r="X146" s="289"/>
      <c r="Y146" s="286"/>
      <c r="Z146" s="286"/>
      <c r="AA146" s="286"/>
    </row>
    <row r="147" spans="1:27" ht="15" customHeight="1">
      <c r="D147" s="297" t="s">
        <v>437</v>
      </c>
      <c r="E147" s="297"/>
      <c r="F147" s="297"/>
      <c r="G147" s="297"/>
      <c r="H147" s="306">
        <v>0</v>
      </c>
      <c r="I147" s="306">
        <v>0</v>
      </c>
      <c r="J147" s="306">
        <v>-72.67</v>
      </c>
      <c r="K147" s="306">
        <v>-20.7</v>
      </c>
      <c r="L147" s="306">
        <v>0</v>
      </c>
      <c r="U147" s="334"/>
      <c r="W147" s="289"/>
      <c r="X147" s="289"/>
      <c r="Y147" s="286"/>
      <c r="Z147" s="286"/>
      <c r="AA147" s="286"/>
    </row>
    <row r="148" spans="1:27" ht="15" customHeight="1">
      <c r="D148" s="297" t="s">
        <v>438</v>
      </c>
      <c r="E148" s="297"/>
      <c r="F148" s="297"/>
      <c r="G148" s="297"/>
      <c r="H148" s="306">
        <v>-189.15</v>
      </c>
      <c r="I148" s="306">
        <v>-188.91</v>
      </c>
      <c r="J148" s="306">
        <v>640.14</v>
      </c>
      <c r="K148" s="306">
        <v>-492.3</v>
      </c>
      <c r="L148" s="306">
        <v>-366.32</v>
      </c>
      <c r="N148" s="12"/>
      <c r="O148" s="12"/>
      <c r="P148" s="12"/>
      <c r="Q148" s="12"/>
      <c r="R148" s="12"/>
      <c r="W148" s="285"/>
      <c r="X148" s="285"/>
    </row>
    <row r="149" spans="1:27" ht="15" customHeight="1">
      <c r="D149" s="297" t="s">
        <v>439</v>
      </c>
      <c r="E149" s="297"/>
      <c r="F149" s="297"/>
      <c r="G149" s="297"/>
      <c r="H149" s="306">
        <v>-253.98</v>
      </c>
      <c r="I149" s="306">
        <v>-209.06</v>
      </c>
      <c r="J149" s="306">
        <v>-258.55</v>
      </c>
      <c r="K149" s="306">
        <v>-219.71</v>
      </c>
      <c r="L149" s="306">
        <v>-190.43</v>
      </c>
      <c r="O149" s="285"/>
      <c r="P149" s="285"/>
      <c r="W149" s="285"/>
      <c r="X149" s="285"/>
    </row>
    <row r="150" spans="1:27" ht="15" customHeight="1">
      <c r="D150" s="297" t="s">
        <v>380</v>
      </c>
      <c r="E150" s="297"/>
      <c r="F150" s="297"/>
      <c r="G150" s="297"/>
      <c r="H150" s="306">
        <v>-11.13</v>
      </c>
      <c r="I150" s="306">
        <v>-384.33</v>
      </c>
      <c r="J150" s="306">
        <v>-324.52</v>
      </c>
      <c r="K150" s="306">
        <v>-379.03</v>
      </c>
      <c r="L150" s="306">
        <v>-379.87</v>
      </c>
      <c r="O150" s="285"/>
      <c r="P150" s="285"/>
      <c r="W150" s="285"/>
      <c r="X150" s="285"/>
      <c r="AA150" s="283"/>
    </row>
    <row r="151" spans="1:27" ht="15" customHeight="1">
      <c r="C151" s="298" t="s">
        <v>41</v>
      </c>
      <c r="D151" s="287"/>
      <c r="E151" s="298"/>
      <c r="F151" s="298"/>
      <c r="G151" s="298"/>
      <c r="H151" s="307">
        <f>SUM(H142:H150)</f>
        <v>-1232.6399999999999</v>
      </c>
      <c r="I151" s="307">
        <f>SUM(I142:I150)</f>
        <v>-849.38000000000011</v>
      </c>
      <c r="J151" s="307">
        <f>SUM(J142:J150)</f>
        <v>-276.71000000000004</v>
      </c>
      <c r="K151" s="307">
        <f>SUM(K142:K150)</f>
        <v>-1710.05</v>
      </c>
      <c r="L151" s="307">
        <f>SUM(L142:L150)</f>
        <v>-1296.25</v>
      </c>
      <c r="M151" s="12"/>
      <c r="O151" s="286"/>
      <c r="P151" s="12"/>
      <c r="Q151" s="12"/>
      <c r="R151" s="286"/>
      <c r="S151" s="286"/>
      <c r="W151" s="285"/>
      <c r="X151" s="285"/>
    </row>
    <row r="152" spans="1:27" ht="15" customHeight="1">
      <c r="C152" s="12" t="s">
        <v>42</v>
      </c>
      <c r="E152" s="296"/>
      <c r="F152" s="296"/>
      <c r="G152" s="296"/>
      <c r="H152" s="309">
        <f>SUM(H119,H139,H151)</f>
        <v>376.10999999999922</v>
      </c>
      <c r="I152" s="309">
        <f>SUM(I119,I139,I151)</f>
        <v>-332.76999999999953</v>
      </c>
      <c r="J152" s="309">
        <f>SUM(J119,J139,J151)</f>
        <v>-122.46000000000004</v>
      </c>
      <c r="K152" s="309">
        <f>SUM(K119,K139,K151)</f>
        <v>218.97999999999843</v>
      </c>
      <c r="L152" s="309">
        <f>SUM(L119,L139,L151)</f>
        <v>-103.55000000000018</v>
      </c>
      <c r="M152" s="12"/>
      <c r="O152" s="286"/>
      <c r="P152" s="12"/>
      <c r="Q152" s="12"/>
      <c r="R152" s="286"/>
      <c r="S152" s="286"/>
      <c r="W152" s="285"/>
      <c r="X152" s="285"/>
    </row>
    <row r="153" spans="1:27" ht="15" customHeight="1">
      <c r="C153" s="12" t="s">
        <v>43</v>
      </c>
      <c r="E153" s="296"/>
      <c r="F153" s="296"/>
      <c r="G153" s="296"/>
      <c r="H153" s="333">
        <v>81.69</v>
      </c>
      <c r="I153" s="333">
        <v>451.99</v>
      </c>
      <c r="J153" s="333">
        <v>127.71</v>
      </c>
      <c r="K153" s="333">
        <v>14.35</v>
      </c>
      <c r="L153" s="333">
        <v>233.92</v>
      </c>
      <c r="W153" s="285"/>
      <c r="X153" s="285"/>
    </row>
    <row r="154" spans="1:27" ht="15" customHeight="1">
      <c r="C154" s="12"/>
      <c r="D154" s="59" t="s">
        <v>530</v>
      </c>
      <c r="E154" s="296"/>
      <c r="F154" s="296"/>
      <c r="G154" s="296"/>
      <c r="H154" s="333">
        <v>-5.81</v>
      </c>
      <c r="I154" s="333">
        <v>8.49</v>
      </c>
      <c r="J154" s="333">
        <v>9.1</v>
      </c>
      <c r="K154" s="333">
        <v>0.59</v>
      </c>
      <c r="L154" s="333">
        <v>1.62</v>
      </c>
      <c r="W154" s="285"/>
      <c r="X154" s="285"/>
    </row>
    <row r="155" spans="1:27" ht="15" customHeight="1">
      <c r="C155" s="288" t="s">
        <v>44</v>
      </c>
      <c r="D155" s="287"/>
      <c r="E155" s="298"/>
      <c r="F155" s="298"/>
      <c r="G155" s="298"/>
      <c r="H155" s="307">
        <f>SUM(H152:H154)</f>
        <v>451.98999999999921</v>
      </c>
      <c r="I155" s="307">
        <f t="shared" ref="I155:L155" si="15">SUM(I152:I154)</f>
        <v>127.71000000000048</v>
      </c>
      <c r="J155" s="307">
        <f t="shared" si="15"/>
        <v>14.349999999999957</v>
      </c>
      <c r="K155" s="307">
        <f t="shared" si="15"/>
        <v>233.91999999999842</v>
      </c>
      <c r="L155" s="307">
        <f t="shared" si="15"/>
        <v>131.98999999999981</v>
      </c>
      <c r="W155" s="285"/>
      <c r="X155" s="285"/>
    </row>
    <row r="156" spans="1:27" ht="15" customHeight="1">
      <c r="D156" s="296"/>
      <c r="E156" s="296"/>
      <c r="F156" s="296"/>
      <c r="G156" s="296"/>
      <c r="H156" s="310"/>
      <c r="I156" s="314"/>
      <c r="J156" s="310"/>
      <c r="K156" s="310"/>
      <c r="L156" s="310"/>
      <c r="W156" s="285"/>
      <c r="X156" s="285"/>
    </row>
    <row r="157" spans="1:27">
      <c r="W157" s="285"/>
      <c r="X157" s="285"/>
    </row>
    <row r="158" spans="1:27" ht="15" customHeight="1">
      <c r="A158" s="294" t="s">
        <v>45</v>
      </c>
      <c r="B158" s="61"/>
      <c r="C158" s="295"/>
      <c r="D158" s="295"/>
      <c r="E158" s="295"/>
      <c r="F158" s="295"/>
      <c r="G158" s="295"/>
      <c r="H158" s="295"/>
      <c r="I158" s="294">
        <f>H93</f>
        <v>2021</v>
      </c>
      <c r="J158" s="294">
        <f>I93</f>
        <v>2022</v>
      </c>
      <c r="K158" s="294">
        <f>J93</f>
        <v>2023</v>
      </c>
      <c r="L158" s="294">
        <f>K93</f>
        <v>2024</v>
      </c>
      <c r="M158" s="294">
        <f>L93</f>
        <v>2025</v>
      </c>
      <c r="N158" s="315" t="s">
        <v>46</v>
      </c>
      <c r="O158" s="316" t="s">
        <v>406</v>
      </c>
      <c r="U158" s="12"/>
      <c r="W158" s="286"/>
      <c r="X158" s="12"/>
      <c r="Y158" s="12"/>
      <c r="Z158" s="286"/>
      <c r="AA158" s="286"/>
    </row>
    <row r="159" spans="1:27" ht="15" customHeight="1">
      <c r="A159" s="171"/>
      <c r="C159" s="171"/>
      <c r="D159" s="59" t="s">
        <v>47</v>
      </c>
      <c r="G159" s="171"/>
      <c r="H159" s="171"/>
      <c r="I159" s="306">
        <v>12666.38</v>
      </c>
      <c r="J159" s="306">
        <v>14121.28</v>
      </c>
      <c r="K159" s="306">
        <v>16827.349999999999</v>
      </c>
      <c r="L159" s="306">
        <v>19154.169999999998</v>
      </c>
      <c r="M159" s="306">
        <v>18030.419999999998</v>
      </c>
      <c r="N159" s="317">
        <f>_xlfn.RRI(5,I159,M159)</f>
        <v>7.3175294014785175E-2</v>
      </c>
      <c r="O159" s="318">
        <f t="shared" ref="O159:O160" si="16">M159*(1+N159)</f>
        <v>19349.801284710062</v>
      </c>
      <c r="S159" s="12"/>
      <c r="U159" s="12"/>
      <c r="W159" s="286"/>
      <c r="X159" s="12"/>
      <c r="Y159" s="12"/>
      <c r="Z159" s="286"/>
      <c r="AA159" s="286"/>
    </row>
    <row r="160" spans="1:27" ht="15" customHeight="1">
      <c r="A160" s="171"/>
      <c r="C160" s="171"/>
      <c r="D160" s="59" t="s">
        <v>443</v>
      </c>
      <c r="G160" s="171"/>
      <c r="H160" s="171"/>
      <c r="I160" s="306">
        <v>2.4900000000000002</v>
      </c>
      <c r="J160" s="306">
        <v>184.6</v>
      </c>
      <c r="K160" s="306">
        <v>10.14</v>
      </c>
      <c r="L160" s="306">
        <v>322.51</v>
      </c>
      <c r="M160" s="306">
        <v>6.91</v>
      </c>
      <c r="N160" s="319">
        <f>_xlfn.RRI(5,I160,M160)</f>
        <v>0.22646664056642152</v>
      </c>
      <c r="O160" s="320">
        <f t="shared" si="16"/>
        <v>8.4748844863139734</v>
      </c>
      <c r="S160" s="12"/>
      <c r="V160" s="12"/>
      <c r="W160" s="12"/>
      <c r="X160" s="12"/>
      <c r="Z160" s="12"/>
      <c r="AA160" s="12"/>
    </row>
    <row r="161" spans="1:27" ht="15" customHeight="1" thickBot="1">
      <c r="B161" s="171"/>
      <c r="G161" s="171"/>
      <c r="H161" s="171"/>
      <c r="I161" s="360">
        <f>SUM(I159:I160)</f>
        <v>12668.869999999999</v>
      </c>
      <c r="J161" s="360">
        <f>SUM(J159:J160)</f>
        <v>14305.880000000001</v>
      </c>
      <c r="K161" s="360">
        <f>SUM(K159:K160)</f>
        <v>16837.489999999998</v>
      </c>
      <c r="L161" s="360">
        <f>SUM(L159:L160)</f>
        <v>19476.679999999997</v>
      </c>
      <c r="M161" s="360">
        <f>SUM(M159:M160)</f>
        <v>18037.329999999998</v>
      </c>
      <c r="N161" s="171"/>
      <c r="O161" s="321">
        <f>SUM(O159:O160)</f>
        <v>19358.276169196375</v>
      </c>
      <c r="V161" s="12"/>
      <c r="W161" s="12"/>
      <c r="X161" s="12"/>
      <c r="Y161" s="12"/>
      <c r="Z161" s="12"/>
      <c r="AA161" s="12"/>
    </row>
    <row r="162" spans="1:27" ht="15" customHeight="1" thickTop="1">
      <c r="A162" s="171"/>
      <c r="B162" s="171"/>
      <c r="C162" s="171"/>
      <c r="D162" s="171"/>
      <c r="E162" s="171"/>
      <c r="F162" s="171"/>
      <c r="G162" s="171"/>
      <c r="H162" s="171"/>
      <c r="I162" s="171"/>
      <c r="J162" s="171"/>
      <c r="K162" s="171"/>
      <c r="L162" s="171"/>
      <c r="M162" s="171"/>
      <c r="N162" s="171"/>
      <c r="O162" s="171"/>
      <c r="S162" s="322"/>
    </row>
    <row r="163" spans="1:27" ht="15" customHeight="1">
      <c r="A163" s="294" t="s">
        <v>48</v>
      </c>
      <c r="B163" s="295"/>
      <c r="C163" s="171"/>
      <c r="D163" s="295"/>
      <c r="E163" s="295"/>
      <c r="F163" s="295"/>
      <c r="G163" s="295"/>
      <c r="H163" s="323">
        <v>44651</v>
      </c>
      <c r="I163" s="323">
        <v>44742</v>
      </c>
      <c r="J163" s="323">
        <v>44834</v>
      </c>
      <c r="K163" s="323">
        <v>44926</v>
      </c>
      <c r="L163" s="323">
        <v>45016</v>
      </c>
      <c r="M163" s="323">
        <v>45107</v>
      </c>
      <c r="N163" s="323">
        <v>45199</v>
      </c>
      <c r="O163" s="323">
        <v>45291</v>
      </c>
      <c r="P163" s="323">
        <v>45382</v>
      </c>
      <c r="Q163" s="323">
        <v>45473</v>
      </c>
      <c r="R163" s="323">
        <v>45565</v>
      </c>
      <c r="S163" s="323">
        <v>45657</v>
      </c>
      <c r="T163" s="323">
        <v>45747</v>
      </c>
      <c r="U163" s="324">
        <v>45838</v>
      </c>
    </row>
    <row r="164" spans="1:27" ht="15" customHeight="1">
      <c r="A164" s="171"/>
      <c r="B164" s="171"/>
      <c r="C164" s="325"/>
      <c r="D164" s="171" t="s">
        <v>49</v>
      </c>
      <c r="F164" s="171"/>
      <c r="G164" s="171"/>
      <c r="H164" s="312">
        <v>4364</v>
      </c>
      <c r="I164" s="312">
        <v>4415</v>
      </c>
      <c r="J164" s="312">
        <v>4038</v>
      </c>
      <c r="K164" s="312">
        <v>4299</v>
      </c>
      <c r="L164" s="312">
        <v>5100</v>
      </c>
      <c r="M164" s="312">
        <v>5036</v>
      </c>
      <c r="N164" s="312">
        <v>4774</v>
      </c>
      <c r="O164" s="312">
        <v>5193</v>
      </c>
      <c r="P164" s="312">
        <v>5401</v>
      </c>
      <c r="Q164" s="312">
        <v>5124</v>
      </c>
      <c r="R164" s="312">
        <v>4054</v>
      </c>
      <c r="S164" s="312">
        <v>4573</v>
      </c>
      <c r="T164" s="326">
        <v>5532</v>
      </c>
      <c r="U164" s="326">
        <f>T164*(1+U165)</f>
        <v>5216.0129067434873</v>
      </c>
    </row>
    <row r="165" spans="1:27" ht="15" customHeight="1">
      <c r="A165" s="171"/>
      <c r="C165" s="171"/>
      <c r="D165" s="327" t="s">
        <v>469</v>
      </c>
      <c r="F165" s="171"/>
      <c r="G165" s="171"/>
      <c r="H165" s="361"/>
      <c r="I165" s="361"/>
      <c r="J165" s="361"/>
      <c r="K165" s="361"/>
      <c r="L165" s="361"/>
      <c r="M165" s="362"/>
      <c r="N165" s="362"/>
      <c r="O165" s="362"/>
      <c r="P165" s="363"/>
      <c r="Q165" s="328">
        <f>Q164/M164-1</f>
        <v>1.7474185861795055E-2</v>
      </c>
      <c r="R165" s="328">
        <f>R164/N164-1</f>
        <v>-0.15081692501047339</v>
      </c>
      <c r="S165" s="328">
        <f>S164/O164-1</f>
        <v>-0.11939148854226844</v>
      </c>
      <c r="T165" s="328">
        <f>T164/P164-1</f>
        <v>2.4254767635623065E-2</v>
      </c>
      <c r="U165" s="329">
        <f>AVERAGE(Q165:T165)</f>
        <v>-5.7119865013830928E-2</v>
      </c>
    </row>
    <row r="166" spans="1:27" ht="15" customHeight="1">
      <c r="A166" s="171"/>
      <c r="B166" s="171"/>
      <c r="C166" s="171"/>
      <c r="D166" s="171" t="s">
        <v>6</v>
      </c>
      <c r="F166" s="171"/>
      <c r="G166" s="171"/>
      <c r="H166" s="312">
        <v>3445</v>
      </c>
      <c r="I166" s="312">
        <v>3614</v>
      </c>
      <c r="J166" s="312">
        <v>3495</v>
      </c>
      <c r="K166" s="312">
        <v>3573</v>
      </c>
      <c r="L166" s="312">
        <v>4211</v>
      </c>
      <c r="M166" s="312">
        <v>4091</v>
      </c>
      <c r="N166" s="312">
        <v>3888</v>
      </c>
      <c r="O166" s="312">
        <v>3930</v>
      </c>
      <c r="P166" s="312">
        <v>3979</v>
      </c>
      <c r="Q166" s="312">
        <v>4197</v>
      </c>
      <c r="R166" s="312">
        <v>3441</v>
      </c>
      <c r="S166" s="312">
        <v>3608</v>
      </c>
      <c r="T166" s="312">
        <v>4103</v>
      </c>
    </row>
    <row r="167" spans="1:27" ht="15" customHeight="1">
      <c r="A167" s="171"/>
      <c r="B167" s="171"/>
      <c r="C167" s="171"/>
      <c r="D167" s="171" t="s">
        <v>50</v>
      </c>
      <c r="F167" s="171"/>
      <c r="G167" s="171"/>
      <c r="H167" s="312">
        <v>919</v>
      </c>
      <c r="I167" s="312">
        <v>801</v>
      </c>
      <c r="J167" s="312">
        <v>543</v>
      </c>
      <c r="K167" s="312">
        <v>727</v>
      </c>
      <c r="L167" s="312">
        <v>889</v>
      </c>
      <c r="M167" s="312">
        <v>945</v>
      </c>
      <c r="N167" s="312">
        <v>886</v>
      </c>
      <c r="O167" s="312">
        <v>1264</v>
      </c>
      <c r="P167" s="312">
        <v>1422</v>
      </c>
      <c r="Q167" s="312">
        <v>927</v>
      </c>
      <c r="R167" s="312">
        <v>613</v>
      </c>
      <c r="S167" s="312">
        <v>965</v>
      </c>
      <c r="T167" s="312">
        <v>1429</v>
      </c>
    </row>
    <row r="168" spans="1:27" ht="15" customHeight="1">
      <c r="A168" s="171"/>
      <c r="B168" s="171"/>
      <c r="C168" s="171"/>
      <c r="D168" s="171" t="s">
        <v>5</v>
      </c>
      <c r="F168" s="171"/>
      <c r="G168" s="171"/>
      <c r="H168" s="312">
        <v>137</v>
      </c>
      <c r="I168" s="312">
        <v>-20</v>
      </c>
      <c r="J168" s="312">
        <v>159</v>
      </c>
      <c r="K168" s="312">
        <v>174</v>
      </c>
      <c r="L168" s="312">
        <v>146</v>
      </c>
      <c r="M168" s="312">
        <v>169</v>
      </c>
      <c r="N168" s="312">
        <v>132</v>
      </c>
      <c r="O168" s="312">
        <v>147</v>
      </c>
      <c r="P168" s="312">
        <v>150</v>
      </c>
      <c r="Q168" s="312">
        <v>139</v>
      </c>
      <c r="R168" s="312">
        <v>181</v>
      </c>
      <c r="S168" s="312">
        <v>111</v>
      </c>
      <c r="T168" s="312">
        <v>158</v>
      </c>
    </row>
    <row r="169" spans="1:27" ht="15" customHeight="1">
      <c r="A169" s="171"/>
      <c r="B169" s="171"/>
      <c r="C169" s="171"/>
      <c r="D169" s="171" t="s">
        <v>51</v>
      </c>
      <c r="F169" s="171"/>
      <c r="G169" s="171"/>
      <c r="H169" s="312">
        <v>52</v>
      </c>
      <c r="I169" s="312">
        <v>55</v>
      </c>
      <c r="J169" s="312">
        <v>66</v>
      </c>
      <c r="K169" s="312">
        <v>70</v>
      </c>
      <c r="L169" s="312">
        <v>71</v>
      </c>
      <c r="M169" s="312">
        <v>74</v>
      </c>
      <c r="N169" s="312">
        <v>67</v>
      </c>
      <c r="O169" s="312">
        <v>55</v>
      </c>
      <c r="P169" s="312">
        <v>62</v>
      </c>
      <c r="Q169" s="312">
        <v>56</v>
      </c>
      <c r="R169" s="312">
        <v>56</v>
      </c>
      <c r="S169" s="312">
        <v>52</v>
      </c>
      <c r="T169" s="312">
        <v>41</v>
      </c>
    </row>
    <row r="170" spans="1:27" ht="15" customHeight="1">
      <c r="A170" s="171"/>
      <c r="B170" s="171"/>
      <c r="C170" s="171"/>
      <c r="D170" s="171" t="s">
        <v>52</v>
      </c>
      <c r="F170" s="171"/>
      <c r="G170" s="171"/>
      <c r="H170" s="312">
        <v>297</v>
      </c>
      <c r="I170" s="312">
        <v>350</v>
      </c>
      <c r="J170" s="312">
        <v>396</v>
      </c>
      <c r="K170" s="312">
        <v>443</v>
      </c>
      <c r="L170" s="312">
        <v>473</v>
      </c>
      <c r="M170" s="312">
        <v>339</v>
      </c>
      <c r="N170" s="312">
        <v>412</v>
      </c>
      <c r="O170" s="312">
        <v>444</v>
      </c>
      <c r="P170" s="312">
        <v>702</v>
      </c>
      <c r="Q170" s="312">
        <v>704</v>
      </c>
      <c r="R170" s="312">
        <v>716</v>
      </c>
      <c r="S170" s="312">
        <v>799</v>
      </c>
      <c r="T170" s="312">
        <v>788</v>
      </c>
    </row>
    <row r="171" spans="1:27" ht="15" customHeight="1">
      <c r="A171" s="171"/>
      <c r="B171" s="171"/>
      <c r="C171" s="171"/>
      <c r="D171" s="171" t="s">
        <v>15</v>
      </c>
      <c r="F171" s="171"/>
      <c r="G171" s="171"/>
      <c r="H171" s="312">
        <v>707</v>
      </c>
      <c r="I171" s="312">
        <v>376</v>
      </c>
      <c r="J171" s="312">
        <v>240</v>
      </c>
      <c r="K171" s="312">
        <v>388</v>
      </c>
      <c r="L171" s="312">
        <v>491</v>
      </c>
      <c r="M171" s="312">
        <v>700</v>
      </c>
      <c r="N171" s="312">
        <v>539</v>
      </c>
      <c r="O171" s="312">
        <v>913</v>
      </c>
      <c r="P171" s="312">
        <v>807</v>
      </c>
      <c r="Q171" s="312">
        <v>306</v>
      </c>
      <c r="R171" s="312">
        <v>23</v>
      </c>
      <c r="S171" s="312">
        <v>225</v>
      </c>
      <c r="T171" s="312">
        <v>758</v>
      </c>
    </row>
    <row r="172" spans="1:27" ht="15" customHeight="1">
      <c r="B172" s="171"/>
      <c r="C172" s="171"/>
      <c r="D172" s="171" t="s">
        <v>53</v>
      </c>
      <c r="F172" s="171"/>
      <c r="G172" s="171"/>
      <c r="H172" s="312">
        <v>49.49</v>
      </c>
      <c r="I172" s="312">
        <v>97.76</v>
      </c>
      <c r="J172" s="312">
        <v>57.599999999999994</v>
      </c>
      <c r="K172" s="312">
        <v>104.76</v>
      </c>
      <c r="L172" s="312">
        <v>-34.370000000000005</v>
      </c>
      <c r="M172" s="312">
        <v>126</v>
      </c>
      <c r="N172" s="312">
        <v>91.63000000000001</v>
      </c>
      <c r="O172" s="312">
        <v>209.99</v>
      </c>
      <c r="P172" s="312">
        <v>129.12</v>
      </c>
      <c r="Q172" s="312">
        <v>27.54</v>
      </c>
      <c r="R172" s="312">
        <v>-52.67</v>
      </c>
      <c r="S172" s="312">
        <v>31.500000000000004</v>
      </c>
      <c r="T172" s="312">
        <v>181.92</v>
      </c>
    </row>
    <row r="173" spans="1:27" ht="15" customHeight="1">
      <c r="B173" s="171"/>
      <c r="C173" s="171"/>
      <c r="D173" s="171" t="s">
        <v>54</v>
      </c>
      <c r="F173" s="171"/>
      <c r="G173" s="171"/>
      <c r="H173" s="312">
        <v>659</v>
      </c>
      <c r="I173" s="312">
        <v>279</v>
      </c>
      <c r="J173" s="312">
        <v>183</v>
      </c>
      <c r="K173" s="312">
        <v>282</v>
      </c>
      <c r="L173" s="312">
        <v>525</v>
      </c>
      <c r="M173" s="312">
        <v>572</v>
      </c>
      <c r="N173" s="312">
        <v>447</v>
      </c>
      <c r="O173" s="312">
        <v>702</v>
      </c>
      <c r="P173" s="312">
        <v>676</v>
      </c>
      <c r="Q173" s="312">
        <v>278</v>
      </c>
      <c r="R173" s="312">
        <v>77</v>
      </c>
      <c r="S173" s="312">
        <v>194</v>
      </c>
      <c r="T173" s="312">
        <v>575</v>
      </c>
    </row>
    <row r="174" spans="1:27">
      <c r="B174" s="171"/>
      <c r="D174" s="171" t="s">
        <v>396</v>
      </c>
      <c r="H174" s="312">
        <v>182.16</v>
      </c>
      <c r="I174" s="312">
        <v>77.47</v>
      </c>
      <c r="J174" s="312">
        <v>50.82</v>
      </c>
      <c r="K174" s="312">
        <v>78.180000000000007</v>
      </c>
      <c r="L174" s="312">
        <v>145.72</v>
      </c>
      <c r="M174" s="312">
        <v>158.62</v>
      </c>
      <c r="N174" s="312">
        <v>123.79</v>
      </c>
      <c r="O174" s="312">
        <v>194.53</v>
      </c>
      <c r="P174" s="312">
        <v>187.05</v>
      </c>
      <c r="Q174" s="312">
        <v>77.22</v>
      </c>
      <c r="R174" s="312">
        <v>21.19</v>
      </c>
      <c r="S174" s="312">
        <v>53.6</v>
      </c>
      <c r="T174" s="312">
        <v>159.18</v>
      </c>
    </row>
    <row r="175" spans="1:27" ht="15" customHeight="1">
      <c r="B175" s="171"/>
      <c r="H175" s="173"/>
      <c r="I175" s="173"/>
      <c r="J175" s="173"/>
      <c r="K175" s="173"/>
      <c r="L175" s="173"/>
      <c r="M175" s="173"/>
      <c r="N175" s="173"/>
      <c r="O175" s="173"/>
      <c r="P175" s="173"/>
      <c r="Q175" s="173"/>
    </row>
    <row r="176" spans="1:27">
      <c r="H176" s="364"/>
      <c r="I176" s="364"/>
      <c r="J176" s="365"/>
      <c r="K176" s="364"/>
      <c r="L176" s="364"/>
      <c r="M176" s="364"/>
      <c r="N176" s="364"/>
      <c r="O176" s="364"/>
      <c r="P176" s="364"/>
      <c r="Q176" s="364"/>
      <c r="R176" s="36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D34B0-F5C8-1948-88E3-C8097D0D743F}">
  <dimension ref="B1:R48"/>
  <sheetViews>
    <sheetView showGridLines="0" zoomScale="86" zoomScaleNormal="100" workbookViewId="0">
      <selection activeCell="E21" sqref="E21"/>
    </sheetView>
  </sheetViews>
  <sheetFormatPr baseColWidth="10" defaultColWidth="8.83203125" defaultRowHeight="15"/>
  <cols>
    <col min="1" max="1" width="2" style="180" customWidth="1"/>
    <col min="2" max="2" width="38" style="180" bestFit="1" customWidth="1"/>
    <col min="3" max="3" width="16.83203125" style="182" customWidth="1"/>
    <col min="4" max="4" width="16.33203125" style="180" customWidth="1"/>
    <col min="5" max="5" width="15.1640625" style="180" customWidth="1"/>
    <col min="6" max="6" width="15.83203125" style="180" customWidth="1"/>
    <col min="7" max="7" width="13.5" style="180" customWidth="1"/>
    <col min="8" max="8" width="13.83203125" style="180" customWidth="1"/>
    <col min="9" max="16384" width="8.83203125" style="180"/>
  </cols>
  <sheetData>
    <row r="1" spans="2:18" ht="47">
      <c r="B1" s="336" t="str">
        <f>Historical!A1</f>
        <v>Shree Cement Limited</v>
      </c>
      <c r="C1" s="215"/>
      <c r="D1" s="215"/>
      <c r="E1" s="215"/>
      <c r="F1" s="215"/>
      <c r="G1" s="215"/>
      <c r="H1" s="215"/>
      <c r="I1" s="215"/>
      <c r="J1" s="215"/>
      <c r="K1" s="215"/>
      <c r="L1" s="215"/>
      <c r="M1" s="215"/>
      <c r="N1" s="215"/>
      <c r="O1" s="215"/>
      <c r="P1" s="215"/>
      <c r="Q1" s="215"/>
      <c r="R1" s="215"/>
    </row>
    <row r="2" spans="2:18" ht="16">
      <c r="B2" s="217" t="s">
        <v>147</v>
      </c>
      <c r="C2" s="215"/>
      <c r="D2" s="215"/>
      <c r="E2" s="215"/>
      <c r="F2" s="215"/>
      <c r="G2" s="215"/>
      <c r="H2" s="215"/>
      <c r="I2" s="215"/>
      <c r="J2" s="215"/>
      <c r="K2" s="215"/>
      <c r="L2" s="215"/>
      <c r="M2" s="215"/>
      <c r="N2" s="215"/>
      <c r="O2" s="215"/>
      <c r="P2" s="215"/>
      <c r="Q2" s="215"/>
      <c r="R2" s="215"/>
    </row>
    <row r="4" spans="2:18">
      <c r="B4" s="256" t="s">
        <v>315</v>
      </c>
      <c r="C4" s="435" t="s">
        <v>352</v>
      </c>
      <c r="D4" s="435"/>
      <c r="E4" s="435"/>
      <c r="F4" s="435"/>
      <c r="G4" s="181"/>
    </row>
    <row r="5" spans="2:18">
      <c r="B5" s="256" t="s">
        <v>316</v>
      </c>
      <c r="C5" s="436" t="s">
        <v>445</v>
      </c>
      <c r="D5" s="436"/>
      <c r="E5" s="436"/>
      <c r="F5" s="436"/>
    </row>
    <row r="6" spans="2:18">
      <c r="B6" s="256" t="s">
        <v>317</v>
      </c>
      <c r="C6" s="436" t="s">
        <v>455</v>
      </c>
      <c r="D6" s="436"/>
      <c r="E6" s="436"/>
      <c r="F6" s="436"/>
    </row>
    <row r="7" spans="2:18">
      <c r="B7" s="256" t="s">
        <v>318</v>
      </c>
      <c r="C7" s="436" t="s">
        <v>454</v>
      </c>
      <c r="D7" s="436"/>
      <c r="E7" s="436"/>
      <c r="F7" s="436"/>
    </row>
    <row r="8" spans="2:18">
      <c r="B8" s="256" t="s">
        <v>319</v>
      </c>
      <c r="C8" s="436" t="s">
        <v>446</v>
      </c>
      <c r="D8" s="436"/>
      <c r="E8" s="436"/>
      <c r="F8" s="436"/>
    </row>
    <row r="9" spans="2:18" ht="16">
      <c r="B9" s="256" t="s">
        <v>320</v>
      </c>
      <c r="C9" s="434" t="s">
        <v>444</v>
      </c>
      <c r="D9" s="434"/>
      <c r="E9" s="434"/>
      <c r="F9" s="434"/>
    </row>
    <row r="10" spans="2:18" ht="155" customHeight="1">
      <c r="B10" s="257" t="s">
        <v>315</v>
      </c>
      <c r="C10" s="437" t="s">
        <v>468</v>
      </c>
      <c r="D10" s="438"/>
      <c r="E10" s="438"/>
      <c r="F10" s="439"/>
    </row>
    <row r="11" spans="2:18" ht="15" customHeight="1">
      <c r="B11" s="256" t="s">
        <v>321</v>
      </c>
      <c r="C11" s="440">
        <v>30450</v>
      </c>
      <c r="D11" s="441"/>
      <c r="E11" s="441"/>
      <c r="F11" s="442"/>
    </row>
    <row r="15" spans="2:18">
      <c r="E15" s="184"/>
      <c r="F15" s="183"/>
      <c r="H15" s="185"/>
    </row>
    <row r="16" spans="2:18">
      <c r="B16" s="443" t="s">
        <v>322</v>
      </c>
      <c r="C16" s="443"/>
      <c r="D16" s="443"/>
      <c r="E16" s="184"/>
      <c r="F16" s="183"/>
      <c r="G16" s="186"/>
      <c r="H16" s="185"/>
      <c r="I16" s="186"/>
    </row>
    <row r="17" spans="2:9">
      <c r="B17" s="187" t="s">
        <v>310</v>
      </c>
      <c r="C17" s="188"/>
      <c r="D17" s="189" t="s">
        <v>323</v>
      </c>
      <c r="E17" s="184"/>
      <c r="F17" s="183"/>
      <c r="G17" s="186"/>
      <c r="H17" s="185"/>
      <c r="I17" s="186"/>
    </row>
    <row r="18" spans="2:9">
      <c r="B18" s="190" t="s">
        <v>324</v>
      </c>
      <c r="C18" s="182" t="s">
        <v>325</v>
      </c>
      <c r="D18" s="191">
        <v>36080748</v>
      </c>
      <c r="F18" s="183"/>
      <c r="G18" s="186"/>
      <c r="H18" s="185"/>
      <c r="I18" s="186"/>
    </row>
    <row r="19" spans="2:9">
      <c r="B19" s="190" t="s">
        <v>326</v>
      </c>
      <c r="C19" s="182" t="s">
        <v>327</v>
      </c>
      <c r="D19" s="191">
        <v>10</v>
      </c>
      <c r="G19" s="186"/>
      <c r="H19" s="185"/>
      <c r="I19" s="186"/>
    </row>
    <row r="20" spans="2:9">
      <c r="B20" s="190" t="s">
        <v>321</v>
      </c>
      <c r="C20" s="182" t="s">
        <v>327</v>
      </c>
      <c r="D20" s="191">
        <f>C11</f>
        <v>30450</v>
      </c>
    </row>
    <row r="21" spans="2:9">
      <c r="B21" s="192" t="s">
        <v>328</v>
      </c>
      <c r="C21" s="193" t="s">
        <v>329</v>
      </c>
      <c r="D21" s="194">
        <f>D18*D20/10^7</f>
        <v>109865.87766</v>
      </c>
    </row>
    <row r="22" spans="2:9">
      <c r="D22" s="183"/>
    </row>
    <row r="24" spans="2:9">
      <c r="B24" s="444" t="s">
        <v>465</v>
      </c>
      <c r="C24" s="444"/>
      <c r="D24" s="218"/>
      <c r="E24" s="218"/>
    </row>
    <row r="25" spans="2:9">
      <c r="B25" s="195" t="s">
        <v>330</v>
      </c>
      <c r="C25" s="196"/>
      <c r="D25" s="372" t="s">
        <v>466</v>
      </c>
      <c r="E25" s="358" t="s">
        <v>467</v>
      </c>
    </row>
    <row r="26" spans="2:9" s="197" customFormat="1">
      <c r="B26" s="198">
        <v>2021</v>
      </c>
      <c r="C26" s="199"/>
      <c r="D26" s="373">
        <v>43.4</v>
      </c>
      <c r="E26" s="366">
        <v>752</v>
      </c>
    </row>
    <row r="27" spans="2:9" s="200" customFormat="1">
      <c r="B27" s="198">
        <v>2022</v>
      </c>
      <c r="C27" s="199"/>
      <c r="D27" s="373">
        <v>46.4</v>
      </c>
      <c r="E27" s="366">
        <v>771</v>
      </c>
    </row>
    <row r="28" spans="2:9">
      <c r="B28" s="198">
        <v>2023</v>
      </c>
      <c r="C28" s="199"/>
      <c r="D28" s="373">
        <v>46.4</v>
      </c>
      <c r="E28" s="366">
        <v>888.6</v>
      </c>
      <c r="F28" s="186"/>
      <c r="H28" s="185"/>
    </row>
    <row r="29" spans="2:9">
      <c r="B29" s="198">
        <v>2024</v>
      </c>
      <c r="C29" s="199"/>
      <c r="D29" s="373">
        <v>53.4</v>
      </c>
      <c r="E29" s="366">
        <v>983</v>
      </c>
      <c r="F29" s="186"/>
      <c r="H29" s="201"/>
    </row>
    <row r="30" spans="2:9">
      <c r="B30" s="202">
        <v>2025</v>
      </c>
      <c r="C30" s="203"/>
      <c r="D30" s="374">
        <v>62.5</v>
      </c>
      <c r="E30" s="367">
        <v>1085</v>
      </c>
      <c r="F30" s="186"/>
      <c r="H30" s="204"/>
    </row>
    <row r="31" spans="2:9" s="205" customFormat="1">
      <c r="B31" s="359" t="s">
        <v>463</v>
      </c>
      <c r="C31" s="206"/>
      <c r="F31" s="207"/>
    </row>
    <row r="32" spans="2:9">
      <c r="B32" s="359" t="s">
        <v>464</v>
      </c>
    </row>
    <row r="34" spans="2:8" ht="15.5" customHeight="1">
      <c r="B34" s="250" t="s">
        <v>334</v>
      </c>
      <c r="C34" s="250" t="s">
        <v>331</v>
      </c>
      <c r="D34" s="444" t="s">
        <v>147</v>
      </c>
      <c r="E34" s="444"/>
      <c r="F34" s="444"/>
      <c r="G34" s="444"/>
      <c r="H34" s="444"/>
    </row>
    <row r="35" spans="2:8" ht="115" customHeight="1">
      <c r="B35" s="454" t="s">
        <v>336</v>
      </c>
      <c r="C35" s="213" t="s">
        <v>351</v>
      </c>
      <c r="D35" s="451" t="s">
        <v>532</v>
      </c>
      <c r="E35" s="452"/>
      <c r="F35" s="452"/>
      <c r="G35" s="452"/>
      <c r="H35" s="453"/>
    </row>
    <row r="36" spans="2:8" ht="50" customHeight="1">
      <c r="B36" s="455"/>
      <c r="C36" s="212" t="s">
        <v>349</v>
      </c>
      <c r="D36" s="451" t="s">
        <v>345</v>
      </c>
      <c r="E36" s="452"/>
      <c r="F36" s="452"/>
      <c r="G36" s="452"/>
      <c r="H36" s="453"/>
    </row>
    <row r="37" spans="2:8" ht="46" customHeight="1">
      <c r="B37" s="455"/>
      <c r="C37" s="213" t="s">
        <v>343</v>
      </c>
      <c r="D37" s="448" t="s">
        <v>539</v>
      </c>
      <c r="E37" s="449"/>
      <c r="F37" s="449"/>
      <c r="G37" s="449"/>
      <c r="H37" s="450"/>
    </row>
    <row r="38" spans="2:8" ht="35" customHeight="1">
      <c r="B38" s="455"/>
      <c r="C38" s="213" t="s">
        <v>344</v>
      </c>
      <c r="D38" s="448" t="s">
        <v>533</v>
      </c>
      <c r="E38" s="449"/>
      <c r="F38" s="449"/>
      <c r="G38" s="449"/>
      <c r="H38" s="450"/>
    </row>
    <row r="39" spans="2:8" ht="33" customHeight="1">
      <c r="B39" s="455"/>
      <c r="C39" s="212" t="s">
        <v>335</v>
      </c>
      <c r="D39" s="457" t="s">
        <v>481</v>
      </c>
      <c r="E39" s="458"/>
      <c r="F39" s="458"/>
      <c r="G39" s="458"/>
      <c r="H39" s="459"/>
    </row>
    <row r="40" spans="2:8" ht="50" customHeight="1">
      <c r="B40" s="455"/>
      <c r="C40" s="214" t="s">
        <v>338</v>
      </c>
      <c r="D40" s="451" t="s">
        <v>540</v>
      </c>
      <c r="E40" s="452"/>
      <c r="F40" s="452"/>
      <c r="G40" s="452"/>
      <c r="H40" s="453"/>
    </row>
    <row r="41" spans="2:8" ht="40" customHeight="1">
      <c r="B41" s="455"/>
      <c r="C41" s="213" t="s">
        <v>342</v>
      </c>
      <c r="D41" s="448" t="s">
        <v>491</v>
      </c>
      <c r="E41" s="449"/>
      <c r="F41" s="449"/>
      <c r="G41" s="449"/>
      <c r="H41" s="450"/>
    </row>
    <row r="42" spans="2:8" ht="78" customHeight="1">
      <c r="B42" s="455"/>
      <c r="C42" s="213" t="s">
        <v>346</v>
      </c>
      <c r="D42" s="448" t="s">
        <v>333</v>
      </c>
      <c r="E42" s="449"/>
      <c r="F42" s="449"/>
      <c r="G42" s="449"/>
      <c r="H42" s="450"/>
    </row>
    <row r="43" spans="2:8" ht="36" customHeight="1">
      <c r="B43" s="456"/>
      <c r="C43" s="214" t="s">
        <v>347</v>
      </c>
      <c r="D43" s="451" t="s">
        <v>332</v>
      </c>
      <c r="E43" s="452"/>
      <c r="F43" s="452"/>
      <c r="G43" s="452"/>
      <c r="H43" s="453"/>
    </row>
    <row r="44" spans="2:8" ht="34" customHeight="1">
      <c r="B44" s="445" t="s">
        <v>91</v>
      </c>
      <c r="C44" s="210" t="s">
        <v>483</v>
      </c>
      <c r="D44" s="448" t="s">
        <v>340</v>
      </c>
      <c r="E44" s="449"/>
      <c r="F44" s="449"/>
      <c r="G44" s="449"/>
      <c r="H44" s="450"/>
    </row>
    <row r="45" spans="2:8" ht="36" customHeight="1">
      <c r="B45" s="446"/>
      <c r="C45" s="210" t="s">
        <v>348</v>
      </c>
      <c r="D45" s="448" t="s">
        <v>341</v>
      </c>
      <c r="E45" s="449"/>
      <c r="F45" s="449"/>
      <c r="G45" s="449"/>
      <c r="H45" s="450"/>
    </row>
    <row r="46" spans="2:8" ht="80">
      <c r="B46" s="447"/>
      <c r="C46" s="208" t="s">
        <v>485</v>
      </c>
      <c r="D46" s="437" t="s">
        <v>484</v>
      </c>
      <c r="E46" s="438"/>
      <c r="F46" s="438"/>
      <c r="G46" s="438"/>
      <c r="H46" s="439"/>
    </row>
    <row r="47" spans="2:8" ht="32" customHeight="1">
      <c r="B47" s="368" t="s">
        <v>109</v>
      </c>
      <c r="C47" s="208" t="s">
        <v>486</v>
      </c>
      <c r="D47" s="437" t="s">
        <v>487</v>
      </c>
      <c r="E47" s="438"/>
      <c r="F47" s="438"/>
      <c r="G47" s="438"/>
      <c r="H47" s="439"/>
    </row>
    <row r="48" spans="2:8" ht="22" customHeight="1">
      <c r="B48" s="208" t="s">
        <v>133</v>
      </c>
      <c r="C48" s="211" t="s">
        <v>482</v>
      </c>
      <c r="D48" s="431" t="s">
        <v>350</v>
      </c>
      <c r="E48" s="432"/>
      <c r="F48" s="432"/>
      <c r="G48" s="432"/>
      <c r="H48" s="433"/>
    </row>
  </sheetData>
  <mergeCells count="27">
    <mergeCell ref="D47:H47"/>
    <mergeCell ref="D35:H35"/>
    <mergeCell ref="D40:H40"/>
    <mergeCell ref="D36:H36"/>
    <mergeCell ref="D46:H46"/>
    <mergeCell ref="D42:H42"/>
    <mergeCell ref="D39:H39"/>
    <mergeCell ref="D37:H37"/>
    <mergeCell ref="D45:H45"/>
    <mergeCell ref="D41:H41"/>
    <mergeCell ref="D38:H38"/>
    <mergeCell ref="D48:H48"/>
    <mergeCell ref="C9:F9"/>
    <mergeCell ref="C4:F4"/>
    <mergeCell ref="C5:F5"/>
    <mergeCell ref="C6:F6"/>
    <mergeCell ref="C7:F7"/>
    <mergeCell ref="C8:F8"/>
    <mergeCell ref="C10:F10"/>
    <mergeCell ref="C11:F11"/>
    <mergeCell ref="B16:D16"/>
    <mergeCell ref="D34:H34"/>
    <mergeCell ref="B44:B46"/>
    <mergeCell ref="D44:H44"/>
    <mergeCell ref="D43:H43"/>
    <mergeCell ref="B35:B43"/>
    <mergeCell ref="B24:C24"/>
  </mergeCells>
  <hyperlinks>
    <hyperlink ref="C9:F9" r:id="rId1" display="https://www.shreecement.com" xr:uid="{1D1B7D8F-8BD6-4147-8F40-A074F9908754}"/>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A777-6D2C-8B45-A0A5-1FC4CCA42F07}">
  <dimension ref="A1:AB187"/>
  <sheetViews>
    <sheetView showGridLines="0" zoomScale="75" zoomScaleNormal="200" workbookViewId="0">
      <selection activeCell="Y16" sqref="Y16"/>
    </sheetView>
  </sheetViews>
  <sheetFormatPr baseColWidth="10" defaultColWidth="11.6640625" defaultRowHeight="15" outlineLevelRow="1"/>
  <cols>
    <col min="1" max="3" width="1.1640625" style="1" customWidth="1"/>
    <col min="4" max="4" width="40.6640625" style="1" customWidth="1"/>
    <col min="5" max="5" width="13.6640625" style="1" customWidth="1"/>
    <col min="6" max="6" width="12.6640625" style="1" customWidth="1"/>
    <col min="7" max="7" width="2.83203125" style="1" customWidth="1"/>
    <col min="8" max="9" width="11.6640625" style="1"/>
    <col min="10" max="10" width="12.5" style="1" customWidth="1"/>
    <col min="11" max="12" width="11.6640625" style="1"/>
    <col min="13" max="13" width="11.6640625" style="1" customWidth="1"/>
    <col min="14" max="15" width="11.6640625" style="1"/>
    <col min="16" max="16" width="11.6640625" style="1" customWidth="1"/>
    <col min="17" max="17" width="11.6640625" style="1"/>
    <col min="18" max="18" width="13.5" style="1" bestFit="1" customWidth="1"/>
    <col min="19" max="16384" width="11.6640625" style="1"/>
  </cols>
  <sheetData>
    <row r="1" spans="1:22" ht="33">
      <c r="A1" s="216" t="str">
        <f>Historical!A1</f>
        <v>Shree Cement Limited</v>
      </c>
      <c r="B1" s="215"/>
      <c r="C1" s="215"/>
      <c r="D1" s="215"/>
      <c r="E1" s="215"/>
      <c r="F1" s="215"/>
      <c r="G1" s="215"/>
      <c r="H1" s="251" t="s">
        <v>56</v>
      </c>
      <c r="I1" s="252"/>
      <c r="J1" s="252"/>
      <c r="K1" s="252"/>
      <c r="L1" s="252"/>
      <c r="M1" s="279" t="s">
        <v>57</v>
      </c>
      <c r="N1" s="280"/>
      <c r="O1" s="280"/>
      <c r="P1" s="280"/>
      <c r="Q1" s="280"/>
      <c r="R1" s="280"/>
      <c r="S1" s="280"/>
      <c r="T1" s="280"/>
      <c r="U1" s="280"/>
      <c r="V1" s="280"/>
    </row>
    <row r="2" spans="1:22" ht="16">
      <c r="A2" s="217" t="s">
        <v>58</v>
      </c>
      <c r="B2" s="215"/>
      <c r="C2" s="215"/>
      <c r="D2" s="215"/>
      <c r="E2" s="215"/>
      <c r="F2" s="215"/>
      <c r="G2" s="215"/>
      <c r="H2" s="253">
        <v>2021</v>
      </c>
      <c r="I2" s="253">
        <f t="shared" ref="I2:L2" si="0">H2+1</f>
        <v>2022</v>
      </c>
      <c r="J2" s="253">
        <f t="shared" si="0"/>
        <v>2023</v>
      </c>
      <c r="K2" s="253">
        <f t="shared" si="0"/>
        <v>2024</v>
      </c>
      <c r="L2" s="253">
        <f t="shared" si="0"/>
        <v>2025</v>
      </c>
      <c r="M2" s="281">
        <f t="shared" ref="M2:Q2" si="1">L2+1</f>
        <v>2026</v>
      </c>
      <c r="N2" s="282">
        <f t="shared" si="1"/>
        <v>2027</v>
      </c>
      <c r="O2" s="282">
        <f t="shared" si="1"/>
        <v>2028</v>
      </c>
      <c r="P2" s="282">
        <f t="shared" si="1"/>
        <v>2029</v>
      </c>
      <c r="Q2" s="282">
        <f t="shared" si="1"/>
        <v>2030</v>
      </c>
      <c r="R2" s="282">
        <f t="shared" ref="R2" si="2">Q2+1</f>
        <v>2031</v>
      </c>
      <c r="S2" s="282">
        <f t="shared" ref="S2" si="3">R2+1</f>
        <v>2032</v>
      </c>
      <c r="T2" s="282">
        <f t="shared" ref="T2" si="4">S2+1</f>
        <v>2033</v>
      </c>
      <c r="U2" s="282">
        <f t="shared" ref="U2" si="5">T2+1</f>
        <v>2034</v>
      </c>
      <c r="V2" s="282">
        <f t="shared" ref="V2" si="6">U2+1</f>
        <v>2035</v>
      </c>
    </row>
    <row r="3" spans="1:22" s="13" customFormat="1">
      <c r="D3" s="13" t="s">
        <v>59</v>
      </c>
      <c r="H3" s="14" t="str">
        <f>IF(H71=0,"OK","ERROR")</f>
        <v>OK</v>
      </c>
      <c r="I3" s="14" t="str">
        <f t="shared" ref="I3:V3" si="7">IF(I71=0,"OK","ERROR")</f>
        <v>OK</v>
      </c>
      <c r="J3" s="14" t="str">
        <f t="shared" si="7"/>
        <v>OK</v>
      </c>
      <c r="K3" s="14" t="str">
        <f t="shared" si="7"/>
        <v>OK</v>
      </c>
      <c r="L3" s="14" t="str">
        <f t="shared" si="7"/>
        <v>OK</v>
      </c>
      <c r="M3" s="14" t="str">
        <f t="shared" si="7"/>
        <v>OK</v>
      </c>
      <c r="N3" s="14" t="str">
        <f t="shared" si="7"/>
        <v>OK</v>
      </c>
      <c r="O3" s="14" t="str">
        <f t="shared" si="7"/>
        <v>OK</v>
      </c>
      <c r="P3" s="14" t="str">
        <f t="shared" si="7"/>
        <v>OK</v>
      </c>
      <c r="Q3" s="14" t="str">
        <f t="shared" si="7"/>
        <v>OK</v>
      </c>
      <c r="R3" s="14" t="str">
        <f t="shared" si="7"/>
        <v>OK</v>
      </c>
      <c r="S3" s="14" t="str">
        <f t="shared" si="7"/>
        <v>OK</v>
      </c>
      <c r="T3" s="14" t="str">
        <f t="shared" si="7"/>
        <v>OK</v>
      </c>
      <c r="U3" s="14" t="str">
        <f t="shared" si="7"/>
        <v>OK</v>
      </c>
      <c r="V3" s="14" t="str">
        <f t="shared" si="7"/>
        <v>OK</v>
      </c>
    </row>
    <row r="4" spans="1:22" s="12" customFormat="1" ht="16">
      <c r="A4" s="12" t="s">
        <v>308</v>
      </c>
      <c r="C4" s="59"/>
      <c r="G4" s="176" cm="1">
        <f t="array" ref="G4">_xlfn.IFS(Model!E7=Scenarios!H5,1,Model!E7=Scenarios!H6,2,Model!E7=Scenarios!H7,3)</f>
        <v>1</v>
      </c>
    </row>
    <row r="5" spans="1:22" ht="22">
      <c r="A5" s="254" t="s">
        <v>336</v>
      </c>
      <c r="B5" s="215"/>
      <c r="C5" s="215"/>
      <c r="D5" s="215"/>
      <c r="E5" s="215"/>
      <c r="F5" s="215"/>
      <c r="G5" s="215"/>
      <c r="H5" s="215"/>
      <c r="I5" s="215"/>
      <c r="J5" s="215"/>
      <c r="K5" s="215"/>
      <c r="L5" s="215"/>
      <c r="M5" s="215"/>
      <c r="N5" s="215"/>
      <c r="O5" s="215"/>
      <c r="P5" s="215"/>
      <c r="Q5" s="215"/>
      <c r="R5" s="215"/>
      <c r="S5" s="215"/>
      <c r="T5" s="215"/>
      <c r="U5" s="215"/>
      <c r="V5" s="215"/>
    </row>
    <row r="6" spans="1:22" outlineLevel="1"/>
    <row r="7" spans="1:22" outlineLevel="1">
      <c r="D7" s="15" t="s">
        <v>60</v>
      </c>
      <c r="E7" s="16" t="s">
        <v>61</v>
      </c>
      <c r="F7" s="15" t="s">
        <v>62</v>
      </c>
      <c r="G7" s="177">
        <f>IF(E7=Scenarios!H5,1,IF(Model!E7=Scenarios!H6,2,3))</f>
        <v>1</v>
      </c>
      <c r="H7" s="17"/>
      <c r="I7" s="17"/>
      <c r="J7" s="17"/>
      <c r="K7" s="17"/>
      <c r="L7" s="17"/>
      <c r="M7" s="17"/>
      <c r="N7" s="17"/>
      <c r="O7" s="17"/>
      <c r="P7" s="17"/>
      <c r="Q7" s="17"/>
    </row>
    <row r="8" spans="1:22" outlineLevel="1">
      <c r="D8" s="1" t="s">
        <v>63</v>
      </c>
      <c r="F8" s="1" t="s">
        <v>64</v>
      </c>
      <c r="I8" s="18">
        <f>I25/H25-1</f>
        <v>0.10691848018071104</v>
      </c>
      <c r="J8" s="18">
        <f t="shared" ref="J8:L8" si="8">J25/I25-1</f>
        <v>0.18939729079333456</v>
      </c>
      <c r="K8" s="18">
        <f t="shared" si="8"/>
        <v>0.14292084002480343</v>
      </c>
      <c r="L8" s="18">
        <f t="shared" si="8"/>
        <v>-5.493927601721238E-2</v>
      </c>
      <c r="M8" s="18">
        <f t="array" ref="M8:V8">CHOOSE(G7,Scenarios!I5:R5,Scenarios!I6:R6,Scenarios!I7:R7)</f>
        <v>7.0018583436352283E-2</v>
      </c>
      <c r="N8" s="18">
        <v>6.861821176762524E-2</v>
      </c>
      <c r="O8" s="18">
        <v>6.7245847532272737E-2</v>
      </c>
      <c r="P8" s="18">
        <v>6.5900930581627284E-2</v>
      </c>
      <c r="Q8" s="18">
        <v>6.4582911969994744E-2</v>
      </c>
      <c r="R8" s="154">
        <v>6.3291253730594854E-2</v>
      </c>
      <c r="S8" s="154">
        <v>6.2025428655982956E-2</v>
      </c>
      <c r="T8" s="154">
        <v>6.0784920082863299E-2</v>
      </c>
      <c r="U8" s="154">
        <v>5.9569221681206035E-2</v>
      </c>
      <c r="V8" s="154">
        <v>5.8377837247581915E-2</v>
      </c>
    </row>
    <row r="9" spans="1:22" outlineLevel="1">
      <c r="D9" s="1" t="s">
        <v>65</v>
      </c>
      <c r="F9" s="1" t="s">
        <v>64</v>
      </c>
      <c r="H9" s="18">
        <f t="shared" ref="H9:L9" si="9">-H26/H25</f>
        <v>0.31589105124939432</v>
      </c>
      <c r="I9" s="18">
        <f>-I26/I25</f>
        <v>0.36565095845581086</v>
      </c>
      <c r="J9" s="18">
        <f t="shared" si="9"/>
        <v>0.47692766154333915</v>
      </c>
      <c r="K9" s="18">
        <f t="shared" si="9"/>
        <v>0.44620756917829035</v>
      </c>
      <c r="L9" s="18">
        <f t="shared" si="9"/>
        <v>0.41447183841790858</v>
      </c>
      <c r="M9" s="18">
        <f t="shared" ref="M9:M11" si="10">AVERAGE(H9:L9)</f>
        <v>0.40382981576894866</v>
      </c>
      <c r="N9" s="18">
        <f t="shared" ref="N9:Q14" si="11">M9</f>
        <v>0.40382981576894866</v>
      </c>
      <c r="O9" s="18">
        <f t="shared" si="11"/>
        <v>0.40382981576894866</v>
      </c>
      <c r="P9" s="18">
        <f t="shared" si="11"/>
        <v>0.40382981576894866</v>
      </c>
      <c r="Q9" s="18">
        <f t="shared" si="11"/>
        <v>0.40382981576894866</v>
      </c>
      <c r="R9" s="18">
        <f t="shared" ref="R9:R19" si="12">Q9</f>
        <v>0.40382981576894866</v>
      </c>
      <c r="S9" s="18">
        <f t="shared" ref="S9:S19" si="13">R9</f>
        <v>0.40382981576894866</v>
      </c>
      <c r="T9" s="18">
        <f t="shared" ref="T9:T19" si="14">S9</f>
        <v>0.40382981576894866</v>
      </c>
      <c r="U9" s="18">
        <f t="shared" ref="U9:U19" si="15">T9</f>
        <v>0.40382981576894866</v>
      </c>
      <c r="V9" s="18">
        <f t="shared" ref="V9:V19" si="16">U9</f>
        <v>0.40382981576894866</v>
      </c>
    </row>
    <row r="10" spans="1:22" outlineLevel="1">
      <c r="D10" s="1" t="s">
        <v>66</v>
      </c>
      <c r="F10" s="1" t="s">
        <v>64</v>
      </c>
      <c r="H10" s="18">
        <f t="shared" ref="H10:L10" si="17">-H29/H25</f>
        <v>6.4102857201855198E-2</v>
      </c>
      <c r="I10" s="18">
        <f>-I29/I25</f>
        <v>6.0858546153251668E-2</v>
      </c>
      <c r="J10" s="18">
        <f t="shared" si="17"/>
        <v>5.4769881578483025E-2</v>
      </c>
      <c r="K10" s="18">
        <f t="shared" si="17"/>
        <v>5.2168223566198456E-2</v>
      </c>
      <c r="L10" s="18">
        <f t="shared" si="17"/>
        <v>5.952601355713865E-2</v>
      </c>
      <c r="M10" s="18">
        <f t="shared" si="10"/>
        <v>5.8285104411385402E-2</v>
      </c>
      <c r="N10" s="18">
        <f t="shared" si="11"/>
        <v>5.8285104411385402E-2</v>
      </c>
      <c r="O10" s="18">
        <f t="shared" si="11"/>
        <v>5.8285104411385402E-2</v>
      </c>
      <c r="P10" s="18">
        <f t="shared" si="11"/>
        <v>5.8285104411385402E-2</v>
      </c>
      <c r="Q10" s="18">
        <f t="shared" si="11"/>
        <v>5.8285104411385402E-2</v>
      </c>
      <c r="R10" s="18">
        <f t="shared" si="12"/>
        <v>5.8285104411385402E-2</v>
      </c>
      <c r="S10" s="18">
        <f t="shared" si="13"/>
        <v>5.8285104411385402E-2</v>
      </c>
      <c r="T10" s="18">
        <f t="shared" si="14"/>
        <v>5.8285104411385402E-2</v>
      </c>
      <c r="U10" s="18">
        <f t="shared" si="15"/>
        <v>5.8285104411385402E-2</v>
      </c>
      <c r="V10" s="18">
        <f t="shared" si="16"/>
        <v>5.8285104411385402E-2</v>
      </c>
    </row>
    <row r="11" spans="1:22" outlineLevel="1">
      <c r="D11" s="1" t="s">
        <v>67</v>
      </c>
      <c r="F11" s="1" t="s">
        <v>64</v>
      </c>
      <c r="H11" s="18">
        <f t="shared" ref="H11:L11" si="18">-H30/H25</f>
        <v>0.31915659336404678</v>
      </c>
      <c r="I11" s="18">
        <f>-I30/I25</f>
        <v>0.32645260753812905</v>
      </c>
      <c r="J11" s="18">
        <f t="shared" si="18"/>
        <v>0.30252577674734893</v>
      </c>
      <c r="K11" s="18">
        <f t="shared" si="18"/>
        <v>0.28025661886511333</v>
      </c>
      <c r="L11" s="18">
        <f t="shared" si="18"/>
        <v>0.32198489537064834</v>
      </c>
      <c r="M11" s="18">
        <f t="shared" si="10"/>
        <v>0.31007529837705727</v>
      </c>
      <c r="N11" s="18">
        <f t="shared" si="11"/>
        <v>0.31007529837705727</v>
      </c>
      <c r="O11" s="18">
        <f t="shared" si="11"/>
        <v>0.31007529837705727</v>
      </c>
      <c r="P11" s="18">
        <f t="shared" si="11"/>
        <v>0.31007529837705727</v>
      </c>
      <c r="Q11" s="18">
        <f t="shared" si="11"/>
        <v>0.31007529837705727</v>
      </c>
      <c r="R11" s="18">
        <f t="shared" si="12"/>
        <v>0.31007529837705727</v>
      </c>
      <c r="S11" s="18">
        <f t="shared" si="13"/>
        <v>0.31007529837705727</v>
      </c>
      <c r="T11" s="18">
        <f t="shared" si="14"/>
        <v>0.31007529837705727</v>
      </c>
      <c r="U11" s="18">
        <f t="shared" si="15"/>
        <v>0.31007529837705727</v>
      </c>
      <c r="V11" s="18">
        <f t="shared" si="16"/>
        <v>0.31007529837705727</v>
      </c>
    </row>
    <row r="12" spans="1:22" outlineLevel="1">
      <c r="D12" s="1" t="s">
        <v>68</v>
      </c>
      <c r="F12" s="1" t="s">
        <v>64</v>
      </c>
      <c r="H12" s="18"/>
      <c r="I12" s="18">
        <f>-I32/I111</f>
        <v>0.17074551783330155</v>
      </c>
      <c r="J12" s="18">
        <f>-J32/J111</f>
        <v>0.213516574930153</v>
      </c>
      <c r="K12" s="18">
        <f>-K32/K111</f>
        <v>0.19783636676450805</v>
      </c>
      <c r="L12" s="18">
        <f>-L32/L111</f>
        <v>0.27932058911508256</v>
      </c>
      <c r="M12" s="18">
        <f>L12+1%</f>
        <v>0.28932058911508257</v>
      </c>
      <c r="N12" s="18">
        <f t="shared" ref="N12:O12" si="19">M12</f>
        <v>0.28932058911508257</v>
      </c>
      <c r="O12" s="18">
        <f t="shared" si="19"/>
        <v>0.28932058911508257</v>
      </c>
      <c r="P12" s="18">
        <f>O12+1%</f>
        <v>0.29932058911508258</v>
      </c>
      <c r="Q12" s="18">
        <f t="shared" ref="Q12:R12" si="20">P12</f>
        <v>0.29932058911508258</v>
      </c>
      <c r="R12" s="18">
        <f t="shared" si="20"/>
        <v>0.29932058911508258</v>
      </c>
      <c r="S12" s="18">
        <f>R12+1%</f>
        <v>0.30932058911508259</v>
      </c>
      <c r="T12" s="18">
        <f t="shared" ref="T12:U12" si="21">S12</f>
        <v>0.30932058911508259</v>
      </c>
      <c r="U12" s="18">
        <f t="shared" si="21"/>
        <v>0.30932058911508259</v>
      </c>
      <c r="V12" s="18">
        <f>U12+1%</f>
        <v>0.3193205891150826</v>
      </c>
    </row>
    <row r="13" spans="1:22" outlineLevel="1">
      <c r="D13" s="1" t="s">
        <v>69</v>
      </c>
      <c r="F13" s="1" t="s">
        <v>64</v>
      </c>
      <c r="H13" s="18"/>
      <c r="I13" s="18">
        <f>-I34/I117</f>
        <v>9.6920013633020621E-2</v>
      </c>
      <c r="J13" s="18">
        <f>-J34/J117</f>
        <v>0.12345835564197219</v>
      </c>
      <c r="K13" s="18">
        <f>-K34/K117</f>
        <v>9.4815151926655322E-2</v>
      </c>
      <c r="L13" s="18">
        <f>-L34/L117</f>
        <v>0.1238017577240192</v>
      </c>
      <c r="M13" s="18">
        <f>AVERAGE(I13:L13)</f>
        <v>0.10974881973141683</v>
      </c>
      <c r="N13" s="18">
        <f t="shared" si="11"/>
        <v>0.10974881973141683</v>
      </c>
      <c r="O13" s="18">
        <f t="shared" si="11"/>
        <v>0.10974881973141683</v>
      </c>
      <c r="P13" s="18">
        <f t="shared" si="11"/>
        <v>0.10974881973141683</v>
      </c>
      <c r="Q13" s="18">
        <f t="shared" si="11"/>
        <v>0.10974881973141683</v>
      </c>
      <c r="R13" s="18">
        <f t="shared" si="12"/>
        <v>0.10974881973141683</v>
      </c>
      <c r="S13" s="18">
        <f t="shared" si="13"/>
        <v>0.10974881973141683</v>
      </c>
      <c r="T13" s="18">
        <f t="shared" si="14"/>
        <v>0.10974881973141683</v>
      </c>
      <c r="U13" s="18">
        <f t="shared" si="15"/>
        <v>0.10974881973141683</v>
      </c>
      <c r="V13" s="18">
        <f t="shared" si="16"/>
        <v>0.10974881973141683</v>
      </c>
    </row>
    <row r="14" spans="1:22" outlineLevel="1">
      <c r="D14" s="1" t="s">
        <v>70</v>
      </c>
      <c r="F14" s="1" t="s">
        <v>64</v>
      </c>
      <c r="H14" s="18">
        <f>H35/H25</f>
        <v>3.2320607207939368E-2</v>
      </c>
      <c r="I14" s="18">
        <f t="shared" ref="I14:L14" si="22">I35/I25</f>
        <v>3.6369487180170502E-2</v>
      </c>
      <c r="J14" s="18">
        <f t="shared" si="22"/>
        <v>2.5715410817523536E-2</v>
      </c>
      <c r="K14" s="18">
        <f t="shared" si="22"/>
        <v>2.9314147364706576E-2</v>
      </c>
      <c r="L14" s="18">
        <f t="shared" si="22"/>
        <v>3.0556718075095822E-2</v>
      </c>
      <c r="M14" s="18">
        <f>AVERAGE(H14:L14)</f>
        <v>3.0855274129087163E-2</v>
      </c>
      <c r="N14" s="18">
        <f t="shared" si="11"/>
        <v>3.0855274129087163E-2</v>
      </c>
      <c r="O14" s="18">
        <f t="shared" si="11"/>
        <v>3.0855274129087163E-2</v>
      </c>
      <c r="P14" s="18">
        <f t="shared" si="11"/>
        <v>3.0855274129087163E-2</v>
      </c>
      <c r="Q14" s="18">
        <f t="shared" si="11"/>
        <v>3.0855274129087163E-2</v>
      </c>
      <c r="R14" s="18">
        <f t="shared" si="12"/>
        <v>3.0855274129087163E-2</v>
      </c>
      <c r="S14" s="18">
        <f t="shared" si="13"/>
        <v>3.0855274129087163E-2</v>
      </c>
      <c r="T14" s="18">
        <f t="shared" si="14"/>
        <v>3.0855274129087163E-2</v>
      </c>
      <c r="U14" s="18">
        <f t="shared" si="15"/>
        <v>3.0855274129087163E-2</v>
      </c>
      <c r="V14" s="18">
        <f t="shared" si="16"/>
        <v>3.0855274129087163E-2</v>
      </c>
    </row>
    <row r="15" spans="1:22" outlineLevel="1">
      <c r="D15" s="1" t="s">
        <v>339</v>
      </c>
      <c r="F15" s="1" t="s">
        <v>64</v>
      </c>
      <c r="H15" s="18">
        <f>-H37/H36</f>
        <v>0.23783987110862553</v>
      </c>
      <c r="I15" s="18">
        <f t="shared" ref="I15:L15" si="23">-I37/I36</f>
        <v>0.19199327758989149</v>
      </c>
      <c r="J15" s="18">
        <f t="shared" si="23"/>
        <v>0.15109963613013688</v>
      </c>
      <c r="K15" s="18">
        <f t="shared" si="23"/>
        <v>0.19026763990267639</v>
      </c>
      <c r="L15" s="18">
        <f t="shared" si="23"/>
        <v>0.14312510007548535</v>
      </c>
      <c r="M15" s="18">
        <f>L15+0.5%</f>
        <v>0.14812510007548535</v>
      </c>
      <c r="N15" s="18">
        <f>M15</f>
        <v>0.14812510007548535</v>
      </c>
      <c r="O15" s="18">
        <f>N15+0.5%</f>
        <v>0.15312510007548535</v>
      </c>
      <c r="P15" s="18">
        <f>O15</f>
        <v>0.15312510007548535</v>
      </c>
      <c r="Q15" s="18">
        <f>P15+0.5%</f>
        <v>0.15812510007548536</v>
      </c>
      <c r="R15" s="18">
        <f>Q15</f>
        <v>0.15812510007548536</v>
      </c>
      <c r="S15" s="18">
        <f>R15+0.5%</f>
        <v>0.16312510007548536</v>
      </c>
      <c r="T15" s="18">
        <f>S15</f>
        <v>0.16312510007548536</v>
      </c>
      <c r="U15" s="18">
        <f>T15+0.5%</f>
        <v>0.16812510007548537</v>
      </c>
      <c r="V15" s="18">
        <f>U15</f>
        <v>0.16812510007548537</v>
      </c>
    </row>
    <row r="16" spans="1:22" outlineLevel="1">
      <c r="D16" s="1" t="s">
        <v>71</v>
      </c>
      <c r="F16" s="1" t="s">
        <v>64</v>
      </c>
      <c r="H16" s="18">
        <f>-H92/H38</f>
        <v>4.8611323424717946E-3</v>
      </c>
      <c r="I16" s="18">
        <f>-I92/I38</f>
        <v>0.16448187759189595</v>
      </c>
      <c r="J16" s="18">
        <f>-J92/J38</f>
        <v>0.25570071071749356</v>
      </c>
      <c r="K16" s="18">
        <f>-K92/K38</f>
        <v>0.15818225827991453</v>
      </c>
      <c r="L16" s="18">
        <f>-L92/L38</f>
        <v>0.33802277985406615</v>
      </c>
      <c r="M16" s="18">
        <f>AVERAGE(H16:L16)</f>
        <v>0.1842497517571684</v>
      </c>
      <c r="N16" s="18">
        <f t="shared" ref="N16:V16" si="24">M16</f>
        <v>0.1842497517571684</v>
      </c>
      <c r="O16" s="18">
        <f t="shared" si="24"/>
        <v>0.1842497517571684</v>
      </c>
      <c r="P16" s="18">
        <f t="shared" si="24"/>
        <v>0.1842497517571684</v>
      </c>
      <c r="Q16" s="18">
        <f t="shared" si="24"/>
        <v>0.1842497517571684</v>
      </c>
      <c r="R16" s="18">
        <f t="shared" si="24"/>
        <v>0.1842497517571684</v>
      </c>
      <c r="S16" s="18">
        <f t="shared" si="24"/>
        <v>0.1842497517571684</v>
      </c>
      <c r="T16" s="18">
        <f t="shared" si="24"/>
        <v>0.1842497517571684</v>
      </c>
      <c r="U16" s="18">
        <f t="shared" si="24"/>
        <v>0.1842497517571684</v>
      </c>
      <c r="V16" s="18">
        <f t="shared" si="24"/>
        <v>0.1842497517571684</v>
      </c>
    </row>
    <row r="17" spans="1:23" outlineLevel="1">
      <c r="D17" s="1" t="s">
        <v>72</v>
      </c>
      <c r="F17" s="1" t="s">
        <v>73</v>
      </c>
      <c r="H17" s="19">
        <f t="shared" ref="H17:L17" si="25">H47/H25*365</f>
        <v>18.288802096200744</v>
      </c>
      <c r="I17" s="19">
        <f t="shared" si="25"/>
        <v>19.169505968196269</v>
      </c>
      <c r="J17" s="19">
        <f t="shared" si="25"/>
        <v>24.771167124963515</v>
      </c>
      <c r="K17" s="19">
        <f t="shared" si="25"/>
        <v>23.014509552142247</v>
      </c>
      <c r="L17" s="19">
        <f t="shared" si="25"/>
        <v>26.527895542303696</v>
      </c>
      <c r="M17" s="19">
        <f t="shared" ref="M17:M19" si="26">AVERAGE(H17:L17)</f>
        <v>22.354376056761293</v>
      </c>
      <c r="N17" s="19">
        <f t="shared" ref="N17:Q19" si="27">M17</f>
        <v>22.354376056761293</v>
      </c>
      <c r="O17" s="19">
        <f t="shared" si="27"/>
        <v>22.354376056761293</v>
      </c>
      <c r="P17" s="19">
        <f t="shared" si="27"/>
        <v>22.354376056761293</v>
      </c>
      <c r="Q17" s="19">
        <f t="shared" si="27"/>
        <v>22.354376056761293</v>
      </c>
      <c r="R17" s="19">
        <f t="shared" si="12"/>
        <v>22.354376056761293</v>
      </c>
      <c r="S17" s="19">
        <f t="shared" si="13"/>
        <v>22.354376056761293</v>
      </c>
      <c r="T17" s="19">
        <f t="shared" si="14"/>
        <v>22.354376056761293</v>
      </c>
      <c r="U17" s="19">
        <f t="shared" si="15"/>
        <v>22.354376056761293</v>
      </c>
      <c r="V17" s="19">
        <f t="shared" si="16"/>
        <v>22.354376056761293</v>
      </c>
    </row>
    <row r="18" spans="1:23" outlineLevel="1">
      <c r="D18" s="1" t="s">
        <v>74</v>
      </c>
      <c r="F18" s="1" t="s">
        <v>73</v>
      </c>
      <c r="H18" s="19">
        <f t="shared" ref="H18:L18" si="28">-H48/H26*365</f>
        <v>146.20076060895408</v>
      </c>
      <c r="I18" s="19">
        <f t="shared" si="28"/>
        <v>166.06580227613122</v>
      </c>
      <c r="J18" s="19">
        <f t="shared" si="28"/>
        <v>118.30529217419695</v>
      </c>
      <c r="K18" s="19">
        <f t="shared" si="28"/>
        <v>142.52564988307762</v>
      </c>
      <c r="L18" s="19">
        <f t="shared" si="28"/>
        <v>111.60002452394149</v>
      </c>
      <c r="M18" s="19">
        <f t="shared" si="26"/>
        <v>136.93950589326025</v>
      </c>
      <c r="N18" s="19">
        <f t="shared" si="27"/>
        <v>136.93950589326025</v>
      </c>
      <c r="O18" s="19">
        <f t="shared" si="27"/>
        <v>136.93950589326025</v>
      </c>
      <c r="P18" s="19">
        <f t="shared" si="27"/>
        <v>136.93950589326025</v>
      </c>
      <c r="Q18" s="19">
        <f t="shared" si="27"/>
        <v>136.93950589326025</v>
      </c>
      <c r="R18" s="19">
        <f t="shared" si="12"/>
        <v>136.93950589326025</v>
      </c>
      <c r="S18" s="19">
        <f t="shared" si="13"/>
        <v>136.93950589326025</v>
      </c>
      <c r="T18" s="19">
        <f t="shared" si="14"/>
        <v>136.93950589326025</v>
      </c>
      <c r="U18" s="19">
        <f t="shared" si="15"/>
        <v>136.93950589326025</v>
      </c>
      <c r="V18" s="19">
        <f t="shared" si="16"/>
        <v>136.93950589326025</v>
      </c>
    </row>
    <row r="19" spans="1:23" outlineLevel="1">
      <c r="D19" s="1" t="s">
        <v>75</v>
      </c>
      <c r="F19" s="1" t="s">
        <v>73</v>
      </c>
      <c r="H19" s="19">
        <f>-H58/H26*365</f>
        <v>75.240065742013968</v>
      </c>
      <c r="I19" s="19">
        <f>-I58/I26*365</f>
        <v>59.214587136906779</v>
      </c>
      <c r="J19" s="19">
        <f>-J58/J26*365</f>
        <v>51.271571138805783</v>
      </c>
      <c r="K19" s="19">
        <f>-K58/K26*365</f>
        <v>48.679468999915429</v>
      </c>
      <c r="L19" s="19">
        <f>-L58/L26*365</f>
        <v>62.157675180394861</v>
      </c>
      <c r="M19" s="19">
        <f t="shared" si="26"/>
        <v>59.312673639607361</v>
      </c>
      <c r="N19" s="19">
        <f t="shared" si="27"/>
        <v>59.312673639607361</v>
      </c>
      <c r="O19" s="19">
        <f t="shared" si="27"/>
        <v>59.312673639607361</v>
      </c>
      <c r="P19" s="19">
        <f t="shared" si="27"/>
        <v>59.312673639607361</v>
      </c>
      <c r="Q19" s="19">
        <f t="shared" si="27"/>
        <v>59.312673639607361</v>
      </c>
      <c r="R19" s="19">
        <f t="shared" si="12"/>
        <v>59.312673639607361</v>
      </c>
      <c r="S19" s="19">
        <f t="shared" si="13"/>
        <v>59.312673639607361</v>
      </c>
      <c r="T19" s="19">
        <f t="shared" si="14"/>
        <v>59.312673639607361</v>
      </c>
      <c r="U19" s="19">
        <f t="shared" si="15"/>
        <v>59.312673639607361</v>
      </c>
      <c r="V19" s="19">
        <f t="shared" si="16"/>
        <v>59.312673639607361</v>
      </c>
    </row>
    <row r="20" spans="1:23" outlineLevel="1">
      <c r="D20" s="1" t="s">
        <v>313</v>
      </c>
      <c r="H20" s="179">
        <v>1310.3900000000001</v>
      </c>
      <c r="I20" s="179">
        <v>2083.19</v>
      </c>
      <c r="J20" s="179">
        <v>1664.76</v>
      </c>
      <c r="K20" s="179">
        <v>3908.43</v>
      </c>
      <c r="L20" s="179">
        <v>2560.36</v>
      </c>
      <c r="M20" s="179">
        <f>AVERAGE(H20:L20)</f>
        <v>2305.4260000000004</v>
      </c>
      <c r="N20" s="179">
        <f>M20*(1+0.5%)</f>
        <v>2316.9531300000003</v>
      </c>
      <c r="O20" s="179">
        <f t="shared" ref="O20:V20" si="29">N20*(1+0.5%)</f>
        <v>2328.5378956499999</v>
      </c>
      <c r="P20" s="179">
        <f t="shared" si="29"/>
        <v>2340.1805851282497</v>
      </c>
      <c r="Q20" s="179">
        <f t="shared" si="29"/>
        <v>2351.8814880538907</v>
      </c>
      <c r="R20" s="179">
        <f t="shared" si="29"/>
        <v>2363.6408954941598</v>
      </c>
      <c r="S20" s="179">
        <f t="shared" si="29"/>
        <v>2375.4590999716306</v>
      </c>
      <c r="T20" s="179">
        <f t="shared" si="29"/>
        <v>2387.3363954714887</v>
      </c>
      <c r="U20" s="179">
        <f t="shared" si="29"/>
        <v>2399.2730774488459</v>
      </c>
      <c r="V20" s="179">
        <f t="shared" si="29"/>
        <v>2411.2694428360901</v>
      </c>
    </row>
    <row r="21" spans="1:23" outlineLevel="1">
      <c r="H21" s="179"/>
      <c r="I21" s="375"/>
      <c r="J21" s="375"/>
      <c r="K21" s="375"/>
      <c r="L21" s="375"/>
      <c r="M21" s="376"/>
      <c r="N21" s="179"/>
      <c r="O21" s="179"/>
      <c r="P21" s="179"/>
      <c r="Q21" s="179"/>
      <c r="R21" s="179"/>
      <c r="S21" s="179"/>
      <c r="T21" s="179"/>
      <c r="U21" s="179"/>
      <c r="V21" s="179"/>
    </row>
    <row r="22" spans="1:23">
      <c r="H22" s="179"/>
      <c r="I22" s="179"/>
      <c r="J22" s="179"/>
      <c r="K22" s="179"/>
      <c r="L22" s="179"/>
      <c r="M22" s="179"/>
      <c r="N22" s="179"/>
      <c r="O22" s="179"/>
      <c r="P22" s="179"/>
      <c r="Q22" s="179"/>
      <c r="R22" s="179"/>
      <c r="S22" s="179"/>
      <c r="T22" s="179"/>
      <c r="U22" s="179"/>
      <c r="V22" s="179"/>
    </row>
    <row r="23" spans="1:23" ht="22">
      <c r="A23" s="254" t="s">
        <v>76</v>
      </c>
      <c r="B23" s="215"/>
      <c r="C23" s="215"/>
      <c r="D23" s="215"/>
      <c r="E23" s="215"/>
      <c r="F23" s="215"/>
      <c r="G23" s="215"/>
      <c r="H23" s="215"/>
      <c r="I23" s="215"/>
      <c r="J23" s="215"/>
      <c r="K23" s="215"/>
      <c r="L23" s="215"/>
      <c r="M23" s="215"/>
      <c r="N23" s="215"/>
      <c r="O23" s="215"/>
      <c r="P23" s="215"/>
      <c r="Q23" s="215"/>
      <c r="R23" s="215"/>
      <c r="S23" s="215"/>
      <c r="T23" s="215"/>
      <c r="U23" s="215"/>
      <c r="V23" s="215"/>
    </row>
    <row r="24" spans="1:23" outlineLevel="1">
      <c r="B24" s="9" t="s">
        <v>77</v>
      </c>
    </row>
    <row r="25" spans="1:23" s="9" customFormat="1" outlineLevel="1">
      <c r="D25" s="9" t="s">
        <v>78</v>
      </c>
      <c r="F25" s="20" t="s">
        <v>256</v>
      </c>
      <c r="H25" s="21">
        <f>Historical!H6</f>
        <v>13559.77</v>
      </c>
      <c r="I25" s="21">
        <f>Historical!I6</f>
        <v>15009.56</v>
      </c>
      <c r="J25" s="21">
        <f>Historical!J6</f>
        <v>17852.330000000002</v>
      </c>
      <c r="K25" s="21">
        <f>Historical!K6</f>
        <v>20403.8</v>
      </c>
      <c r="L25" s="21">
        <f>Historical!L6</f>
        <v>19282.830000000002</v>
      </c>
      <c r="M25" s="6">
        <f t="shared" ref="M25:V25" si="30">L25*(1+M8)</f>
        <v>20632.986441243997</v>
      </c>
      <c r="N25" s="6">
        <f t="shared" si="30"/>
        <v>22048.785074267817</v>
      </c>
      <c r="O25" s="6">
        <f t="shared" si="30"/>
        <v>23531.474313643881</v>
      </c>
      <c r="P25" s="6">
        <f t="shared" si="30"/>
        <v>25082.220368870676</v>
      </c>
      <c r="Q25" s="6">
        <f t="shared" si="30"/>
        <v>26702.103198965462</v>
      </c>
      <c r="R25" s="6">
        <f t="shared" si="30"/>
        <v>28392.112787671711</v>
      </c>
      <c r="S25" s="6">
        <f t="shared" si="30"/>
        <v>30153.145753776062</v>
      </c>
      <c r="T25" s="6">
        <f t="shared" si="30"/>
        <v>31986.002308666273</v>
      </c>
      <c r="U25" s="6">
        <f t="shared" si="30"/>
        <v>33891.383570886785</v>
      </c>
      <c r="V25" s="6">
        <f t="shared" si="30"/>
        <v>35869.889245083381</v>
      </c>
      <c r="W25" s="6"/>
    </row>
    <row r="26" spans="1:23" outlineLevel="1">
      <c r="D26" s="1" t="s">
        <v>79</v>
      </c>
      <c r="F26" s="22" t="s">
        <v>257</v>
      </c>
      <c r="H26" s="23">
        <f>-SUM(Historical!H10:H12,Historical!H14,Historical!H17)</f>
        <v>-4283.41</v>
      </c>
      <c r="I26" s="23">
        <f>-SUM(Historical!I10:I12,Historical!I14,Historical!I17)</f>
        <v>-5488.26</v>
      </c>
      <c r="J26" s="23">
        <f>-SUM(Historical!J10:J12,Historical!J14,Historical!J17)</f>
        <v>-8514.27</v>
      </c>
      <c r="K26" s="23">
        <f>-SUM(Historical!K10:K12,Historical!K14,Historical!K17)</f>
        <v>-9104.33</v>
      </c>
      <c r="L26" s="23">
        <f>-SUM(Historical!L10:L12,Historical!L14,Historical!L17)</f>
        <v>-7992.1900000000005</v>
      </c>
      <c r="M26" s="10">
        <f t="shared" ref="M26:V26" si="31">-M9*M25</f>
        <v>-8332.215113330778</v>
      </c>
      <c r="N26" s="10">
        <f t="shared" si="31"/>
        <v>-8903.9568144707173</v>
      </c>
      <c r="O26" s="10">
        <f t="shared" si="31"/>
        <v>-9502.7109368505553</v>
      </c>
      <c r="P26" s="10">
        <f t="shared" si="31"/>
        <v>-10128.948430637216</v>
      </c>
      <c r="Q26" s="10">
        <f t="shared" si="31"/>
        <v>-10783.105415481677</v>
      </c>
      <c r="R26" s="10">
        <f t="shared" si="31"/>
        <v>-11465.581676336678</v>
      </c>
      <c r="S26" s="10">
        <f t="shared" si="31"/>
        <v>-12176.739294601644</v>
      </c>
      <c r="T26" s="10">
        <f t="shared" si="31"/>
        <v>-12916.901419493868</v>
      </c>
      <c r="U26" s="10">
        <f t="shared" si="31"/>
        <v>-13686.351183585984</v>
      </c>
      <c r="V26" s="10">
        <f t="shared" si="31"/>
        <v>-14485.330765494615</v>
      </c>
    </row>
    <row r="27" spans="1:23" outlineLevel="1">
      <c r="D27" s="24" t="s">
        <v>80</v>
      </c>
      <c r="E27" s="4"/>
      <c r="F27" s="37" t="s">
        <v>256</v>
      </c>
      <c r="G27" s="4"/>
      <c r="H27" s="5">
        <f>SUM(H25:H26)</f>
        <v>9276.36</v>
      </c>
      <c r="I27" s="5">
        <f t="shared" ref="I27:M27" si="32">SUM(I25:I26)</f>
        <v>9521.2999999999993</v>
      </c>
      <c r="J27" s="5">
        <f t="shared" si="32"/>
        <v>9338.0600000000013</v>
      </c>
      <c r="K27" s="5">
        <f t="shared" si="32"/>
        <v>11299.47</v>
      </c>
      <c r="L27" s="5">
        <f t="shared" si="32"/>
        <v>11290.640000000001</v>
      </c>
      <c r="M27" s="5">
        <f t="shared" si="32"/>
        <v>12300.771327913219</v>
      </c>
      <c r="N27" s="5">
        <f t="shared" ref="N27:Q27" si="33">SUM(N25:N26)</f>
        <v>13144.828259797099</v>
      </c>
      <c r="O27" s="5">
        <f t="shared" si="33"/>
        <v>14028.763376793326</v>
      </c>
      <c r="P27" s="5">
        <f t="shared" si="33"/>
        <v>14953.27193823346</v>
      </c>
      <c r="Q27" s="5">
        <f t="shared" si="33"/>
        <v>15918.997783483785</v>
      </c>
      <c r="R27" s="5">
        <f t="shared" ref="R27:V27" si="34">SUM(R25:R26)</f>
        <v>16926.531111335033</v>
      </c>
      <c r="S27" s="5">
        <f t="shared" si="34"/>
        <v>17976.406459174417</v>
      </c>
      <c r="T27" s="5">
        <f t="shared" si="34"/>
        <v>19069.100889172405</v>
      </c>
      <c r="U27" s="5">
        <f t="shared" si="34"/>
        <v>20205.032387300802</v>
      </c>
      <c r="V27" s="5">
        <f t="shared" si="34"/>
        <v>21384.558479588766</v>
      </c>
      <c r="W27" s="10"/>
    </row>
    <row r="28" spans="1:23" outlineLevel="1">
      <c r="B28" s="9" t="s">
        <v>81</v>
      </c>
      <c r="E28" s="25"/>
      <c r="F28" s="25"/>
      <c r="H28" s="10"/>
      <c r="I28" s="10"/>
      <c r="J28" s="10"/>
      <c r="K28" s="10"/>
      <c r="L28" s="10"/>
      <c r="M28" s="10"/>
      <c r="N28" s="10"/>
      <c r="O28" s="10"/>
      <c r="P28" s="10"/>
      <c r="Q28" s="10"/>
      <c r="R28" s="10"/>
      <c r="S28" s="10"/>
      <c r="T28" s="10"/>
      <c r="U28" s="10"/>
      <c r="V28" s="10"/>
    </row>
    <row r="29" spans="1:23" outlineLevel="1">
      <c r="D29" s="1" t="s">
        <v>82</v>
      </c>
      <c r="F29" s="22" t="s">
        <v>257</v>
      </c>
      <c r="H29" s="23">
        <f>-Historical!H13</f>
        <v>-869.22</v>
      </c>
      <c r="I29" s="23">
        <f>-Historical!I13</f>
        <v>-913.46</v>
      </c>
      <c r="J29" s="23">
        <f>-Historical!J13</f>
        <v>-977.77</v>
      </c>
      <c r="K29" s="23">
        <f>-Historical!K13</f>
        <v>-1064.43</v>
      </c>
      <c r="L29" s="23">
        <f>-Historical!L13</f>
        <v>-1147.83</v>
      </c>
      <c r="M29" s="10">
        <f t="shared" ref="M29:V29" si="35">-M10*M25</f>
        <v>-1202.5957690466057</v>
      </c>
      <c r="N29" s="10">
        <f t="shared" si="35"/>
        <v>-1285.1157401978958</v>
      </c>
      <c r="O29" s="10">
        <f t="shared" si="35"/>
        <v>-1371.5344373245673</v>
      </c>
      <c r="P29" s="10">
        <f t="shared" si="35"/>
        <v>-1461.9198330690051</v>
      </c>
      <c r="Q29" s="10">
        <f t="shared" si="35"/>
        <v>-1556.3348729552902</v>
      </c>
      <c r="R29" s="10">
        <f t="shared" si="35"/>
        <v>-1654.8372582892764</v>
      </c>
      <c r="S29" s="10">
        <f t="shared" si="35"/>
        <v>-1757.4792485905602</v>
      </c>
      <c r="T29" s="10">
        <f t="shared" si="35"/>
        <v>-1864.3074842634283</v>
      </c>
      <c r="U29" s="10">
        <f t="shared" si="35"/>
        <v>-1975.3628300754481</v>
      </c>
      <c r="V29" s="10">
        <f t="shared" si="35"/>
        <v>-2090.6802398745153</v>
      </c>
    </row>
    <row r="30" spans="1:23" outlineLevel="1">
      <c r="D30" s="1" t="s">
        <v>83</v>
      </c>
      <c r="F30" s="22" t="s">
        <v>257</v>
      </c>
      <c r="H30" s="23">
        <f>-SUM(Historical!H20:H21,Historical!H16)</f>
        <v>-4327.6900000000005</v>
      </c>
      <c r="I30" s="23">
        <f>-SUM(Historical!I20:I21,Historical!I16)</f>
        <v>-4899.91</v>
      </c>
      <c r="J30" s="23">
        <f>-SUM(Historical!J20:J21,Historical!J16)</f>
        <v>-5400.79</v>
      </c>
      <c r="K30" s="23">
        <f>-SUM(Historical!K20:K21,Historical!K16)</f>
        <v>-5718.2999999999993</v>
      </c>
      <c r="L30" s="23">
        <f>-SUM(Historical!L20:L21,Historical!L16)</f>
        <v>-6208.78</v>
      </c>
      <c r="M30" s="10">
        <f t="shared" ref="M30:V30" si="36">-M11*M25</f>
        <v>-6397.7794271785096</v>
      </c>
      <c r="N30" s="10">
        <f t="shared" si="36"/>
        <v>-6836.7836107552002</v>
      </c>
      <c r="O30" s="10">
        <f t="shared" si="36"/>
        <v>-7296.5289190551857</v>
      </c>
      <c r="P30" s="10">
        <f t="shared" si="36"/>
        <v>-7777.3769648366788</v>
      </c>
      <c r="Q30" s="10">
        <f t="shared" si="36"/>
        <v>-8279.6626167141912</v>
      </c>
      <c r="R30" s="10">
        <f t="shared" si="36"/>
        <v>-8803.6928441923683</v>
      </c>
      <c r="S30" s="10">
        <f t="shared" si="36"/>
        <v>-9349.7456666090093</v>
      </c>
      <c r="T30" s="10">
        <f t="shared" si="36"/>
        <v>-9918.0692097489373</v>
      </c>
      <c r="U30" s="10">
        <f t="shared" si="36"/>
        <v>-10508.880873154016</v>
      </c>
      <c r="V30" s="10">
        <f t="shared" si="36"/>
        <v>-11122.366610421226</v>
      </c>
    </row>
    <row r="31" spans="1:23" outlineLevel="1">
      <c r="D31" s="24" t="s">
        <v>84</v>
      </c>
      <c r="E31" s="4"/>
      <c r="F31" s="37" t="s">
        <v>256</v>
      </c>
      <c r="G31" s="4"/>
      <c r="H31" s="5">
        <f>SUM(H27,H29:H30)</f>
        <v>4079.4500000000007</v>
      </c>
      <c r="I31" s="5">
        <f t="shared" ref="I31:M31" si="37">SUM(I27,I29:I30)</f>
        <v>3707.9300000000003</v>
      </c>
      <c r="J31" s="5">
        <f t="shared" si="37"/>
        <v>2959.5000000000009</v>
      </c>
      <c r="K31" s="5">
        <f t="shared" si="37"/>
        <v>4516.74</v>
      </c>
      <c r="L31" s="5">
        <f t="shared" si="37"/>
        <v>3934.0300000000016</v>
      </c>
      <c r="M31" s="5">
        <f t="shared" si="37"/>
        <v>4700.3961316881032</v>
      </c>
      <c r="N31" s="5">
        <f t="shared" ref="N31:Q31" si="38">SUM(N27,N29:N30)</f>
        <v>5022.9289088440028</v>
      </c>
      <c r="O31" s="5">
        <f t="shared" si="38"/>
        <v>5360.700020413572</v>
      </c>
      <c r="P31" s="5">
        <f t="shared" si="38"/>
        <v>5713.975140327776</v>
      </c>
      <c r="Q31" s="5">
        <f t="shared" si="38"/>
        <v>6083.0002938143025</v>
      </c>
      <c r="R31" s="5">
        <f t="shared" ref="R31:V31" si="39">SUM(R27,R29:R30)</f>
        <v>6468.0010088533872</v>
      </c>
      <c r="S31" s="5">
        <f t="shared" si="39"/>
        <v>6869.181543974848</v>
      </c>
      <c r="T31" s="5">
        <f t="shared" si="39"/>
        <v>7286.7241951600408</v>
      </c>
      <c r="U31" s="5">
        <f t="shared" si="39"/>
        <v>7720.7886840713363</v>
      </c>
      <c r="V31" s="5">
        <f t="shared" si="39"/>
        <v>8171.5116292930234</v>
      </c>
      <c r="W31" s="10"/>
    </row>
    <row r="32" spans="1:23" outlineLevel="1">
      <c r="D32" s="17" t="s">
        <v>85</v>
      </c>
      <c r="E32" s="17"/>
      <c r="F32" s="26" t="s">
        <v>257</v>
      </c>
      <c r="G32" s="17"/>
      <c r="H32" s="27">
        <f>-Historical!H19</f>
        <v>-1262.3399999999999</v>
      </c>
      <c r="I32" s="27">
        <f>-Historical!I19</f>
        <v>-1145.8800000000001</v>
      </c>
      <c r="J32" s="27">
        <f>-Historical!J19</f>
        <v>-1660.67</v>
      </c>
      <c r="K32" s="27">
        <f>-Historical!K19</f>
        <v>-1897.32</v>
      </c>
      <c r="L32" s="27">
        <f>-Historical!L19</f>
        <v>-3006.78</v>
      </c>
      <c r="M32" s="28">
        <f>M113</f>
        <v>-3571.486187066334</v>
      </c>
      <c r="N32" s="28">
        <f t="shared" ref="N32:Q32" si="40">N113</f>
        <v>-3205.1889078891504</v>
      </c>
      <c r="O32" s="28">
        <f t="shared" si="40"/>
        <v>-2948.2040093571677</v>
      </c>
      <c r="P32" s="28">
        <f t="shared" si="40"/>
        <v>-2864.6261234981303</v>
      </c>
      <c r="Q32" s="28">
        <f t="shared" si="40"/>
        <v>-2707.6487759944812</v>
      </c>
      <c r="R32" s="28">
        <f t="shared" ref="R32:V32" si="41">R113</f>
        <v>-2601.1603017802281</v>
      </c>
      <c r="S32" s="28">
        <f t="shared" si="41"/>
        <v>-2614.5928100518258</v>
      </c>
      <c r="T32" s="28">
        <f t="shared" si="41"/>
        <v>-2540.6238299725446</v>
      </c>
      <c r="U32" s="28">
        <f t="shared" si="41"/>
        <v>-2493.2088704287385</v>
      </c>
      <c r="V32" s="28">
        <f t="shared" si="41"/>
        <v>-2543.8159831170024</v>
      </c>
    </row>
    <row r="33" spans="1:25" outlineLevel="1">
      <c r="D33" s="9" t="s">
        <v>86</v>
      </c>
      <c r="F33" s="20" t="s">
        <v>256</v>
      </c>
      <c r="H33" s="6">
        <f>SUM(H31:H32)</f>
        <v>2817.1100000000006</v>
      </c>
      <c r="I33" s="6">
        <f t="shared" ref="I33:M33" si="42">SUM(I31:I32)</f>
        <v>2562.0500000000002</v>
      </c>
      <c r="J33" s="6">
        <f t="shared" si="42"/>
        <v>1298.8300000000008</v>
      </c>
      <c r="K33" s="6">
        <f t="shared" si="42"/>
        <v>2619.42</v>
      </c>
      <c r="L33" s="6">
        <f t="shared" si="42"/>
        <v>927.25000000000136</v>
      </c>
      <c r="M33" s="6">
        <f t="shared" si="42"/>
        <v>1128.9099446217692</v>
      </c>
      <c r="N33" s="6">
        <f t="shared" ref="N33:Q33" si="43">SUM(N31:N32)</f>
        <v>1817.7400009548523</v>
      </c>
      <c r="O33" s="6">
        <f t="shared" si="43"/>
        <v>2412.4960110564043</v>
      </c>
      <c r="P33" s="6">
        <f t="shared" si="43"/>
        <v>2849.3490168296457</v>
      </c>
      <c r="Q33" s="6">
        <f t="shared" si="43"/>
        <v>3375.3515178198213</v>
      </c>
      <c r="R33" s="6">
        <f t="shared" ref="R33:V33" si="44">SUM(R31:R32)</f>
        <v>3866.8407070731591</v>
      </c>
      <c r="S33" s="6">
        <f t="shared" si="44"/>
        <v>4254.5887339230221</v>
      </c>
      <c r="T33" s="6">
        <f t="shared" si="44"/>
        <v>4746.1003651874962</v>
      </c>
      <c r="U33" s="6">
        <f t="shared" si="44"/>
        <v>5227.5798136425983</v>
      </c>
      <c r="V33" s="6">
        <f t="shared" si="44"/>
        <v>5627.695646176021</v>
      </c>
    </row>
    <row r="34" spans="1:25" outlineLevel="1">
      <c r="D34" s="1" t="s">
        <v>52</v>
      </c>
      <c r="F34" s="22" t="s">
        <v>257</v>
      </c>
      <c r="H34" s="23">
        <f>-Historical!H18</f>
        <v>-251.29</v>
      </c>
      <c r="I34" s="23">
        <f>-Historical!I18</f>
        <v>-216.12</v>
      </c>
      <c r="J34" s="23">
        <f>-Historical!J18</f>
        <v>-262.87</v>
      </c>
      <c r="K34" s="23">
        <f>-Historical!K18</f>
        <v>-258.33999999999997</v>
      </c>
      <c r="L34" s="23">
        <f>-Historical!L18</f>
        <v>-204.96</v>
      </c>
      <c r="M34" s="10">
        <f>M120</f>
        <v>-114.81153278562709</v>
      </c>
      <c r="N34" s="10">
        <f t="shared" ref="N34:Q34" si="45">N120</f>
        <v>-114.81153278562709</v>
      </c>
      <c r="O34" s="10">
        <f t="shared" si="45"/>
        <v>-114.81153278562709</v>
      </c>
      <c r="P34" s="10">
        <f t="shared" si="45"/>
        <v>-114.81153278562709</v>
      </c>
      <c r="Q34" s="10">
        <f t="shared" si="45"/>
        <v>-114.81153278562709</v>
      </c>
      <c r="R34" s="10">
        <f t="shared" ref="R34:V34" si="46">R120</f>
        <v>-114.81153278562709</v>
      </c>
      <c r="S34" s="10">
        <f t="shared" si="46"/>
        <v>-114.81153278562709</v>
      </c>
      <c r="T34" s="10">
        <f t="shared" si="46"/>
        <v>-114.81153278562709</v>
      </c>
      <c r="U34" s="10">
        <f t="shared" si="46"/>
        <v>-114.81153278562709</v>
      </c>
      <c r="V34" s="10">
        <f t="shared" si="46"/>
        <v>-114.81153278562709</v>
      </c>
    </row>
    <row r="35" spans="1:25" outlineLevel="1">
      <c r="D35" s="17" t="s">
        <v>87</v>
      </c>
      <c r="E35" s="17"/>
      <c r="F35" s="26" t="s">
        <v>257</v>
      </c>
      <c r="G35" s="17"/>
      <c r="H35" s="27">
        <f>Historical!H7</f>
        <v>438.26</v>
      </c>
      <c r="I35" s="27">
        <f>Historical!I7</f>
        <v>545.89</v>
      </c>
      <c r="J35" s="27">
        <f>Historical!J7</f>
        <v>459.08</v>
      </c>
      <c r="K35" s="27">
        <f>Historical!K7</f>
        <v>598.12</v>
      </c>
      <c r="L35" s="27">
        <f>Historical!L7</f>
        <v>589.22</v>
      </c>
      <c r="M35" s="28">
        <f t="shared" ref="M35:V35" si="47">M25*M14</f>
        <v>636.63645274632211</v>
      </c>
      <c r="N35" s="28">
        <f t="shared" si="47"/>
        <v>680.32130767985893</v>
      </c>
      <c r="O35" s="28">
        <f t="shared" si="47"/>
        <v>726.07009060905511</v>
      </c>
      <c r="P35" s="28">
        <f t="shared" si="47"/>
        <v>773.91878524767844</v>
      </c>
      <c r="Q35" s="28">
        <f t="shared" si="47"/>
        <v>823.90071402725459</v>
      </c>
      <c r="R35" s="28">
        <f t="shared" si="47"/>
        <v>876.04642316757179</v>
      </c>
      <c r="S35" s="28">
        <f t="shared" si="47"/>
        <v>930.38357808708099</v>
      </c>
      <c r="T35" s="28">
        <f t="shared" si="47"/>
        <v>986.93686952751273</v>
      </c>
      <c r="U35" s="28">
        <f t="shared" si="47"/>
        <v>1045.7279306937528</v>
      </c>
      <c r="V35" s="28">
        <f t="shared" si="47"/>
        <v>1106.775265637043</v>
      </c>
      <c r="Y35" s="422"/>
    </row>
    <row r="36" spans="1:25" outlineLevel="1">
      <c r="D36" s="9" t="s">
        <v>88</v>
      </c>
      <c r="F36" s="20" t="s">
        <v>256</v>
      </c>
      <c r="H36" s="6">
        <f>SUM(H33:H35)</f>
        <v>3004.0800000000008</v>
      </c>
      <c r="I36" s="6">
        <f t="shared" ref="I36:M36" si="48">SUM(I33:I35)</f>
        <v>2891.82</v>
      </c>
      <c r="J36" s="6">
        <f t="shared" si="48"/>
        <v>1495.0400000000009</v>
      </c>
      <c r="K36" s="6">
        <f t="shared" si="48"/>
        <v>2959.2</v>
      </c>
      <c r="L36" s="6">
        <f t="shared" si="48"/>
        <v>1311.5100000000014</v>
      </c>
      <c r="M36" s="6">
        <f t="shared" si="48"/>
        <v>1650.7348645824641</v>
      </c>
      <c r="N36" s="6">
        <f t="shared" ref="N36:Q36" si="49">SUM(N33:N35)</f>
        <v>2383.249775849084</v>
      </c>
      <c r="O36" s="6">
        <f t="shared" si="49"/>
        <v>3023.7545688798323</v>
      </c>
      <c r="P36" s="6">
        <f t="shared" si="49"/>
        <v>3508.456269291697</v>
      </c>
      <c r="Q36" s="6">
        <f t="shared" si="49"/>
        <v>4084.4406990614489</v>
      </c>
      <c r="R36" s="6">
        <f t="shared" ref="R36:V36" si="50">SUM(R33:R35)</f>
        <v>4628.0755974551039</v>
      </c>
      <c r="S36" s="6">
        <f t="shared" si="50"/>
        <v>5070.1607792244768</v>
      </c>
      <c r="T36" s="6">
        <f t="shared" si="50"/>
        <v>5618.225701929382</v>
      </c>
      <c r="U36" s="6">
        <f t="shared" si="50"/>
        <v>6158.4962115507242</v>
      </c>
      <c r="V36" s="6">
        <f t="shared" si="50"/>
        <v>6619.6593790274374</v>
      </c>
      <c r="Y36" s="422"/>
    </row>
    <row r="37" spans="1:25" outlineLevel="1">
      <c r="D37" s="17" t="s">
        <v>89</v>
      </c>
      <c r="E37" s="17"/>
      <c r="F37" s="26" t="s">
        <v>257</v>
      </c>
      <c r="G37" s="17"/>
      <c r="H37" s="27">
        <f>-Historical!H28</f>
        <v>-714.49</v>
      </c>
      <c r="I37" s="27">
        <f>-Historical!I28</f>
        <v>-555.21</v>
      </c>
      <c r="J37" s="27">
        <f>-Historical!J28</f>
        <v>-225.89999999999998</v>
      </c>
      <c r="K37" s="27">
        <f>-Historical!K28</f>
        <v>-563.04</v>
      </c>
      <c r="L37" s="27">
        <f>-Historical!L28</f>
        <v>-187.70999999999998</v>
      </c>
      <c r="M37" s="10">
        <f t="shared" ref="M37:V37" si="51">-M15*M36</f>
        <v>-244.51526701437024</v>
      </c>
      <c r="N37" s="10">
        <f t="shared" si="51"/>
        <v>-353.01911155252361</v>
      </c>
      <c r="O37" s="10">
        <f t="shared" si="51"/>
        <v>-463.01272096343041</v>
      </c>
      <c r="P37" s="10">
        <f t="shared" si="51"/>
        <v>-537.23271734575508</v>
      </c>
      <c r="Q37" s="10">
        <f t="shared" si="51"/>
        <v>-645.85259429147698</v>
      </c>
      <c r="R37" s="10">
        <f t="shared" si="51"/>
        <v>-731.81491700449999</v>
      </c>
      <c r="S37" s="10">
        <f t="shared" si="51"/>
        <v>-827.07048450979357</v>
      </c>
      <c r="T37" s="10">
        <f t="shared" si="51"/>
        <v>-916.47362987389442</v>
      </c>
      <c r="U37" s="10">
        <f t="shared" si="51"/>
        <v>-1035.397791881463</v>
      </c>
      <c r="V37" s="10">
        <f t="shared" si="51"/>
        <v>-1112.9308955646131</v>
      </c>
      <c r="Y37" s="421"/>
    </row>
    <row r="38" spans="1:25" ht="16" outlineLevel="1" thickBot="1">
      <c r="D38" s="29" t="s">
        <v>90</v>
      </c>
      <c r="E38" s="30"/>
      <c r="F38" s="130" t="s">
        <v>256</v>
      </c>
      <c r="G38" s="30"/>
      <c r="H38" s="31">
        <f>SUM(H36:H37)</f>
        <v>2289.5900000000011</v>
      </c>
      <c r="I38" s="31">
        <f t="shared" ref="I38:M38" si="52">SUM(I36:I37)</f>
        <v>2336.61</v>
      </c>
      <c r="J38" s="31">
        <f t="shared" si="52"/>
        <v>1269.1400000000008</v>
      </c>
      <c r="K38" s="31">
        <f t="shared" si="52"/>
        <v>2396.16</v>
      </c>
      <c r="L38" s="31">
        <f t="shared" si="52"/>
        <v>1123.8000000000013</v>
      </c>
      <c r="M38" s="31">
        <f t="shared" si="52"/>
        <v>1406.2195975680938</v>
      </c>
      <c r="N38" s="31">
        <f t="shared" ref="N38:Q38" si="53">SUM(N36:N37)</f>
        <v>2030.2306642965605</v>
      </c>
      <c r="O38" s="31">
        <f t="shared" si="53"/>
        <v>2560.7418479164016</v>
      </c>
      <c r="P38" s="31">
        <f t="shared" si="53"/>
        <v>2971.2235519459418</v>
      </c>
      <c r="Q38" s="31">
        <f t="shared" si="53"/>
        <v>3438.5881047699718</v>
      </c>
      <c r="R38" s="31">
        <f t="shared" ref="R38:V38" si="54">SUM(R36:R37)</f>
        <v>3896.260680450604</v>
      </c>
      <c r="S38" s="31">
        <f t="shared" si="54"/>
        <v>4243.0902947146833</v>
      </c>
      <c r="T38" s="31">
        <f t="shared" si="54"/>
        <v>4701.7520720554876</v>
      </c>
      <c r="U38" s="31">
        <f t="shared" si="54"/>
        <v>5123.0984196692607</v>
      </c>
      <c r="V38" s="31">
        <f t="shared" si="54"/>
        <v>5506.7284834628244</v>
      </c>
    </row>
    <row r="39" spans="1:25" ht="16" outlineLevel="1" thickTop="1">
      <c r="H39" s="10"/>
      <c r="I39" s="10"/>
      <c r="J39" s="10"/>
      <c r="K39" s="10"/>
      <c r="L39" s="10"/>
      <c r="M39" s="10"/>
      <c r="N39" s="10"/>
      <c r="O39" s="10"/>
      <c r="P39" s="10"/>
      <c r="Q39" s="10"/>
      <c r="R39" s="145"/>
      <c r="S39" s="145"/>
    </row>
    <row r="40" spans="1:25">
      <c r="H40" s="10"/>
      <c r="I40" s="10"/>
      <c r="J40" s="10"/>
      <c r="K40" s="10"/>
      <c r="L40" s="10"/>
      <c r="M40" s="10"/>
      <c r="N40" s="10"/>
      <c r="O40" s="10"/>
      <c r="P40" s="10"/>
      <c r="Q40" s="10"/>
      <c r="S40" s="145"/>
      <c r="Y40" s="10"/>
    </row>
    <row r="41" spans="1:25" ht="22">
      <c r="A41" s="254" t="s">
        <v>91</v>
      </c>
      <c r="B41" s="215"/>
      <c r="C41" s="215"/>
      <c r="D41" s="215"/>
      <c r="E41" s="215"/>
      <c r="F41" s="215"/>
      <c r="G41" s="215"/>
      <c r="H41" s="215"/>
      <c r="I41" s="215"/>
      <c r="J41" s="215"/>
      <c r="K41" s="215"/>
      <c r="L41" s="215"/>
      <c r="M41" s="215"/>
      <c r="N41" s="215"/>
      <c r="O41" s="215"/>
      <c r="P41" s="215"/>
      <c r="Q41" s="215"/>
      <c r="R41" s="215"/>
      <c r="S41" s="215"/>
      <c r="T41" s="215"/>
      <c r="U41" s="215"/>
      <c r="V41" s="215"/>
      <c r="Y41" s="19"/>
    </row>
    <row r="42" spans="1:25" outlineLevel="1">
      <c r="H42" s="10"/>
      <c r="I42" s="10"/>
      <c r="J42" s="10"/>
      <c r="K42" s="10"/>
      <c r="L42" s="10"/>
      <c r="M42" s="10"/>
      <c r="N42" s="10"/>
      <c r="O42" s="10"/>
      <c r="P42" s="10"/>
      <c r="Q42" s="10"/>
      <c r="R42" s="10"/>
      <c r="S42" s="10"/>
      <c r="T42" s="10"/>
      <c r="U42" s="10"/>
      <c r="V42" s="10"/>
      <c r="Y42" s="10"/>
    </row>
    <row r="43" spans="1:25" outlineLevel="1">
      <c r="B43" s="9" t="s">
        <v>92</v>
      </c>
      <c r="Y43" s="145"/>
    </row>
    <row r="44" spans="1:25" outlineLevel="1">
      <c r="C44" s="9" t="s">
        <v>93</v>
      </c>
    </row>
    <row r="45" spans="1:25" outlineLevel="1">
      <c r="D45" s="1" t="s">
        <v>94</v>
      </c>
      <c r="F45" s="22" t="s">
        <v>257</v>
      </c>
      <c r="H45" s="23">
        <f>Historical!H55</f>
        <v>472.14</v>
      </c>
      <c r="I45" s="23">
        <f>Historical!I55</f>
        <v>148.56</v>
      </c>
      <c r="J45" s="23">
        <f>Historical!J55</f>
        <v>46.17</v>
      </c>
      <c r="K45" s="23">
        <f>Historical!K55</f>
        <v>262.36</v>
      </c>
      <c r="L45" s="23">
        <f>Historical!L55</f>
        <v>141.15</v>
      </c>
      <c r="M45" s="152">
        <f t="shared" ref="M45:V45" si="55">M98</f>
        <v>1993.515397563687</v>
      </c>
      <c r="N45" s="152">
        <f t="shared" si="55"/>
        <v>4329.6060638701674</v>
      </c>
      <c r="O45" s="152">
        <f t="shared" si="55"/>
        <v>6820.0500889845389</v>
      </c>
      <c r="P45" s="152">
        <f t="shared" si="55"/>
        <v>9540.1108997181618</v>
      </c>
      <c r="Q45" s="152">
        <f t="shared" si="55"/>
        <v>12462.574124765579</v>
      </c>
      <c r="R45" s="152">
        <f t="shared" si="55"/>
        <v>15629.81824395359</v>
      </c>
      <c r="S45" s="152">
        <f t="shared" si="55"/>
        <v>19071.153350026743</v>
      </c>
      <c r="T45" s="152">
        <f t="shared" si="55"/>
        <v>22790.22824339939</v>
      </c>
      <c r="U45" s="152">
        <f t="shared" si="55"/>
        <v>26782.994331580569</v>
      </c>
      <c r="V45" s="152">
        <f t="shared" si="55"/>
        <v>31116.558701032038</v>
      </c>
    </row>
    <row r="46" spans="1:25" outlineLevel="1">
      <c r="D46" s="1" t="s">
        <v>95</v>
      </c>
      <c r="F46" s="22" t="s">
        <v>257</v>
      </c>
      <c r="H46" s="23">
        <f>Historical!H56</f>
        <v>236.21</v>
      </c>
      <c r="I46" s="23">
        <f>Historical!I56</f>
        <v>141.09</v>
      </c>
      <c r="J46" s="23">
        <f>Historical!J56</f>
        <v>114.76</v>
      </c>
      <c r="K46" s="23">
        <f>Historical!K56</f>
        <v>159.44999999999999</v>
      </c>
      <c r="L46" s="23">
        <f>Historical!L56</f>
        <v>152.43</v>
      </c>
      <c r="M46" s="152">
        <f>L46+9.16</f>
        <v>161.59</v>
      </c>
      <c r="N46" s="152">
        <f t="shared" ref="N46:Q46" si="56">M46</f>
        <v>161.59</v>
      </c>
      <c r="O46" s="152">
        <f t="shared" si="56"/>
        <v>161.59</v>
      </c>
      <c r="P46" s="152">
        <f t="shared" si="56"/>
        <v>161.59</v>
      </c>
      <c r="Q46" s="152">
        <f t="shared" si="56"/>
        <v>161.59</v>
      </c>
      <c r="R46" s="152">
        <f t="shared" ref="R46" si="57">Q46</f>
        <v>161.59</v>
      </c>
      <c r="S46" s="152">
        <f t="shared" ref="S46" si="58">R46</f>
        <v>161.59</v>
      </c>
      <c r="T46" s="152">
        <f t="shared" ref="T46" si="59">S46</f>
        <v>161.59</v>
      </c>
      <c r="U46" s="152">
        <f t="shared" ref="U46" si="60">T46</f>
        <v>161.59</v>
      </c>
      <c r="V46" s="152">
        <f t="shared" ref="V46" si="61">U46</f>
        <v>161.59</v>
      </c>
    </row>
    <row r="47" spans="1:25" outlineLevel="1">
      <c r="D47" s="1" t="s">
        <v>96</v>
      </c>
      <c r="F47" s="22" t="s">
        <v>257</v>
      </c>
      <c r="H47" s="23">
        <f>Historical!H54</f>
        <v>679.43</v>
      </c>
      <c r="I47" s="23">
        <f>Historical!I54</f>
        <v>788.29</v>
      </c>
      <c r="J47" s="23">
        <f>Historical!J54</f>
        <v>1211.57</v>
      </c>
      <c r="K47" s="23">
        <f>Historical!K54</f>
        <v>1286.53</v>
      </c>
      <c r="L47" s="23">
        <f>Historical!L54</f>
        <v>1401.46</v>
      </c>
      <c r="M47" s="152">
        <f t="shared" ref="M47:V47" si="62">(M17/365)*M25</f>
        <v>1263.6644878948634</v>
      </c>
      <c r="N47" s="152">
        <f t="shared" si="62"/>
        <v>1350.374885328461</v>
      </c>
      <c r="O47" s="152">
        <f t="shared" si="62"/>
        <v>1441.1819889786689</v>
      </c>
      <c r="P47" s="152">
        <f t="shared" si="62"/>
        <v>1536.157223189844</v>
      </c>
      <c r="Q47" s="152">
        <f t="shared" si="62"/>
        <v>1635.3667299071853</v>
      </c>
      <c r="R47" s="152">
        <f t="shared" si="62"/>
        <v>1738.871140552314</v>
      </c>
      <c r="S47" s="152">
        <f t="shared" si="62"/>
        <v>1846.7253684225891</v>
      </c>
      <c r="T47" s="152">
        <f t="shared" si="62"/>
        <v>1958.9784223571528</v>
      </c>
      <c r="U47" s="152">
        <f t="shared" si="62"/>
        <v>2075.6732422672453</v>
      </c>
      <c r="V47" s="152">
        <f t="shared" si="62"/>
        <v>2196.846556983483</v>
      </c>
    </row>
    <row r="48" spans="1:25" outlineLevel="1">
      <c r="D48" s="1" t="s">
        <v>74</v>
      </c>
      <c r="F48" s="22" t="s">
        <v>257</v>
      </c>
      <c r="H48" s="23">
        <f>Historical!H51</f>
        <v>1715.72</v>
      </c>
      <c r="I48" s="23">
        <f>Historical!I51</f>
        <v>2497.02</v>
      </c>
      <c r="J48" s="23">
        <f>Historical!J51</f>
        <v>2759.68</v>
      </c>
      <c r="K48" s="23">
        <f>Historical!K51</f>
        <v>3555.07</v>
      </c>
      <c r="L48" s="23">
        <f>Historical!L51</f>
        <v>2443.64</v>
      </c>
      <c r="M48" s="152">
        <f t="shared" ref="M48:V48" si="63">(M18/365)*-M26</f>
        <v>3126.0532071667731</v>
      </c>
      <c r="N48" s="152">
        <f t="shared" si="63"/>
        <v>3340.5573881330065</v>
      </c>
      <c r="O48" s="152">
        <f t="shared" si="63"/>
        <v>3565.1960009282056</v>
      </c>
      <c r="P48" s="152">
        <f t="shared" si="63"/>
        <v>3800.1457350952714</v>
      </c>
      <c r="Q48" s="152">
        <f t="shared" si="63"/>
        <v>4045.5702125780808</v>
      </c>
      <c r="R48" s="152">
        <f t="shared" si="63"/>
        <v>4301.6194233872966</v>
      </c>
      <c r="S48" s="152">
        <f t="shared" si="63"/>
        <v>4568.4292120377959</v>
      </c>
      <c r="T48" s="152">
        <f t="shared" si="63"/>
        <v>4846.1208165957314</v>
      </c>
      <c r="U48" s="152">
        <f t="shared" si="63"/>
        <v>5134.800461813431</v>
      </c>
      <c r="V48" s="152">
        <f t="shared" si="63"/>
        <v>5434.5590074719821</v>
      </c>
    </row>
    <row r="49" spans="2:22" outlineLevel="1">
      <c r="D49" s="1" t="s">
        <v>97</v>
      </c>
      <c r="F49" s="22" t="s">
        <v>257</v>
      </c>
      <c r="H49" s="23">
        <f>SUM(Historical!H53,Historical!H57:H59)</f>
        <v>5083.83</v>
      </c>
      <c r="I49" s="23">
        <f>SUM(Historical!I53,Historical!I57:I59)</f>
        <v>4895.3700000000008</v>
      </c>
      <c r="J49" s="23">
        <f>SUM(Historical!J53,Historical!J57:J59)</f>
        <v>4835.75</v>
      </c>
      <c r="K49" s="23">
        <f>SUM(Historical!K53,Historical!K57:K59)</f>
        <v>6948.8000000000011</v>
      </c>
      <c r="L49" s="23">
        <f>SUM(Historical!L53,Historical!L57:L59)</f>
        <v>7963.67</v>
      </c>
      <c r="M49" s="152">
        <f>L49</f>
        <v>7963.67</v>
      </c>
      <c r="N49" s="152">
        <f t="shared" ref="N49:Q49" si="64">M49</f>
        <v>7963.67</v>
      </c>
      <c r="O49" s="152">
        <f t="shared" si="64"/>
        <v>7963.67</v>
      </c>
      <c r="P49" s="152">
        <f t="shared" si="64"/>
        <v>7963.67</v>
      </c>
      <c r="Q49" s="152">
        <f t="shared" si="64"/>
        <v>7963.67</v>
      </c>
      <c r="R49" s="152">
        <f t="shared" ref="R49" si="65">Q49</f>
        <v>7963.67</v>
      </c>
      <c r="S49" s="152">
        <f t="shared" ref="S49" si="66">R49</f>
        <v>7963.67</v>
      </c>
      <c r="T49" s="152">
        <f t="shared" ref="T49" si="67">S49</f>
        <v>7963.67</v>
      </c>
      <c r="U49" s="152">
        <f t="shared" ref="U49" si="68">T49</f>
        <v>7963.67</v>
      </c>
      <c r="V49" s="152">
        <f t="shared" ref="V49" si="69">U49</f>
        <v>7963.67</v>
      </c>
    </row>
    <row r="50" spans="2:22" outlineLevel="1">
      <c r="C50" s="9" t="s">
        <v>98</v>
      </c>
      <c r="F50" s="22"/>
      <c r="H50" s="23"/>
      <c r="I50" s="23"/>
      <c r="J50" s="23"/>
      <c r="K50" s="23"/>
      <c r="L50" s="23"/>
      <c r="M50" s="3"/>
    </row>
    <row r="51" spans="2:22" outlineLevel="1">
      <c r="D51" s="1" t="s">
        <v>99</v>
      </c>
      <c r="F51" s="22" t="s">
        <v>257</v>
      </c>
      <c r="H51" s="23">
        <f>SUM(Historical!H38:H39)</f>
        <v>6711.04</v>
      </c>
      <c r="I51" s="23">
        <f>SUM(Historical!I38:I39)</f>
        <v>7777.7099999999991</v>
      </c>
      <c r="J51" s="23">
        <f>SUM(Historical!J38:J39)</f>
        <v>9590.35</v>
      </c>
      <c r="K51" s="23">
        <f>SUM(Historical!K38:K39)</f>
        <v>10764.62</v>
      </c>
      <c r="L51" s="23">
        <f>SUM(Historical!L38:L39)</f>
        <v>12344.39</v>
      </c>
      <c r="M51" s="152">
        <f>M114</f>
        <v>11078.329812933665</v>
      </c>
      <c r="N51" s="152">
        <f t="shared" ref="N51:Q51" si="70">N114</f>
        <v>10190.094035044514</v>
      </c>
      <c r="O51" s="152">
        <f t="shared" si="70"/>
        <v>9570.4279213373484</v>
      </c>
      <c r="P51" s="152">
        <f t="shared" si="70"/>
        <v>9045.9823829674679</v>
      </c>
      <c r="Q51" s="152">
        <f t="shared" si="70"/>
        <v>8690.215095026877</v>
      </c>
      <c r="R51" s="152">
        <f t="shared" ref="R51:V51" si="71">R114</f>
        <v>8452.6956887408087</v>
      </c>
      <c r="S51" s="152">
        <f t="shared" si="71"/>
        <v>8213.5619786606148</v>
      </c>
      <c r="T51" s="152">
        <f t="shared" si="71"/>
        <v>8060.274544159558</v>
      </c>
      <c r="U51" s="152">
        <f t="shared" si="71"/>
        <v>7966.3387511796664</v>
      </c>
      <c r="V51" s="152">
        <f t="shared" si="71"/>
        <v>7833.7922108987541</v>
      </c>
    </row>
    <row r="52" spans="2:22" outlineLevel="1">
      <c r="D52" s="1" t="s">
        <v>100</v>
      </c>
      <c r="F52" s="22" t="s">
        <v>257</v>
      </c>
      <c r="H52" s="23">
        <f>SUM(Historical!H43:H45)</f>
        <v>4833.5599999999995</v>
      </c>
      <c r="I52" s="23">
        <f>SUM(Historical!I43:I45)</f>
        <v>5648.22</v>
      </c>
      <c r="J52" s="23">
        <f>SUM(Historical!J43:J45)</f>
        <v>5432.22</v>
      </c>
      <c r="K52" s="23">
        <f>SUM(Historical!K43:K45)</f>
        <v>2409.0099999999998</v>
      </c>
      <c r="L52" s="23">
        <f>SUM(Historical!L43:L45)</f>
        <v>1543.6599999999999</v>
      </c>
      <c r="M52" s="152">
        <f>L52</f>
        <v>1543.6599999999999</v>
      </c>
      <c r="N52" s="152">
        <f t="shared" ref="N52:Q52" si="72">M52</f>
        <v>1543.6599999999999</v>
      </c>
      <c r="O52" s="152">
        <f t="shared" si="72"/>
        <v>1543.6599999999999</v>
      </c>
      <c r="P52" s="152">
        <f t="shared" si="72"/>
        <v>1543.6599999999999</v>
      </c>
      <c r="Q52" s="152">
        <f t="shared" si="72"/>
        <v>1543.6599999999999</v>
      </c>
      <c r="R52" s="152">
        <f t="shared" ref="R52:R53" si="73">Q52</f>
        <v>1543.6599999999999</v>
      </c>
      <c r="S52" s="152">
        <f t="shared" ref="S52:S53" si="74">R52</f>
        <v>1543.6599999999999</v>
      </c>
      <c r="T52" s="152">
        <f t="shared" ref="T52:T53" si="75">S52</f>
        <v>1543.6599999999999</v>
      </c>
      <c r="U52" s="152">
        <f t="shared" ref="U52:U53" si="76">T52</f>
        <v>1543.6599999999999</v>
      </c>
      <c r="V52" s="152">
        <f t="shared" ref="V52:V53" si="77">U52</f>
        <v>1543.6599999999999</v>
      </c>
    </row>
    <row r="53" spans="2:22" outlineLevel="1">
      <c r="D53" s="1" t="s">
        <v>101</v>
      </c>
      <c r="F53" s="22" t="s">
        <v>257</v>
      </c>
      <c r="H53" s="23">
        <f>SUM(Historical!H46:H48,Historical!H41,Historical!H40)</f>
        <v>1781.24</v>
      </c>
      <c r="I53" s="23">
        <f>SUM(Historical!I46:I48,Historical!I41,Historical!I40)</f>
        <v>1852.6200000000001</v>
      </c>
      <c r="J53" s="23">
        <f>SUM(Historical!J46:J48,Historical!J41,Historical!J40)</f>
        <v>2343.44</v>
      </c>
      <c r="K53" s="23">
        <f>SUM(Historical!K46:K48,Historical!K41,Historical!K40)</f>
        <v>2567.63</v>
      </c>
      <c r="L53" s="23">
        <f>SUM(Historical!L46:L48,Historical!L41,Historical!L40)</f>
        <v>2501.3599999999997</v>
      </c>
      <c r="M53" s="152">
        <f>L53</f>
        <v>2501.3599999999997</v>
      </c>
      <c r="N53" s="152">
        <f t="shared" ref="N53:Q53" si="78">M53</f>
        <v>2501.3599999999997</v>
      </c>
      <c r="O53" s="152">
        <f t="shared" si="78"/>
        <v>2501.3599999999997</v>
      </c>
      <c r="P53" s="152">
        <f t="shared" si="78"/>
        <v>2501.3599999999997</v>
      </c>
      <c r="Q53" s="152">
        <f t="shared" si="78"/>
        <v>2501.3599999999997</v>
      </c>
      <c r="R53" s="152">
        <f t="shared" si="73"/>
        <v>2501.3599999999997</v>
      </c>
      <c r="S53" s="152">
        <f t="shared" si="74"/>
        <v>2501.3599999999997</v>
      </c>
      <c r="T53" s="152">
        <f t="shared" si="75"/>
        <v>2501.3599999999997</v>
      </c>
      <c r="U53" s="152">
        <f t="shared" si="76"/>
        <v>2501.3599999999997</v>
      </c>
      <c r="V53" s="152">
        <f t="shared" si="77"/>
        <v>2501.3599999999997</v>
      </c>
    </row>
    <row r="54" spans="2:22" ht="16" outlineLevel="1" thickBot="1">
      <c r="D54" s="29" t="s">
        <v>102</v>
      </c>
      <c r="E54" s="29"/>
      <c r="F54" s="130" t="s">
        <v>256</v>
      </c>
      <c r="G54" s="29"/>
      <c r="H54" s="32">
        <f t="shared" ref="H54:V54" si="79">SUM(H45:H49,H51:H53)</f>
        <v>21513.170000000002</v>
      </c>
      <c r="I54" s="32">
        <f t="shared" si="79"/>
        <v>23748.880000000001</v>
      </c>
      <c r="J54" s="32">
        <f t="shared" si="79"/>
        <v>26333.94</v>
      </c>
      <c r="K54" s="32">
        <f>SUM(K45:K49,K51:K53)</f>
        <v>27953.47</v>
      </c>
      <c r="L54" s="32">
        <f t="shared" si="79"/>
        <v>28491.759999999998</v>
      </c>
      <c r="M54" s="32">
        <f t="shared" si="79"/>
        <v>29631.842905558991</v>
      </c>
      <c r="N54" s="32">
        <f t="shared" si="79"/>
        <v>31380.912372376155</v>
      </c>
      <c r="O54" s="32">
        <f t="shared" si="79"/>
        <v>33567.136000228762</v>
      </c>
      <c r="P54" s="32">
        <f t="shared" si="79"/>
        <v>36092.676240970744</v>
      </c>
      <c r="Q54" s="32">
        <f t="shared" si="79"/>
        <v>39004.006162277728</v>
      </c>
      <c r="R54" s="32">
        <f t="shared" si="79"/>
        <v>42293.284496634005</v>
      </c>
      <c r="S54" s="32">
        <f t="shared" si="79"/>
        <v>45870.149909147745</v>
      </c>
      <c r="T54" s="32">
        <f t="shared" si="79"/>
        <v>49825.882026511841</v>
      </c>
      <c r="U54" s="32">
        <f t="shared" si="79"/>
        <v>54130.086786840911</v>
      </c>
      <c r="V54" s="32">
        <f t="shared" si="79"/>
        <v>58752.03647638626</v>
      </c>
    </row>
    <row r="55" spans="2:22" ht="16" outlineLevel="1" thickTop="1">
      <c r="H55" s="19"/>
      <c r="I55" s="19"/>
      <c r="J55" s="19"/>
      <c r="K55" s="19"/>
      <c r="L55" s="19"/>
    </row>
    <row r="56" spans="2:22" outlineLevel="1">
      <c r="B56" s="9" t="s">
        <v>26</v>
      </c>
    </row>
    <row r="57" spans="2:22" outlineLevel="1">
      <c r="C57" s="9" t="s">
        <v>103</v>
      </c>
    </row>
    <row r="58" spans="2:22" outlineLevel="1">
      <c r="D58" s="1" t="s">
        <v>75</v>
      </c>
      <c r="F58" s="22" t="s">
        <v>257</v>
      </c>
      <c r="H58" s="23">
        <f>Historical!H83</f>
        <v>882.97</v>
      </c>
      <c r="I58" s="23">
        <f>Historical!I83</f>
        <v>890.37</v>
      </c>
      <c r="J58" s="23">
        <f>Historical!J83</f>
        <v>1196</v>
      </c>
      <c r="K58" s="23">
        <f>Historical!K83</f>
        <v>1214.23</v>
      </c>
      <c r="L58" s="23">
        <f>Historical!L83</f>
        <v>1361.03</v>
      </c>
      <c r="M58" s="10">
        <f t="shared" ref="M58:V58" si="80">(M19/365)*-M26</f>
        <v>1353.9889197588836</v>
      </c>
      <c r="N58" s="10">
        <f t="shared" si="80"/>
        <v>1446.8972181859169</v>
      </c>
      <c r="O58" s="10">
        <f t="shared" si="80"/>
        <v>1544.1950479149166</v>
      </c>
      <c r="P58" s="10">
        <f t="shared" si="80"/>
        <v>1645.9589385720503</v>
      </c>
      <c r="Q58" s="10">
        <f t="shared" si="80"/>
        <v>1752.2597598080754</v>
      </c>
      <c r="R58" s="10">
        <f t="shared" si="80"/>
        <v>1863.1624768679992</v>
      </c>
      <c r="S58" s="10">
        <f t="shared" si="80"/>
        <v>1978.7259281514798</v>
      </c>
      <c r="T58" s="10">
        <f t="shared" si="80"/>
        <v>2099.0026255600574</v>
      </c>
      <c r="U58" s="10">
        <f t="shared" si="80"/>
        <v>2224.0385782714779</v>
      </c>
      <c r="V58" s="10">
        <f t="shared" si="80"/>
        <v>2353.8731404261534</v>
      </c>
    </row>
    <row r="59" spans="2:22" outlineLevel="1">
      <c r="D59" s="1" t="s">
        <v>104</v>
      </c>
      <c r="F59" s="22" t="s">
        <v>257</v>
      </c>
      <c r="H59" s="23">
        <f>SUM(Historical!H84:H87)</f>
        <v>2745.7200000000003</v>
      </c>
      <c r="I59" s="23">
        <f>SUM(Historical!I84:I87)</f>
        <v>3052.8299999999995</v>
      </c>
      <c r="J59" s="23">
        <f>SUM(Historical!J84:J87)</f>
        <v>3529.98</v>
      </c>
      <c r="K59" s="23">
        <f>SUM(Historical!K84:K87)</f>
        <v>4112.7800000000007</v>
      </c>
      <c r="L59" s="23">
        <f>SUM(Historical!L84:L87)</f>
        <v>4259.87</v>
      </c>
      <c r="M59" s="10">
        <f t="shared" ref="M59:Q59" si="81">L59</f>
        <v>4259.87</v>
      </c>
      <c r="N59" s="10">
        <f t="shared" si="81"/>
        <v>4259.87</v>
      </c>
      <c r="O59" s="10">
        <f t="shared" si="81"/>
        <v>4259.87</v>
      </c>
      <c r="P59" s="10">
        <f t="shared" si="81"/>
        <v>4259.87</v>
      </c>
      <c r="Q59" s="10">
        <f t="shared" si="81"/>
        <v>4259.87</v>
      </c>
      <c r="R59" s="10">
        <f t="shared" ref="R59" si="82">Q59</f>
        <v>4259.87</v>
      </c>
      <c r="S59" s="10">
        <f t="shared" ref="S59" si="83">R59</f>
        <v>4259.87</v>
      </c>
      <c r="T59" s="10">
        <f t="shared" ref="T59" si="84">S59</f>
        <v>4259.87</v>
      </c>
      <c r="U59" s="10">
        <f t="shared" ref="U59" si="85">T59</f>
        <v>4259.87</v>
      </c>
      <c r="V59" s="10">
        <f t="shared" ref="V59" si="86">U59</f>
        <v>4259.87</v>
      </c>
    </row>
    <row r="60" spans="2:22" outlineLevel="1">
      <c r="C60" s="9" t="s">
        <v>105</v>
      </c>
      <c r="F60" s="22"/>
      <c r="H60" s="23"/>
      <c r="I60" s="23"/>
      <c r="J60" s="23"/>
      <c r="K60" s="23"/>
      <c r="L60" s="23"/>
    </row>
    <row r="61" spans="2:22" outlineLevel="1">
      <c r="D61" s="1" t="s">
        <v>106</v>
      </c>
      <c r="F61" s="22" t="s">
        <v>257</v>
      </c>
      <c r="H61" s="23">
        <f>SUM(Historical!H81:H82,Historical!H72:H73)</f>
        <v>2229.8799999999997</v>
      </c>
      <c r="I61" s="23">
        <f>SUM(Historical!I81:I82,Historical!I72:I73)</f>
        <v>2129.2199999999998</v>
      </c>
      <c r="J61" s="23">
        <f>SUM(Historical!J81:J82,Historical!J72:J73)</f>
        <v>2724.67</v>
      </c>
      <c r="K61" s="23">
        <f>SUM(Historical!K81:K82,Historical!K72:K73)</f>
        <v>1655.5500000000002</v>
      </c>
      <c r="L61" s="23">
        <f>SUM(Historical!L81:L82,Historical!L72:L73)</f>
        <v>1046.1300000000001</v>
      </c>
      <c r="M61" s="10">
        <f t="shared" ref="M61:Q61" si="87">M119</f>
        <v>1046.1300000000001</v>
      </c>
      <c r="N61" s="10">
        <f t="shared" si="87"/>
        <v>1046.1300000000001</v>
      </c>
      <c r="O61" s="10">
        <f t="shared" si="87"/>
        <v>1046.1300000000001</v>
      </c>
      <c r="P61" s="10">
        <f t="shared" si="87"/>
        <v>1046.1300000000001</v>
      </c>
      <c r="Q61" s="10">
        <f t="shared" si="87"/>
        <v>1046.1300000000001</v>
      </c>
      <c r="R61" s="10">
        <f t="shared" ref="R61:V61" si="88">R119</f>
        <v>1046.1300000000001</v>
      </c>
      <c r="S61" s="10">
        <f t="shared" si="88"/>
        <v>1046.1300000000001</v>
      </c>
      <c r="T61" s="10">
        <f t="shared" si="88"/>
        <v>1046.1300000000001</v>
      </c>
      <c r="U61" s="10">
        <f t="shared" si="88"/>
        <v>1046.1300000000001</v>
      </c>
      <c r="V61" s="10">
        <f t="shared" si="88"/>
        <v>1046.1300000000001</v>
      </c>
    </row>
    <row r="62" spans="2:22" outlineLevel="1">
      <c r="D62" s="17" t="s">
        <v>107</v>
      </c>
      <c r="E62" s="17"/>
      <c r="F62" s="26" t="s">
        <v>257</v>
      </c>
      <c r="G62" s="17"/>
      <c r="H62" s="27">
        <f>SUM(Historical!H74:H77)</f>
        <v>206.03</v>
      </c>
      <c r="I62" s="27">
        <f>SUM(Historical!I74:I77)</f>
        <v>165.89000000000001</v>
      </c>
      <c r="J62" s="27">
        <f>SUM(Historical!J74:J77)</f>
        <v>206.32999999999998</v>
      </c>
      <c r="K62" s="27">
        <f>SUM(Historical!K74:K77)</f>
        <v>226.87</v>
      </c>
      <c r="L62" s="27">
        <f>SUM(Historical!L74:L77)</f>
        <v>246.20999999999998</v>
      </c>
      <c r="M62" s="28">
        <f t="shared" ref="M62:Q62" si="89">L62</f>
        <v>246.20999999999998</v>
      </c>
      <c r="N62" s="28">
        <f t="shared" si="89"/>
        <v>246.20999999999998</v>
      </c>
      <c r="O62" s="28">
        <f t="shared" si="89"/>
        <v>246.20999999999998</v>
      </c>
      <c r="P62" s="28">
        <f t="shared" si="89"/>
        <v>246.20999999999998</v>
      </c>
      <c r="Q62" s="28">
        <f t="shared" si="89"/>
        <v>246.20999999999998</v>
      </c>
      <c r="R62" s="28">
        <f t="shared" ref="R62" si="90">Q62</f>
        <v>246.20999999999998</v>
      </c>
      <c r="S62" s="28">
        <f t="shared" ref="S62" si="91">R62</f>
        <v>246.20999999999998</v>
      </c>
      <c r="T62" s="28">
        <f t="shared" ref="T62" si="92">S62</f>
        <v>246.20999999999998</v>
      </c>
      <c r="U62" s="28">
        <f t="shared" ref="U62" si="93">T62</f>
        <v>246.20999999999998</v>
      </c>
      <c r="V62" s="28">
        <f t="shared" ref="V62" si="94">U62</f>
        <v>246.20999999999998</v>
      </c>
    </row>
    <row r="63" spans="2:22" outlineLevel="1">
      <c r="D63" s="9" t="s">
        <v>108</v>
      </c>
      <c r="F63" s="20" t="s">
        <v>256</v>
      </c>
      <c r="H63" s="33">
        <f>SUM(H58:H62)</f>
        <v>6064.5999999999995</v>
      </c>
      <c r="I63" s="33">
        <f t="shared" ref="I63:Q63" si="95">SUM(I58:I62)</f>
        <v>6238.3099999999995</v>
      </c>
      <c r="J63" s="33">
        <f t="shared" si="95"/>
        <v>7656.98</v>
      </c>
      <c r="K63" s="33">
        <f t="shared" si="95"/>
        <v>7209.43</v>
      </c>
      <c r="L63" s="33">
        <f t="shared" si="95"/>
        <v>6913.24</v>
      </c>
      <c r="M63" s="33">
        <f t="shared" si="95"/>
        <v>6906.1989197588837</v>
      </c>
      <c r="N63" s="33">
        <f t="shared" si="95"/>
        <v>6999.1072181859172</v>
      </c>
      <c r="O63" s="33">
        <f t="shared" si="95"/>
        <v>7096.4050479149164</v>
      </c>
      <c r="P63" s="33">
        <f t="shared" si="95"/>
        <v>7198.1689385720501</v>
      </c>
      <c r="Q63" s="33">
        <f t="shared" si="95"/>
        <v>7304.4697598080757</v>
      </c>
      <c r="R63" s="33">
        <f t="shared" ref="R63:V63" si="96">SUM(R58:R62)</f>
        <v>7415.3724768679995</v>
      </c>
      <c r="S63" s="33">
        <f t="shared" si="96"/>
        <v>7530.9359281514799</v>
      </c>
      <c r="T63" s="33">
        <f t="shared" si="96"/>
        <v>7651.2126255600579</v>
      </c>
      <c r="U63" s="33">
        <f t="shared" si="96"/>
        <v>7776.2485782714775</v>
      </c>
      <c r="V63" s="33">
        <f t="shared" si="96"/>
        <v>7906.0831404261535</v>
      </c>
    </row>
    <row r="64" spans="2:22" outlineLevel="1">
      <c r="C64" s="9" t="s">
        <v>109</v>
      </c>
      <c r="F64" s="22"/>
    </row>
    <row r="65" spans="1:22" outlineLevel="1">
      <c r="D65" s="1" t="s">
        <v>110</v>
      </c>
      <c r="F65" s="22" t="s">
        <v>257</v>
      </c>
      <c r="H65" s="23">
        <f>Historical!H64</f>
        <v>36.08</v>
      </c>
      <c r="I65" s="23">
        <f>Historical!I64</f>
        <v>36.08</v>
      </c>
      <c r="J65" s="23">
        <f>Historical!J64</f>
        <v>36.08</v>
      </c>
      <c r="K65" s="23">
        <f>Historical!K64</f>
        <v>36.08</v>
      </c>
      <c r="L65" s="23">
        <f>Historical!L64</f>
        <v>36.08</v>
      </c>
      <c r="M65" s="10">
        <f t="shared" ref="M65:Q65" si="97">L65</f>
        <v>36.08</v>
      </c>
      <c r="N65" s="10">
        <f t="shared" si="97"/>
        <v>36.08</v>
      </c>
      <c r="O65" s="10">
        <f t="shared" si="97"/>
        <v>36.08</v>
      </c>
      <c r="P65" s="10">
        <f t="shared" si="97"/>
        <v>36.08</v>
      </c>
      <c r="Q65" s="10">
        <f t="shared" si="97"/>
        <v>36.08</v>
      </c>
      <c r="R65" s="10">
        <f t="shared" ref="R65" si="98">Q65</f>
        <v>36.08</v>
      </c>
      <c r="S65" s="10">
        <f t="shared" ref="S65" si="99">R65</f>
        <v>36.08</v>
      </c>
      <c r="T65" s="10">
        <f t="shared" ref="T65" si="100">S65</f>
        <v>36.08</v>
      </c>
      <c r="U65" s="10">
        <f t="shared" ref="U65" si="101">T65</f>
        <v>36.08</v>
      </c>
      <c r="V65" s="10">
        <f t="shared" ref="V65" si="102">U65</f>
        <v>36.08</v>
      </c>
    </row>
    <row r="66" spans="1:22" outlineLevel="1">
      <c r="D66" s="1" t="s">
        <v>111</v>
      </c>
      <c r="F66" s="22" t="s">
        <v>257</v>
      </c>
      <c r="H66" s="23">
        <f>Historical!H65</f>
        <v>15361.33</v>
      </c>
      <c r="I66" s="23">
        <f>Historical!I65</f>
        <v>17424.2</v>
      </c>
      <c r="J66" s="23">
        <f>Historical!J65</f>
        <v>18600.32</v>
      </c>
      <c r="K66" s="23">
        <f>Historical!K65</f>
        <v>20666.84</v>
      </c>
      <c r="L66" s="23">
        <f>Historical!L65</f>
        <v>21501.67</v>
      </c>
      <c r="M66" s="10">
        <f>L66+M38+M92</f>
        <v>22648.793985800108</v>
      </c>
      <c r="N66" s="10">
        <f t="shared" ref="N66:V66" si="103">M66+N38+N92</f>
        <v>24304.955154190236</v>
      </c>
      <c r="O66" s="10">
        <f t="shared" si="103"/>
        <v>26393.880952313848</v>
      </c>
      <c r="P66" s="10">
        <f t="shared" si="103"/>
        <v>28817.6573023987</v>
      </c>
      <c r="Q66" s="10">
        <f t="shared" si="103"/>
        <v>31622.686402469655</v>
      </c>
      <c r="R66" s="10">
        <f t="shared" si="103"/>
        <v>34801.062019766025</v>
      </c>
      <c r="S66" s="10">
        <f t="shared" si="103"/>
        <v>38262.363980996277</v>
      </c>
      <c r="T66" s="10">
        <f t="shared" si="103"/>
        <v>42097.81940095179</v>
      </c>
      <c r="U66" s="10">
        <f t="shared" si="103"/>
        <v>46276.988208569448</v>
      </c>
      <c r="V66" s="10">
        <f t="shared" si="103"/>
        <v>50769.103335960113</v>
      </c>
    </row>
    <row r="67" spans="1:22" outlineLevel="1">
      <c r="D67" s="1" t="s">
        <v>474</v>
      </c>
      <c r="F67" s="22" t="s">
        <v>257</v>
      </c>
      <c r="H67" s="23">
        <f>Historical!H67</f>
        <v>51.16</v>
      </c>
      <c r="I67" s="23">
        <f>Historical!I67</f>
        <v>50.29</v>
      </c>
      <c r="J67" s="23">
        <f>Historical!J67</f>
        <v>40.56</v>
      </c>
      <c r="K67" s="23">
        <f>Historical!K67</f>
        <v>41.12</v>
      </c>
      <c r="L67" s="23">
        <f>Historical!L67</f>
        <v>40.770000000000003</v>
      </c>
      <c r="M67" s="10">
        <f t="shared" ref="M67:V67" si="104">L67</f>
        <v>40.770000000000003</v>
      </c>
      <c r="N67" s="10">
        <f t="shared" si="104"/>
        <v>40.770000000000003</v>
      </c>
      <c r="O67" s="10">
        <f t="shared" si="104"/>
        <v>40.770000000000003</v>
      </c>
      <c r="P67" s="10">
        <f t="shared" si="104"/>
        <v>40.770000000000003</v>
      </c>
      <c r="Q67" s="10">
        <f t="shared" si="104"/>
        <v>40.770000000000003</v>
      </c>
      <c r="R67" s="10">
        <f t="shared" si="104"/>
        <v>40.770000000000003</v>
      </c>
      <c r="S67" s="10">
        <f t="shared" si="104"/>
        <v>40.770000000000003</v>
      </c>
      <c r="T67" s="10">
        <f t="shared" si="104"/>
        <v>40.770000000000003</v>
      </c>
      <c r="U67" s="10">
        <f t="shared" si="104"/>
        <v>40.770000000000003</v>
      </c>
      <c r="V67" s="10">
        <f t="shared" si="104"/>
        <v>40.770000000000003</v>
      </c>
    </row>
    <row r="68" spans="1:22" outlineLevel="1">
      <c r="D68" s="24" t="s">
        <v>109</v>
      </c>
      <c r="E68" s="4"/>
      <c r="F68" s="37" t="s">
        <v>256</v>
      </c>
      <c r="G68" s="4"/>
      <c r="H68" s="143">
        <f t="shared" ref="H68:M68" si="105">SUM(H65:H67)</f>
        <v>15448.57</v>
      </c>
      <c r="I68" s="143">
        <f t="shared" si="105"/>
        <v>17510.570000000003</v>
      </c>
      <c r="J68" s="143">
        <f t="shared" si="105"/>
        <v>18676.960000000003</v>
      </c>
      <c r="K68" s="143">
        <f t="shared" si="105"/>
        <v>20744.04</v>
      </c>
      <c r="L68" s="143">
        <f t="shared" si="105"/>
        <v>21578.52</v>
      </c>
      <c r="M68" s="143">
        <f t="shared" si="105"/>
        <v>22725.64398580011</v>
      </c>
      <c r="N68" s="143">
        <f t="shared" ref="N68" si="106">SUM(N65:N67)</f>
        <v>24381.805154190239</v>
      </c>
      <c r="O68" s="143">
        <f t="shared" ref="O68" si="107">SUM(O65:O67)</f>
        <v>26470.73095231385</v>
      </c>
      <c r="P68" s="143">
        <f t="shared" ref="P68" si="108">SUM(P65:P67)</f>
        <v>28894.507302398702</v>
      </c>
      <c r="Q68" s="143">
        <f t="shared" ref="Q68" si="109">SUM(Q65:Q67)</f>
        <v>31699.536402469657</v>
      </c>
      <c r="R68" s="143">
        <f t="shared" ref="R68" si="110">SUM(R65:R67)</f>
        <v>34877.912019766023</v>
      </c>
      <c r="S68" s="143">
        <f t="shared" ref="S68" si="111">SUM(S65:S67)</f>
        <v>38339.213980996275</v>
      </c>
      <c r="T68" s="143">
        <f t="shared" ref="T68" si="112">SUM(T65:T67)</f>
        <v>42174.669400951789</v>
      </c>
      <c r="U68" s="143">
        <f t="shared" ref="U68" si="113">SUM(U65:U67)</f>
        <v>46353.838208569447</v>
      </c>
      <c r="V68" s="143">
        <f t="shared" ref="V68" si="114">SUM(V65:V67)</f>
        <v>50845.953335960112</v>
      </c>
    </row>
    <row r="69" spans="1:22" ht="16" outlineLevel="1" thickBot="1">
      <c r="D69" s="29" t="s">
        <v>112</v>
      </c>
      <c r="E69" s="30"/>
      <c r="F69" s="130" t="s">
        <v>256</v>
      </c>
      <c r="G69" s="30"/>
      <c r="H69" s="32">
        <f>SUM(H63,H68)</f>
        <v>21513.17</v>
      </c>
      <c r="I69" s="32">
        <f t="shared" ref="I69:M69" si="115">SUM(I63,I68)</f>
        <v>23748.880000000005</v>
      </c>
      <c r="J69" s="32">
        <f t="shared" si="115"/>
        <v>26333.940000000002</v>
      </c>
      <c r="K69" s="32">
        <f t="shared" si="115"/>
        <v>27953.47</v>
      </c>
      <c r="L69" s="32">
        <f t="shared" si="115"/>
        <v>28491.760000000002</v>
      </c>
      <c r="M69" s="32">
        <f t="shared" si="115"/>
        <v>29631.842905558995</v>
      </c>
      <c r="N69" s="32">
        <f t="shared" ref="N69:Q69" si="116">SUM(N63,N68)</f>
        <v>31380.912372376155</v>
      </c>
      <c r="O69" s="32">
        <f t="shared" si="116"/>
        <v>33567.136000228769</v>
      </c>
      <c r="P69" s="32">
        <f t="shared" si="116"/>
        <v>36092.676240970752</v>
      </c>
      <c r="Q69" s="32">
        <f t="shared" si="116"/>
        <v>39004.006162277736</v>
      </c>
      <c r="R69" s="32">
        <f t="shared" ref="R69:V69" si="117">SUM(R63,R68)</f>
        <v>42293.28449663402</v>
      </c>
      <c r="S69" s="32">
        <f t="shared" si="117"/>
        <v>45870.149909147753</v>
      </c>
      <c r="T69" s="32">
        <f t="shared" si="117"/>
        <v>49825.882026511848</v>
      </c>
      <c r="U69" s="32">
        <f t="shared" si="117"/>
        <v>54130.086786840926</v>
      </c>
      <c r="V69" s="32">
        <f t="shared" si="117"/>
        <v>58752.036476386267</v>
      </c>
    </row>
    <row r="70" spans="1:22" ht="16" outlineLevel="1" thickTop="1"/>
    <row r="71" spans="1:22" outlineLevel="1">
      <c r="D71" s="34" t="s">
        <v>113</v>
      </c>
      <c r="E71" s="34"/>
      <c r="F71" s="34"/>
      <c r="G71" s="34"/>
      <c r="H71" s="35">
        <f t="shared" ref="H71:Q71" si="118">H54-H69</f>
        <v>0</v>
      </c>
      <c r="I71" s="35">
        <f t="shared" si="118"/>
        <v>0</v>
      </c>
      <c r="J71" s="35">
        <f t="shared" si="118"/>
        <v>0</v>
      </c>
      <c r="K71" s="35">
        <f t="shared" si="118"/>
        <v>0</v>
      </c>
      <c r="L71" s="35">
        <f t="shared" si="118"/>
        <v>0</v>
      </c>
      <c r="M71" s="35">
        <f t="shared" si="118"/>
        <v>0</v>
      </c>
      <c r="N71" s="35">
        <f t="shared" si="118"/>
        <v>0</v>
      </c>
      <c r="O71" s="35">
        <f t="shared" si="118"/>
        <v>0</v>
      </c>
      <c r="P71" s="35">
        <f t="shared" si="118"/>
        <v>0</v>
      </c>
      <c r="Q71" s="35">
        <f t="shared" si="118"/>
        <v>0</v>
      </c>
      <c r="R71" s="35">
        <f t="shared" ref="R71:V71" si="119">R54-R69</f>
        <v>0</v>
      </c>
      <c r="S71" s="35">
        <f t="shared" si="119"/>
        <v>0</v>
      </c>
      <c r="T71" s="35">
        <f t="shared" si="119"/>
        <v>0</v>
      </c>
      <c r="U71" s="35">
        <f t="shared" si="119"/>
        <v>0</v>
      </c>
      <c r="V71" s="35">
        <f t="shared" si="119"/>
        <v>0</v>
      </c>
    </row>
    <row r="72" spans="1:22" outlineLevel="1">
      <c r="D72" s="34"/>
      <c r="E72" s="34"/>
      <c r="F72" s="34"/>
      <c r="G72" s="34"/>
      <c r="H72" s="35"/>
      <c r="I72" s="35"/>
      <c r="J72" s="35"/>
      <c r="K72" s="35"/>
      <c r="L72" s="35"/>
    </row>
    <row r="73" spans="1:22" ht="22">
      <c r="A73" s="254" t="s">
        <v>114</v>
      </c>
      <c r="B73" s="215"/>
      <c r="C73" s="215"/>
      <c r="D73" s="215"/>
      <c r="E73" s="215"/>
      <c r="F73" s="215"/>
      <c r="G73" s="215"/>
      <c r="H73" s="215"/>
      <c r="I73" s="215"/>
      <c r="J73" s="215"/>
      <c r="K73" s="215"/>
      <c r="L73" s="215"/>
      <c r="M73" s="215"/>
      <c r="N73" s="215"/>
      <c r="O73" s="215"/>
      <c r="P73" s="215"/>
      <c r="Q73" s="215"/>
      <c r="R73" s="215"/>
      <c r="S73" s="215"/>
      <c r="T73" s="215"/>
      <c r="U73" s="215"/>
      <c r="V73" s="215"/>
    </row>
    <row r="74" spans="1:22" outlineLevel="1"/>
    <row r="75" spans="1:22" outlineLevel="1">
      <c r="C75" s="9" t="s">
        <v>115</v>
      </c>
      <c r="F75" s="22" t="s">
        <v>257</v>
      </c>
    </row>
    <row r="76" spans="1:22" outlineLevel="1">
      <c r="D76" s="1" t="s">
        <v>90</v>
      </c>
      <c r="F76" s="22" t="s">
        <v>257</v>
      </c>
      <c r="H76" s="23">
        <f>SUM(Historical!H95,Historical!H118)</f>
        <v>2259.02</v>
      </c>
      <c r="I76" s="23">
        <f>SUM(Historical!I95,Historical!I118)</f>
        <v>2690.4900000000002</v>
      </c>
      <c r="J76" s="23">
        <f>SUM(Historical!J95,Historical!J118)</f>
        <v>1161.83</v>
      </c>
      <c r="K76" s="23">
        <f>SUM(Historical!K95,Historical!K118)</f>
        <v>2515.0099999999998</v>
      </c>
      <c r="L76" s="23">
        <f>SUM(Historical!L95,Historical!L118)</f>
        <v>875.99</v>
      </c>
      <c r="M76" s="10">
        <f t="shared" ref="M76:V76" si="120">M38</f>
        <v>1406.2195975680938</v>
      </c>
      <c r="N76" s="10">
        <f t="shared" si="120"/>
        <v>2030.2306642965605</v>
      </c>
      <c r="O76" s="10">
        <f t="shared" si="120"/>
        <v>2560.7418479164016</v>
      </c>
      <c r="P76" s="10">
        <f t="shared" si="120"/>
        <v>2971.2235519459418</v>
      </c>
      <c r="Q76" s="10">
        <f t="shared" si="120"/>
        <v>3438.5881047699718</v>
      </c>
      <c r="R76" s="10">
        <f t="shared" si="120"/>
        <v>3896.260680450604</v>
      </c>
      <c r="S76" s="10">
        <f t="shared" si="120"/>
        <v>4243.0902947146833</v>
      </c>
      <c r="T76" s="10">
        <f t="shared" si="120"/>
        <v>4701.7520720554876</v>
      </c>
      <c r="U76" s="10">
        <f t="shared" si="120"/>
        <v>5123.0984196692607</v>
      </c>
      <c r="V76" s="10">
        <f t="shared" si="120"/>
        <v>5506.7284834628244</v>
      </c>
    </row>
    <row r="77" spans="1:22" outlineLevel="1">
      <c r="D77" s="1" t="s">
        <v>116</v>
      </c>
      <c r="F77" s="22" t="s">
        <v>257</v>
      </c>
      <c r="H77" s="23">
        <f>Historical!H97</f>
        <v>1262.3399999999999</v>
      </c>
      <c r="I77" s="23">
        <f>Historical!I97</f>
        <v>1145.8800000000001</v>
      </c>
      <c r="J77" s="23">
        <f>Historical!J97</f>
        <v>1660.67</v>
      </c>
      <c r="K77" s="23">
        <f>Historical!K97</f>
        <v>1897.32</v>
      </c>
      <c r="L77" s="23">
        <f>Historical!L97</f>
        <v>3006.78</v>
      </c>
      <c r="M77" s="10">
        <f t="shared" ref="M77:V77" si="121">-M32</f>
        <v>3571.486187066334</v>
      </c>
      <c r="N77" s="10">
        <f t="shared" si="121"/>
        <v>3205.1889078891504</v>
      </c>
      <c r="O77" s="10">
        <f t="shared" si="121"/>
        <v>2948.2040093571677</v>
      </c>
      <c r="P77" s="10">
        <f t="shared" si="121"/>
        <v>2864.6261234981303</v>
      </c>
      <c r="Q77" s="10">
        <f t="shared" si="121"/>
        <v>2707.6487759944812</v>
      </c>
      <c r="R77" s="10">
        <f t="shared" si="121"/>
        <v>2601.1603017802281</v>
      </c>
      <c r="S77" s="10">
        <f t="shared" si="121"/>
        <v>2614.5928100518258</v>
      </c>
      <c r="T77" s="10">
        <f t="shared" si="121"/>
        <v>2540.6238299725446</v>
      </c>
      <c r="U77" s="10">
        <f t="shared" si="121"/>
        <v>2493.2088704287385</v>
      </c>
      <c r="V77" s="10">
        <f t="shared" si="121"/>
        <v>2543.8159831170024</v>
      </c>
    </row>
    <row r="78" spans="1:22" outlineLevel="1">
      <c r="D78" s="1" t="s">
        <v>117</v>
      </c>
      <c r="F78" s="22" t="s">
        <v>257</v>
      </c>
      <c r="H78" s="23">
        <f>Historical!H110-Historical!H97</f>
        <v>-160.26999999999998</v>
      </c>
      <c r="I78" s="23">
        <f>Historical!I110-Historical!I97</f>
        <v>-320.73</v>
      </c>
      <c r="J78" s="23">
        <f>Historical!J110-Historical!J97</f>
        <v>-202.17000000000007</v>
      </c>
      <c r="K78" s="23">
        <f>Historical!K110-Historical!K97</f>
        <v>-339.56000000000017</v>
      </c>
      <c r="L78" s="23">
        <f>Historical!L110-Historical!L97</f>
        <v>-368.2800000000002</v>
      </c>
      <c r="M78" s="10">
        <f t="shared" ref="M78:V78" si="122">-M34-M35</f>
        <v>-521.82491996069507</v>
      </c>
      <c r="N78" s="10">
        <f t="shared" si="122"/>
        <v>-565.5097748942319</v>
      </c>
      <c r="O78" s="10">
        <f t="shared" si="122"/>
        <v>-611.25855782342796</v>
      </c>
      <c r="P78" s="10">
        <f t="shared" si="122"/>
        <v>-659.10725246205129</v>
      </c>
      <c r="Q78" s="10">
        <f t="shared" si="122"/>
        <v>-709.08918124162756</v>
      </c>
      <c r="R78" s="10">
        <f t="shared" si="122"/>
        <v>-761.23489038194475</v>
      </c>
      <c r="S78" s="10">
        <f t="shared" si="122"/>
        <v>-815.57204530145395</v>
      </c>
      <c r="T78" s="10">
        <f t="shared" si="122"/>
        <v>-872.12533674188558</v>
      </c>
      <c r="U78" s="10">
        <f t="shared" si="122"/>
        <v>-930.91639790812565</v>
      </c>
      <c r="V78" s="10">
        <f t="shared" si="122"/>
        <v>-991.9637328514159</v>
      </c>
    </row>
    <row r="79" spans="1:22" outlineLevel="1">
      <c r="D79" s="2" t="s">
        <v>118</v>
      </c>
      <c r="E79" s="17"/>
      <c r="F79" s="26" t="s">
        <v>257</v>
      </c>
      <c r="G79" s="17"/>
      <c r="H79" s="27">
        <f>Historical!H116</f>
        <v>892.7</v>
      </c>
      <c r="I79" s="27">
        <f>Historical!I116</f>
        <v>-847.66000000000008</v>
      </c>
      <c r="J79" s="27">
        <f>Historical!J116</f>
        <v>-51.590000000000032</v>
      </c>
      <c r="K79" s="27">
        <f>Historical!K116</f>
        <v>-725.28000000000009</v>
      </c>
      <c r="L79" s="27">
        <f>Historical!L116</f>
        <v>1405.8400000000001</v>
      </c>
      <c r="M79" s="153">
        <f>M108</f>
        <v>-551.65877530275293</v>
      </c>
      <c r="N79" s="153">
        <f t="shared" ref="N79:Q79" si="123">N108</f>
        <v>-208.30627997279771</v>
      </c>
      <c r="O79" s="153">
        <f t="shared" si="123"/>
        <v>-218.14788671640736</v>
      </c>
      <c r="P79" s="153">
        <f t="shared" si="123"/>
        <v>-228.16107772110718</v>
      </c>
      <c r="Q79" s="153">
        <f t="shared" si="123"/>
        <v>-238.33316296412568</v>
      </c>
      <c r="R79" s="153">
        <f t="shared" ref="R79:V79" si="124">R108</f>
        <v>-248.65090439442065</v>
      </c>
      <c r="S79" s="153">
        <f t="shared" si="124"/>
        <v>-259.10056523729372</v>
      </c>
      <c r="T79" s="153">
        <f t="shared" si="124"/>
        <v>-269.66796108392168</v>
      </c>
      <c r="U79" s="153">
        <f t="shared" si="124"/>
        <v>-280.33851241637149</v>
      </c>
      <c r="V79" s="153">
        <f t="shared" si="124"/>
        <v>-291.09729822011332</v>
      </c>
    </row>
    <row r="80" spans="1:22" outlineLevel="1">
      <c r="D80" s="9" t="s">
        <v>119</v>
      </c>
      <c r="F80" s="20" t="s">
        <v>256</v>
      </c>
      <c r="H80" s="36">
        <f>SUM(H76:H79)</f>
        <v>4253.79</v>
      </c>
      <c r="I80" s="36">
        <f t="shared" ref="I80:M80" si="125">SUM(I76:I79)</f>
        <v>2667.9800000000005</v>
      </c>
      <c r="J80" s="36">
        <f t="shared" si="125"/>
        <v>2568.7399999999998</v>
      </c>
      <c r="K80" s="36">
        <f>SUM(K76:K79)</f>
        <v>3347.4899999999993</v>
      </c>
      <c r="L80" s="36">
        <f t="shared" si="125"/>
        <v>4920.33</v>
      </c>
      <c r="M80" s="36">
        <f t="shared" si="125"/>
        <v>3904.2220893709796</v>
      </c>
      <c r="N80" s="36">
        <f t="shared" ref="N80:Q80" si="126">SUM(N76:N79)</f>
        <v>4461.603517318681</v>
      </c>
      <c r="O80" s="36">
        <f t="shared" si="126"/>
        <v>4679.5394127337331</v>
      </c>
      <c r="P80" s="36">
        <f t="shared" si="126"/>
        <v>4948.5813452609136</v>
      </c>
      <c r="Q80" s="36">
        <f t="shared" si="126"/>
        <v>5198.8145365586988</v>
      </c>
      <c r="R80" s="36">
        <f t="shared" ref="R80:V80" si="127">SUM(R76:R79)</f>
        <v>5487.5351874544667</v>
      </c>
      <c r="S80" s="36">
        <f t="shared" si="127"/>
        <v>5783.0104942277612</v>
      </c>
      <c r="T80" s="36">
        <f t="shared" si="127"/>
        <v>6100.5826042022245</v>
      </c>
      <c r="U80" s="36">
        <f t="shared" si="127"/>
        <v>6405.0523797735013</v>
      </c>
      <c r="V80" s="36">
        <f t="shared" si="127"/>
        <v>6767.4834355082985</v>
      </c>
    </row>
    <row r="81" spans="3:22" outlineLevel="1">
      <c r="F81" s="22"/>
      <c r="H81" s="146"/>
      <c r="I81" s="146"/>
      <c r="J81" s="146"/>
      <c r="K81" s="146"/>
      <c r="L81" s="146"/>
    </row>
    <row r="82" spans="3:22" outlineLevel="1">
      <c r="C82" s="9" t="s">
        <v>120</v>
      </c>
      <c r="F82" s="22"/>
      <c r="H82" s="23"/>
      <c r="I82" s="23"/>
      <c r="J82" s="23"/>
      <c r="K82" s="23"/>
      <c r="L82" s="23"/>
    </row>
    <row r="83" spans="3:22" outlineLevel="1">
      <c r="D83" s="1" t="s">
        <v>260</v>
      </c>
      <c r="F83" s="22" t="s">
        <v>257</v>
      </c>
      <c r="H83" s="23">
        <f>Historical!H122</f>
        <v>-1121.3800000000001</v>
      </c>
      <c r="I83" s="23">
        <f>Historical!I122</f>
        <v>-2215.84</v>
      </c>
      <c r="J83" s="23">
        <f>Historical!J122</f>
        <v>-3291.38</v>
      </c>
      <c r="K83" s="23">
        <f>Historical!K122</f>
        <v>-3140.3</v>
      </c>
      <c r="L83" s="23">
        <f>Historical!L122</f>
        <v>-4093.38</v>
      </c>
      <c r="M83" s="10">
        <f>-M112</f>
        <v>-2305.4260000000004</v>
      </c>
      <c r="N83" s="10">
        <f t="shared" ref="N83:Q83" si="128">-N112</f>
        <v>-2316.9531300000003</v>
      </c>
      <c r="O83" s="10">
        <f t="shared" si="128"/>
        <v>-2328.5378956499999</v>
      </c>
      <c r="P83" s="10">
        <f t="shared" si="128"/>
        <v>-2340.1805851282497</v>
      </c>
      <c r="Q83" s="10">
        <f t="shared" si="128"/>
        <v>-2351.8814880538907</v>
      </c>
      <c r="R83" s="10">
        <f t="shared" ref="R83:V83" si="129">-R112</f>
        <v>-2363.6408954941598</v>
      </c>
      <c r="S83" s="10">
        <f t="shared" si="129"/>
        <v>-2375.4590999716306</v>
      </c>
      <c r="T83" s="10">
        <f t="shared" si="129"/>
        <v>-2387.3363954714887</v>
      </c>
      <c r="U83" s="10">
        <f t="shared" si="129"/>
        <v>-2399.2730774488459</v>
      </c>
      <c r="V83" s="10">
        <f t="shared" si="129"/>
        <v>-2411.2694428360901</v>
      </c>
    </row>
    <row r="84" spans="3:22" outlineLevel="1">
      <c r="D84" s="1" t="s">
        <v>475</v>
      </c>
      <c r="F84" s="22" t="s">
        <v>257</v>
      </c>
      <c r="H84" s="23">
        <f>Historical!H123</f>
        <v>5.46</v>
      </c>
      <c r="I84" s="23">
        <f>Historical!I123</f>
        <v>8.8000000000000007</v>
      </c>
      <c r="J84" s="23">
        <f>Historical!J123</f>
        <v>35.340000000000003</v>
      </c>
      <c r="K84" s="23">
        <f>Historical!K123</f>
        <v>30.85</v>
      </c>
      <c r="L84" s="23">
        <f>Historical!L123</f>
        <v>21.35</v>
      </c>
      <c r="M84" s="10"/>
      <c r="N84" s="10"/>
      <c r="O84" s="10"/>
      <c r="P84" s="10"/>
      <c r="Q84" s="10"/>
      <c r="R84" s="10"/>
      <c r="S84" s="10"/>
      <c r="T84" s="10"/>
      <c r="U84" s="10"/>
      <c r="V84" s="10"/>
    </row>
    <row r="85" spans="3:22" outlineLevel="1">
      <c r="D85" s="1" t="s">
        <v>121</v>
      </c>
      <c r="F85" s="22" t="s">
        <v>257</v>
      </c>
      <c r="H85" s="23">
        <f>SUM(Historical!H128:H136)+Historical!H124+Historical!H125</f>
        <v>-1747.4099999999999</v>
      </c>
      <c r="I85" s="23">
        <f>SUM(Historical!I128:I136)+Historical!I124+Historical!I125</f>
        <v>-247.40999999999997</v>
      </c>
      <c r="J85" s="23">
        <f>SUM(Historical!J128:J136)+Historical!J124+Historical!J125</f>
        <v>478.43</v>
      </c>
      <c r="K85" s="23">
        <f>SUM(Historical!K128:K136)+Historical!K124+Historical!K125</f>
        <v>1341.3300000000002</v>
      </c>
      <c r="L85" s="23">
        <f>SUM(Historical!L128:L136)+Historical!L124+Historical!L125</f>
        <v>102.39999999999998</v>
      </c>
      <c r="M85" s="10">
        <f t="shared" ref="M85:V85" si="130">L52-M52</f>
        <v>0</v>
      </c>
      <c r="N85" s="10">
        <f t="shared" si="130"/>
        <v>0</v>
      </c>
      <c r="O85" s="10">
        <f t="shared" si="130"/>
        <v>0</v>
      </c>
      <c r="P85" s="10">
        <f t="shared" si="130"/>
        <v>0</v>
      </c>
      <c r="Q85" s="10">
        <f t="shared" si="130"/>
        <v>0</v>
      </c>
      <c r="R85" s="10">
        <f t="shared" si="130"/>
        <v>0</v>
      </c>
      <c r="S85" s="10">
        <f t="shared" si="130"/>
        <v>0</v>
      </c>
      <c r="T85" s="10">
        <f t="shared" si="130"/>
        <v>0</v>
      </c>
      <c r="U85" s="10">
        <f t="shared" si="130"/>
        <v>0</v>
      </c>
      <c r="V85" s="10">
        <f t="shared" si="130"/>
        <v>0</v>
      </c>
    </row>
    <row r="86" spans="3:22" outlineLevel="1">
      <c r="D86" s="1" t="s">
        <v>122</v>
      </c>
      <c r="F86" s="22" t="s">
        <v>257</v>
      </c>
      <c r="H86" s="23">
        <f>Historical!H137</f>
        <v>9.16</v>
      </c>
      <c r="I86" s="23">
        <f>Historical!I137</f>
        <v>6.32</v>
      </c>
      <c r="J86" s="23">
        <f>Historical!J137</f>
        <v>6.14</v>
      </c>
      <c r="K86" s="23">
        <f>Historical!K137</f>
        <v>6.15</v>
      </c>
      <c r="L86" s="23">
        <f>Historical!L137</f>
        <v>2.44</v>
      </c>
    </row>
    <row r="87" spans="3:22" outlineLevel="1">
      <c r="D87" s="1" t="s">
        <v>123</v>
      </c>
      <c r="F87" s="22" t="s">
        <v>257</v>
      </c>
      <c r="H87" s="23">
        <f>Historical!H138</f>
        <v>209.13</v>
      </c>
      <c r="I87" s="23">
        <f>Historical!I138</f>
        <v>296.76</v>
      </c>
      <c r="J87" s="23">
        <f>Historical!J138</f>
        <v>356.98</v>
      </c>
      <c r="K87" s="23">
        <f>Historical!K138</f>
        <v>343.51</v>
      </c>
      <c r="L87" s="23">
        <f>Historical!L138</f>
        <v>239.56</v>
      </c>
      <c r="M87" s="10">
        <f t="shared" ref="M87:V87" si="131">M35</f>
        <v>636.63645274632211</v>
      </c>
      <c r="N87" s="10">
        <f t="shared" si="131"/>
        <v>680.32130767985893</v>
      </c>
      <c r="O87" s="10">
        <f t="shared" si="131"/>
        <v>726.07009060905511</v>
      </c>
      <c r="P87" s="10">
        <f t="shared" si="131"/>
        <v>773.91878524767844</v>
      </c>
      <c r="Q87" s="10">
        <f t="shared" si="131"/>
        <v>823.90071402725459</v>
      </c>
      <c r="R87" s="10">
        <f t="shared" si="131"/>
        <v>876.04642316757179</v>
      </c>
      <c r="S87" s="10">
        <f t="shared" si="131"/>
        <v>930.38357808708099</v>
      </c>
      <c r="T87" s="10">
        <f t="shared" si="131"/>
        <v>986.93686952751273</v>
      </c>
      <c r="U87" s="10">
        <f t="shared" si="131"/>
        <v>1045.7279306937528</v>
      </c>
      <c r="V87" s="10">
        <f t="shared" si="131"/>
        <v>1106.775265637043</v>
      </c>
    </row>
    <row r="88" spans="3:22" outlineLevel="1">
      <c r="D88" s="24" t="s">
        <v>124</v>
      </c>
      <c r="E88" s="4"/>
      <c r="F88" s="151" t="s">
        <v>257</v>
      </c>
      <c r="G88" s="4"/>
      <c r="H88" s="11">
        <f>SUM(H83:H87)</f>
        <v>-2645.04</v>
      </c>
      <c r="I88" s="11">
        <f t="shared" ref="I88:M88" si="132">SUM(I83:I87)</f>
        <v>-2151.37</v>
      </c>
      <c r="J88" s="11">
        <f t="shared" si="132"/>
        <v>-2414.4900000000002</v>
      </c>
      <c r="K88" s="11">
        <f t="shared" si="132"/>
        <v>-1418.46</v>
      </c>
      <c r="L88" s="11">
        <f t="shared" si="132"/>
        <v>-3727.63</v>
      </c>
      <c r="M88" s="11">
        <f t="shared" si="132"/>
        <v>-1668.7895472536784</v>
      </c>
      <c r="N88" s="11">
        <f t="shared" ref="N88:Q88" si="133">SUM(N83:N87)</f>
        <v>-1636.6318223201415</v>
      </c>
      <c r="O88" s="11">
        <f t="shared" si="133"/>
        <v>-1602.4678050409448</v>
      </c>
      <c r="P88" s="11">
        <f t="shared" si="133"/>
        <v>-1566.2617998805713</v>
      </c>
      <c r="Q88" s="11">
        <f t="shared" si="133"/>
        <v>-1527.980774026636</v>
      </c>
      <c r="R88" s="11">
        <f t="shared" ref="R88:V88" si="134">SUM(R83:R87)</f>
        <v>-1487.5944723265879</v>
      </c>
      <c r="S88" s="11">
        <f t="shared" si="134"/>
        <v>-1445.0755218845497</v>
      </c>
      <c r="T88" s="11">
        <f t="shared" si="134"/>
        <v>-1400.399525943976</v>
      </c>
      <c r="U88" s="11">
        <f t="shared" si="134"/>
        <v>-1353.5451467550931</v>
      </c>
      <c r="V88" s="11">
        <f t="shared" si="134"/>
        <v>-1304.494177199047</v>
      </c>
    </row>
    <row r="89" spans="3:22" outlineLevel="1">
      <c r="F89" s="22"/>
      <c r="H89" s="23"/>
      <c r="I89" s="23"/>
      <c r="J89" s="23"/>
      <c r="K89" s="23"/>
      <c r="L89" s="23"/>
    </row>
    <row r="90" spans="3:22" outlineLevel="1">
      <c r="C90" s="9" t="s">
        <v>125</v>
      </c>
      <c r="F90" s="22"/>
      <c r="H90" s="23"/>
      <c r="I90" s="23"/>
      <c r="J90" s="23"/>
      <c r="K90" s="23"/>
      <c r="L90" s="23"/>
    </row>
    <row r="91" spans="3:22" outlineLevel="1">
      <c r="D91" s="1" t="s">
        <v>126</v>
      </c>
      <c r="F91" s="22" t="s">
        <v>257</v>
      </c>
      <c r="H91" s="23">
        <f>SUM(Historical!H142:H148)</f>
        <v>-967.52999999999986</v>
      </c>
      <c r="I91" s="23">
        <f>SUM(Historical!I142:I148)</f>
        <v>-255.99000000000004</v>
      </c>
      <c r="J91" s="23">
        <f>SUM(Historical!J142:J148)</f>
        <v>306.35999999999996</v>
      </c>
      <c r="K91" s="23">
        <f>SUM(Historical!K142:K148)</f>
        <v>-1111.31</v>
      </c>
      <c r="L91" s="23">
        <f>SUM(Historical!L142:L148)</f>
        <v>-725.95</v>
      </c>
      <c r="M91" s="10">
        <f>M118</f>
        <v>0</v>
      </c>
      <c r="N91" s="10">
        <f t="shared" ref="N91:Q91" si="135">N118</f>
        <v>0</v>
      </c>
      <c r="O91" s="10">
        <f t="shared" si="135"/>
        <v>0</v>
      </c>
      <c r="P91" s="10">
        <f t="shared" si="135"/>
        <v>0</v>
      </c>
      <c r="Q91" s="10">
        <f t="shared" si="135"/>
        <v>0</v>
      </c>
      <c r="R91" s="10">
        <f t="shared" ref="R91:V91" si="136">R118</f>
        <v>0</v>
      </c>
      <c r="S91" s="10">
        <f t="shared" si="136"/>
        <v>0</v>
      </c>
      <c r="T91" s="10">
        <f t="shared" si="136"/>
        <v>0</v>
      </c>
      <c r="U91" s="10">
        <f t="shared" si="136"/>
        <v>0</v>
      </c>
      <c r="V91" s="10">
        <f t="shared" si="136"/>
        <v>0</v>
      </c>
    </row>
    <row r="92" spans="3:22" outlineLevel="1">
      <c r="D92" s="1" t="s">
        <v>127</v>
      </c>
      <c r="F92" s="22" t="s">
        <v>257</v>
      </c>
      <c r="H92" s="23">
        <f>Historical!H150</f>
        <v>-11.13</v>
      </c>
      <c r="I92" s="23">
        <f>Historical!I150</f>
        <v>-384.33</v>
      </c>
      <c r="J92" s="23">
        <f>Historical!J150</f>
        <v>-324.52</v>
      </c>
      <c r="K92" s="23">
        <f>Historical!K150</f>
        <v>-379.03</v>
      </c>
      <c r="L92" s="23">
        <f>Historical!L150</f>
        <v>-379.87</v>
      </c>
      <c r="M92" s="10">
        <f t="shared" ref="M92:V92" si="137">-M16*M38</f>
        <v>-259.09561176798655</v>
      </c>
      <c r="N92" s="10">
        <f t="shared" si="137"/>
        <v>-374.06949590643234</v>
      </c>
      <c r="O92" s="10">
        <f t="shared" si="137"/>
        <v>-471.81604979278967</v>
      </c>
      <c r="P92" s="10">
        <f t="shared" si="137"/>
        <v>-547.44720186109191</v>
      </c>
      <c r="Q92" s="10">
        <f t="shared" si="137"/>
        <v>-633.55900469901951</v>
      </c>
      <c r="R92" s="10">
        <f t="shared" si="137"/>
        <v>-717.88506315423979</v>
      </c>
      <c r="S92" s="10">
        <f t="shared" si="137"/>
        <v>-781.78833348443095</v>
      </c>
      <c r="T92" s="10">
        <f t="shared" si="137"/>
        <v>-866.29665209997574</v>
      </c>
      <c r="U92" s="10">
        <f t="shared" si="137"/>
        <v>-943.92961205160304</v>
      </c>
      <c r="V92" s="10">
        <f t="shared" si="137"/>
        <v>-1014.6133560721538</v>
      </c>
    </row>
    <row r="93" spans="3:22" outlineLevel="1">
      <c r="D93" s="17" t="s">
        <v>128</v>
      </c>
      <c r="E93" s="17"/>
      <c r="F93" s="26" t="s">
        <v>257</v>
      </c>
      <c r="G93" s="17"/>
      <c r="H93" s="27">
        <f>Historical!H149</f>
        <v>-253.98</v>
      </c>
      <c r="I93" s="27">
        <f>Historical!I149</f>
        <v>-209.06</v>
      </c>
      <c r="J93" s="27">
        <f>Historical!J149</f>
        <v>-258.55</v>
      </c>
      <c r="K93" s="27">
        <f>Historical!K149</f>
        <v>-219.71</v>
      </c>
      <c r="L93" s="27">
        <f>Historical!L149</f>
        <v>-190.43</v>
      </c>
      <c r="M93" s="28">
        <f>M120</f>
        <v>-114.81153278562709</v>
      </c>
      <c r="N93" s="28">
        <f t="shared" ref="N93:Q93" si="138">N120</f>
        <v>-114.81153278562709</v>
      </c>
      <c r="O93" s="28">
        <f t="shared" si="138"/>
        <v>-114.81153278562709</v>
      </c>
      <c r="P93" s="28">
        <f t="shared" si="138"/>
        <v>-114.81153278562709</v>
      </c>
      <c r="Q93" s="28">
        <f t="shared" si="138"/>
        <v>-114.81153278562709</v>
      </c>
      <c r="R93" s="28">
        <f t="shared" ref="R93:V93" si="139">R120</f>
        <v>-114.81153278562709</v>
      </c>
      <c r="S93" s="28">
        <f t="shared" si="139"/>
        <v>-114.81153278562709</v>
      </c>
      <c r="T93" s="28">
        <f t="shared" si="139"/>
        <v>-114.81153278562709</v>
      </c>
      <c r="U93" s="28">
        <f t="shared" si="139"/>
        <v>-114.81153278562709</v>
      </c>
      <c r="V93" s="28">
        <f t="shared" si="139"/>
        <v>-114.81153278562709</v>
      </c>
    </row>
    <row r="94" spans="3:22" outlineLevel="1">
      <c r="D94" s="9" t="s">
        <v>129</v>
      </c>
      <c r="F94" s="20" t="s">
        <v>256</v>
      </c>
      <c r="H94" s="36">
        <f>SUM(H91:H93)</f>
        <v>-1232.6399999999999</v>
      </c>
      <c r="I94" s="36">
        <f t="shared" ref="I94:M94" si="140">SUM(I91:I93)</f>
        <v>-849.38000000000011</v>
      </c>
      <c r="J94" s="36">
        <f t="shared" si="140"/>
        <v>-276.71000000000004</v>
      </c>
      <c r="K94" s="36">
        <f t="shared" si="140"/>
        <v>-1710.05</v>
      </c>
      <c r="L94" s="36">
        <f t="shared" si="140"/>
        <v>-1296.2500000000002</v>
      </c>
      <c r="M94" s="36">
        <f t="shared" si="140"/>
        <v>-373.90714455361365</v>
      </c>
      <c r="N94" s="36">
        <f t="shared" ref="N94:Q94" si="141">SUM(N91:N93)</f>
        <v>-488.88102869205943</v>
      </c>
      <c r="O94" s="36">
        <f t="shared" si="141"/>
        <v>-586.62758257841676</v>
      </c>
      <c r="P94" s="36">
        <f t="shared" si="141"/>
        <v>-662.25873464671895</v>
      </c>
      <c r="Q94" s="36">
        <f t="shared" si="141"/>
        <v>-748.37053748464655</v>
      </c>
      <c r="R94" s="36">
        <f t="shared" ref="R94:V94" si="142">SUM(R91:R93)</f>
        <v>-832.69659593986694</v>
      </c>
      <c r="S94" s="36">
        <f t="shared" si="142"/>
        <v>-896.5998662700581</v>
      </c>
      <c r="T94" s="36">
        <f t="shared" si="142"/>
        <v>-981.1081848856029</v>
      </c>
      <c r="U94" s="36">
        <f t="shared" si="142"/>
        <v>-1058.7411448372302</v>
      </c>
      <c r="V94" s="36">
        <f t="shared" si="142"/>
        <v>-1129.4248888577808</v>
      </c>
    </row>
    <row r="95" spans="3:22" outlineLevel="1">
      <c r="F95" s="22"/>
      <c r="H95" s="23"/>
      <c r="I95" s="23"/>
      <c r="J95" s="23"/>
      <c r="K95" s="23"/>
      <c r="L95" s="23"/>
    </row>
    <row r="96" spans="3:22" outlineLevel="1">
      <c r="D96" s="1" t="s">
        <v>130</v>
      </c>
      <c r="F96" s="22" t="s">
        <v>257</v>
      </c>
      <c r="H96" s="10">
        <f>SUM(H80,H88,H94)</f>
        <v>376.11000000000013</v>
      </c>
      <c r="I96" s="10">
        <f t="shared" ref="I96:L96" si="143">SUM(I80,I88,I94)</f>
        <v>-332.76999999999953</v>
      </c>
      <c r="J96" s="10">
        <f t="shared" si="143"/>
        <v>-122.46000000000049</v>
      </c>
      <c r="K96" s="10">
        <f t="shared" si="143"/>
        <v>218.97999999999934</v>
      </c>
      <c r="L96" s="10">
        <f t="shared" si="143"/>
        <v>-103.55000000000041</v>
      </c>
      <c r="M96" s="10">
        <f t="shared" ref="M96:Q96" si="144">SUM(M80,M88,M94)</f>
        <v>1861.5253975636874</v>
      </c>
      <c r="N96" s="10">
        <f t="shared" si="144"/>
        <v>2336.0906663064802</v>
      </c>
      <c r="O96" s="10">
        <f t="shared" si="144"/>
        <v>2490.4440251143715</v>
      </c>
      <c r="P96" s="10">
        <f t="shared" si="144"/>
        <v>2720.0608107336234</v>
      </c>
      <c r="Q96" s="10">
        <f t="shared" si="144"/>
        <v>2922.463225047416</v>
      </c>
      <c r="R96" s="10">
        <f t="shared" ref="R96:V96" si="145">SUM(R80,R88,R94)</f>
        <v>3167.2441191880116</v>
      </c>
      <c r="S96" s="10">
        <f t="shared" si="145"/>
        <v>3441.3351060731534</v>
      </c>
      <c r="T96" s="10">
        <f t="shared" si="145"/>
        <v>3719.0748933726454</v>
      </c>
      <c r="U96" s="10">
        <f t="shared" si="145"/>
        <v>3992.766088181178</v>
      </c>
      <c r="V96" s="10">
        <f t="shared" si="145"/>
        <v>4333.5643694514711</v>
      </c>
    </row>
    <row r="97" spans="1:22" outlineLevel="1">
      <c r="D97" s="17" t="s">
        <v>131</v>
      </c>
      <c r="E97" s="17"/>
      <c r="F97" s="26" t="s">
        <v>257</v>
      </c>
      <c r="G97" s="17"/>
      <c r="H97" s="23">
        <f>SUM(Historical!H153:H154)</f>
        <v>75.88</v>
      </c>
      <c r="I97" s="23">
        <f>SUM(Historical!I153:I154)</f>
        <v>460.48</v>
      </c>
      <c r="J97" s="23">
        <f>SUM(Historical!J153:J154)</f>
        <v>136.81</v>
      </c>
      <c r="K97" s="23">
        <f>SUM(Historical!K153:K154)</f>
        <v>14.94</v>
      </c>
      <c r="L97" s="23">
        <f>SUM(Historical!L153:L154)</f>
        <v>235.54</v>
      </c>
      <c r="M97" s="28">
        <f>L98</f>
        <v>131.98999999999958</v>
      </c>
      <c r="N97" s="28">
        <f t="shared" ref="N97:Q97" si="146">M98</f>
        <v>1993.515397563687</v>
      </c>
      <c r="O97" s="28">
        <f t="shared" si="146"/>
        <v>4329.6060638701674</v>
      </c>
      <c r="P97" s="28">
        <f t="shared" si="146"/>
        <v>6820.0500889845389</v>
      </c>
      <c r="Q97" s="28">
        <f t="shared" si="146"/>
        <v>9540.1108997181618</v>
      </c>
      <c r="R97" s="28">
        <f t="shared" ref="R97" si="147">Q98</f>
        <v>12462.574124765579</v>
      </c>
      <c r="S97" s="28">
        <f t="shared" ref="S97" si="148">R98</f>
        <v>15629.81824395359</v>
      </c>
      <c r="T97" s="28">
        <f t="shared" ref="T97" si="149">S98</f>
        <v>19071.153350026743</v>
      </c>
      <c r="U97" s="28">
        <f t="shared" ref="U97" si="150">T98</f>
        <v>22790.22824339939</v>
      </c>
      <c r="V97" s="28">
        <f t="shared" ref="V97" si="151">U98</f>
        <v>26782.994331580569</v>
      </c>
    </row>
    <row r="98" spans="1:22" outlineLevel="1">
      <c r="D98" s="9" t="s">
        <v>132</v>
      </c>
      <c r="E98" s="9"/>
      <c r="F98" s="20" t="s">
        <v>256</v>
      </c>
      <c r="G98" s="9"/>
      <c r="H98" s="11">
        <f t="shared" ref="H98:L98" si="152">SUM(H96:H97)</f>
        <v>451.99000000000012</v>
      </c>
      <c r="I98" s="11">
        <f t="shared" si="152"/>
        <v>127.71000000000049</v>
      </c>
      <c r="J98" s="11">
        <f t="shared" si="152"/>
        <v>14.349999999999511</v>
      </c>
      <c r="K98" s="11">
        <f t="shared" si="152"/>
        <v>233.91999999999933</v>
      </c>
      <c r="L98" s="11">
        <f t="shared" si="152"/>
        <v>131.98999999999958</v>
      </c>
      <c r="M98" s="6">
        <f>SUM(M96:M97)</f>
        <v>1993.515397563687</v>
      </c>
      <c r="N98" s="6">
        <f t="shared" ref="N98:Q98" si="153">SUM(N96:N97)</f>
        <v>4329.6060638701674</v>
      </c>
      <c r="O98" s="6">
        <f t="shared" si="153"/>
        <v>6820.0500889845389</v>
      </c>
      <c r="P98" s="6">
        <f t="shared" si="153"/>
        <v>9540.1108997181618</v>
      </c>
      <c r="Q98" s="6">
        <f t="shared" si="153"/>
        <v>12462.574124765579</v>
      </c>
      <c r="R98" s="6">
        <f t="shared" ref="R98:V98" si="154">SUM(R96:R97)</f>
        <v>15629.81824395359</v>
      </c>
      <c r="S98" s="6">
        <f t="shared" si="154"/>
        <v>19071.153350026743</v>
      </c>
      <c r="T98" s="6">
        <f t="shared" si="154"/>
        <v>22790.22824339939</v>
      </c>
      <c r="U98" s="6">
        <f t="shared" si="154"/>
        <v>26782.994331580569</v>
      </c>
      <c r="V98" s="6">
        <f t="shared" si="154"/>
        <v>31116.558701032038</v>
      </c>
    </row>
    <row r="99" spans="1:22" outlineLevel="1">
      <c r="D99" s="9"/>
      <c r="E99" s="9"/>
      <c r="F99" s="22"/>
      <c r="G99" s="9"/>
      <c r="H99" s="36"/>
      <c r="I99" s="36"/>
      <c r="J99" s="36"/>
      <c r="K99" s="36"/>
      <c r="L99" s="36"/>
    </row>
    <row r="100" spans="1:22" outlineLevel="1"/>
    <row r="102" spans="1:22" ht="22">
      <c r="A102" s="254" t="s">
        <v>133</v>
      </c>
      <c r="B102" s="215"/>
      <c r="C102" s="215"/>
      <c r="D102" s="215"/>
      <c r="E102" s="215"/>
      <c r="F102" s="215"/>
      <c r="G102" s="215"/>
      <c r="H102" s="215"/>
      <c r="I102" s="215"/>
      <c r="J102" s="215"/>
      <c r="K102" s="215"/>
      <c r="L102" s="215"/>
      <c r="M102" s="215"/>
      <c r="N102" s="215"/>
      <c r="O102" s="215"/>
      <c r="P102" s="215"/>
      <c r="Q102" s="215"/>
      <c r="R102" s="215"/>
      <c r="S102" s="215"/>
      <c r="T102" s="215"/>
      <c r="U102" s="215"/>
      <c r="V102" s="215"/>
    </row>
    <row r="103" spans="1:22" outlineLevel="1"/>
    <row r="104" spans="1:22" outlineLevel="1">
      <c r="C104" s="9" t="s">
        <v>134</v>
      </c>
    </row>
    <row r="105" spans="1:22" outlineLevel="1">
      <c r="D105" s="1" t="s">
        <v>96</v>
      </c>
      <c r="F105" s="22" t="s">
        <v>257</v>
      </c>
      <c r="H105" s="23">
        <f>Historical!H113</f>
        <v>416.99</v>
      </c>
      <c r="I105" s="23">
        <f>Historical!I113</f>
        <v>-99.57</v>
      </c>
      <c r="J105" s="23">
        <f>Historical!J113</f>
        <v>-606.22</v>
      </c>
      <c r="K105" s="23">
        <f>Historical!K113</f>
        <v>-456.42</v>
      </c>
      <c r="L105" s="23">
        <f>Historical!L113</f>
        <v>-43.03</v>
      </c>
      <c r="M105" s="10">
        <f t="shared" ref="M105:V105" si="155">L47-M47</f>
        <v>137.79551210513659</v>
      </c>
      <c r="N105" s="10">
        <f t="shared" si="155"/>
        <v>-86.710397433597564</v>
      </c>
      <c r="O105" s="10">
        <f t="shared" si="155"/>
        <v>-90.807103650207864</v>
      </c>
      <c r="P105" s="10">
        <f t="shared" si="155"/>
        <v>-94.97523421117512</v>
      </c>
      <c r="Q105" s="10">
        <f t="shared" si="155"/>
        <v>-99.209506717341355</v>
      </c>
      <c r="R105" s="10">
        <f t="shared" si="155"/>
        <v>-103.5044106451287</v>
      </c>
      <c r="S105" s="10">
        <f t="shared" si="155"/>
        <v>-107.85422787027505</v>
      </c>
      <c r="T105" s="10">
        <f t="shared" si="155"/>
        <v>-112.2530539345637</v>
      </c>
      <c r="U105" s="10">
        <f t="shared" si="155"/>
        <v>-116.69481991009252</v>
      </c>
      <c r="V105" s="10">
        <f t="shared" si="155"/>
        <v>-121.17331471623766</v>
      </c>
    </row>
    <row r="106" spans="1:22" outlineLevel="1">
      <c r="D106" s="1" t="s">
        <v>74</v>
      </c>
      <c r="F106" s="22" t="s">
        <v>257</v>
      </c>
      <c r="H106" s="23">
        <f>Historical!H114</f>
        <v>-8.9700000000000006</v>
      </c>
      <c r="I106" s="23">
        <f>Historical!I114</f>
        <v>-772.32</v>
      </c>
      <c r="J106" s="23">
        <f>Historical!J114</f>
        <v>-235.02</v>
      </c>
      <c r="K106" s="23">
        <f>Historical!K114</f>
        <v>-790.49</v>
      </c>
      <c r="L106" s="23">
        <f>Historical!L114</f>
        <v>1120.5</v>
      </c>
      <c r="M106" s="10">
        <f t="shared" ref="M106:V106" si="156">L48-M48</f>
        <v>-682.41320716677319</v>
      </c>
      <c r="N106" s="10">
        <f t="shared" si="156"/>
        <v>-214.50418096623343</v>
      </c>
      <c r="O106" s="10">
        <f t="shared" si="156"/>
        <v>-224.63861279519915</v>
      </c>
      <c r="P106" s="10">
        <f t="shared" si="156"/>
        <v>-234.9497341670658</v>
      </c>
      <c r="Q106" s="10">
        <f t="shared" si="156"/>
        <v>-245.42447748280938</v>
      </c>
      <c r="R106" s="10">
        <f t="shared" si="156"/>
        <v>-256.04921080921577</v>
      </c>
      <c r="S106" s="10">
        <f t="shared" si="156"/>
        <v>-266.80978865049929</v>
      </c>
      <c r="T106" s="10">
        <f t="shared" si="156"/>
        <v>-277.69160455793553</v>
      </c>
      <c r="U106" s="10">
        <f t="shared" si="156"/>
        <v>-288.67964521769954</v>
      </c>
      <c r="V106" s="10">
        <f t="shared" si="156"/>
        <v>-299.75854565855116</v>
      </c>
    </row>
    <row r="107" spans="1:22" outlineLevel="1">
      <c r="D107" s="1" t="s">
        <v>75</v>
      </c>
      <c r="F107" s="22" t="s">
        <v>257</v>
      </c>
      <c r="H107" s="23">
        <f>Historical!H115</f>
        <v>484.68</v>
      </c>
      <c r="I107" s="23">
        <f>Historical!I115</f>
        <v>24.23</v>
      </c>
      <c r="J107" s="23">
        <f>Historical!J115</f>
        <v>789.65</v>
      </c>
      <c r="K107" s="23">
        <f>Historical!K115</f>
        <v>521.63</v>
      </c>
      <c r="L107" s="23">
        <f>Historical!L115</f>
        <v>328.37</v>
      </c>
      <c r="M107" s="10">
        <f t="shared" ref="M107:V107" si="157">M58-L58</f>
        <v>-7.0410802411163331</v>
      </c>
      <c r="N107" s="10">
        <f t="shared" si="157"/>
        <v>92.908298427033287</v>
      </c>
      <c r="O107" s="10">
        <f t="shared" si="157"/>
        <v>97.297829728999659</v>
      </c>
      <c r="P107" s="10">
        <f t="shared" si="157"/>
        <v>101.76389065713374</v>
      </c>
      <c r="Q107" s="10">
        <f t="shared" si="157"/>
        <v>106.30082123602506</v>
      </c>
      <c r="R107" s="10">
        <f t="shared" si="157"/>
        <v>110.90271705992382</v>
      </c>
      <c r="S107" s="10">
        <f t="shared" si="157"/>
        <v>115.56345128348062</v>
      </c>
      <c r="T107" s="10">
        <f t="shared" si="157"/>
        <v>120.27669740857755</v>
      </c>
      <c r="U107" s="10">
        <f t="shared" si="157"/>
        <v>125.03595271142058</v>
      </c>
      <c r="V107" s="10">
        <f t="shared" si="157"/>
        <v>129.8345621546755</v>
      </c>
    </row>
    <row r="108" spans="1:22" outlineLevel="1">
      <c r="D108" s="24" t="s">
        <v>135</v>
      </c>
      <c r="E108" s="4"/>
      <c r="F108" s="37" t="s">
        <v>256</v>
      </c>
      <c r="G108" s="4"/>
      <c r="H108" s="11">
        <f t="shared" ref="H108:V108" si="158">SUM(H105:H107)</f>
        <v>892.7</v>
      </c>
      <c r="I108" s="11">
        <f t="shared" si="158"/>
        <v>-847.66000000000008</v>
      </c>
      <c r="J108" s="11">
        <f t="shared" si="158"/>
        <v>-51.590000000000032</v>
      </c>
      <c r="K108" s="11">
        <f t="shared" si="158"/>
        <v>-725.28000000000009</v>
      </c>
      <c r="L108" s="11">
        <f t="shared" si="158"/>
        <v>1405.8400000000001</v>
      </c>
      <c r="M108" s="11">
        <f t="shared" si="158"/>
        <v>-551.65877530275293</v>
      </c>
      <c r="N108" s="11">
        <f t="shared" si="158"/>
        <v>-208.30627997279771</v>
      </c>
      <c r="O108" s="11">
        <f t="shared" si="158"/>
        <v>-218.14788671640736</v>
      </c>
      <c r="P108" s="11">
        <f t="shared" si="158"/>
        <v>-228.16107772110718</v>
      </c>
      <c r="Q108" s="11">
        <f t="shared" si="158"/>
        <v>-238.33316296412568</v>
      </c>
      <c r="R108" s="11">
        <f t="shared" si="158"/>
        <v>-248.65090439442065</v>
      </c>
      <c r="S108" s="11">
        <f t="shared" si="158"/>
        <v>-259.10056523729372</v>
      </c>
      <c r="T108" s="11">
        <f t="shared" si="158"/>
        <v>-269.66796108392168</v>
      </c>
      <c r="U108" s="11">
        <f t="shared" si="158"/>
        <v>-280.33851241637149</v>
      </c>
      <c r="V108" s="11">
        <f t="shared" si="158"/>
        <v>-291.09729822011332</v>
      </c>
    </row>
    <row r="109" spans="1:22" outlineLevel="1">
      <c r="F109" s="22"/>
    </row>
    <row r="110" spans="1:22" outlineLevel="1">
      <c r="C110" s="9" t="s">
        <v>136</v>
      </c>
      <c r="F110" s="22"/>
    </row>
    <row r="111" spans="1:22" outlineLevel="1">
      <c r="D111" s="1" t="s">
        <v>137</v>
      </c>
      <c r="F111" s="22" t="s">
        <v>257</v>
      </c>
      <c r="I111" s="10">
        <f>H114</f>
        <v>6711.04</v>
      </c>
      <c r="J111" s="10">
        <f t="shared" ref="J111:L111" si="159">I114</f>
        <v>7777.7099999999991</v>
      </c>
      <c r="K111" s="10">
        <f t="shared" si="159"/>
        <v>9590.35</v>
      </c>
      <c r="L111" s="10">
        <f t="shared" si="159"/>
        <v>10764.62</v>
      </c>
      <c r="M111" s="10">
        <f t="shared" ref="M111" si="160">L114</f>
        <v>12344.39</v>
      </c>
      <c r="N111" s="10">
        <f t="shared" ref="N111" si="161">M114</f>
        <v>11078.329812933665</v>
      </c>
      <c r="O111" s="10">
        <f t="shared" ref="O111" si="162">N114</f>
        <v>10190.094035044514</v>
      </c>
      <c r="P111" s="10">
        <f t="shared" ref="P111" si="163">O114</f>
        <v>9570.4279213373484</v>
      </c>
      <c r="Q111" s="10">
        <f t="shared" ref="Q111" si="164">P114</f>
        <v>9045.9823829674679</v>
      </c>
      <c r="R111" s="10">
        <f t="shared" ref="R111" si="165">Q114</f>
        <v>8690.215095026877</v>
      </c>
      <c r="S111" s="10">
        <f t="shared" ref="S111" si="166">R114</f>
        <v>8452.6956887408087</v>
      </c>
      <c r="T111" s="10">
        <f t="shared" ref="T111" si="167">S114</f>
        <v>8213.5619786606148</v>
      </c>
      <c r="U111" s="10">
        <f t="shared" ref="U111" si="168">T114</f>
        <v>8060.274544159558</v>
      </c>
      <c r="V111" s="10">
        <f t="shared" ref="V111" si="169">U114</f>
        <v>7966.3387511796664</v>
      </c>
    </row>
    <row r="112" spans="1:22" outlineLevel="1">
      <c r="D112" s="1" t="s">
        <v>138</v>
      </c>
      <c r="F112" s="22" t="s">
        <v>257</v>
      </c>
      <c r="I112" s="10">
        <f t="shared" ref="I112:L112" si="170">I20</f>
        <v>2083.19</v>
      </c>
      <c r="J112" s="10">
        <f t="shared" si="170"/>
        <v>1664.76</v>
      </c>
      <c r="K112" s="10">
        <f t="shared" si="170"/>
        <v>3908.43</v>
      </c>
      <c r="L112" s="10">
        <f t="shared" si="170"/>
        <v>2560.36</v>
      </c>
      <c r="M112" s="10">
        <f t="shared" ref="M112:V112" si="171">M20</f>
        <v>2305.4260000000004</v>
      </c>
      <c r="N112" s="10">
        <f t="shared" si="171"/>
        <v>2316.9531300000003</v>
      </c>
      <c r="O112" s="10">
        <f t="shared" si="171"/>
        <v>2328.5378956499999</v>
      </c>
      <c r="P112" s="10">
        <f t="shared" si="171"/>
        <v>2340.1805851282497</v>
      </c>
      <c r="Q112" s="10">
        <f t="shared" si="171"/>
        <v>2351.8814880538907</v>
      </c>
      <c r="R112" s="10">
        <f t="shared" si="171"/>
        <v>2363.6408954941598</v>
      </c>
      <c r="S112" s="10">
        <f t="shared" si="171"/>
        <v>2375.4590999716306</v>
      </c>
      <c r="T112" s="10">
        <f t="shared" si="171"/>
        <v>2387.3363954714887</v>
      </c>
      <c r="U112" s="10">
        <f t="shared" si="171"/>
        <v>2399.2730774488459</v>
      </c>
      <c r="V112" s="10">
        <f t="shared" si="171"/>
        <v>2411.2694428360901</v>
      </c>
    </row>
    <row r="113" spans="1:22" outlineLevel="1">
      <c r="D113" s="17" t="s">
        <v>139</v>
      </c>
      <c r="E113" s="17"/>
      <c r="F113" s="26" t="s">
        <v>257</v>
      </c>
      <c r="G113" s="17"/>
      <c r="H113" s="10">
        <f>H32</f>
        <v>-1262.3399999999999</v>
      </c>
      <c r="I113" s="10">
        <f>I32</f>
        <v>-1145.8800000000001</v>
      </c>
      <c r="J113" s="10">
        <f>J32</f>
        <v>-1660.67</v>
      </c>
      <c r="K113" s="10">
        <f>K32</f>
        <v>-1897.32</v>
      </c>
      <c r="L113" s="10">
        <f>L32</f>
        <v>-3006.78</v>
      </c>
      <c r="M113" s="10">
        <f t="shared" ref="M113:V113" si="172">-M12*M111</f>
        <v>-3571.486187066334</v>
      </c>
      <c r="N113" s="10">
        <f t="shared" si="172"/>
        <v>-3205.1889078891504</v>
      </c>
      <c r="O113" s="10">
        <f t="shared" si="172"/>
        <v>-2948.2040093571677</v>
      </c>
      <c r="P113" s="10">
        <f t="shared" si="172"/>
        <v>-2864.6261234981303</v>
      </c>
      <c r="Q113" s="10">
        <f t="shared" si="172"/>
        <v>-2707.6487759944812</v>
      </c>
      <c r="R113" s="10">
        <f t="shared" si="172"/>
        <v>-2601.1603017802281</v>
      </c>
      <c r="S113" s="10">
        <f t="shared" si="172"/>
        <v>-2614.5928100518258</v>
      </c>
      <c r="T113" s="10">
        <f t="shared" si="172"/>
        <v>-2540.6238299725446</v>
      </c>
      <c r="U113" s="10">
        <f t="shared" si="172"/>
        <v>-2493.2088704287385</v>
      </c>
      <c r="V113" s="10">
        <f t="shared" si="172"/>
        <v>-2543.8159831170024</v>
      </c>
    </row>
    <row r="114" spans="1:22" outlineLevel="1">
      <c r="D114" s="9" t="s">
        <v>140</v>
      </c>
      <c r="F114" s="20" t="s">
        <v>256</v>
      </c>
      <c r="H114" s="5">
        <f>H51</f>
        <v>6711.04</v>
      </c>
      <c r="I114" s="5">
        <f>I51</f>
        <v>7777.7099999999991</v>
      </c>
      <c r="J114" s="5">
        <f>J51</f>
        <v>9590.35</v>
      </c>
      <c r="K114" s="5">
        <f>K51</f>
        <v>10764.62</v>
      </c>
      <c r="L114" s="5">
        <f>L51</f>
        <v>12344.39</v>
      </c>
      <c r="M114" s="5">
        <f>SUM(M111:M113)</f>
        <v>11078.329812933665</v>
      </c>
      <c r="N114" s="5">
        <f t="shared" ref="N114:Q114" si="173">SUM(N111:N113)</f>
        <v>10190.094035044514</v>
      </c>
      <c r="O114" s="5">
        <f t="shared" si="173"/>
        <v>9570.4279213373484</v>
      </c>
      <c r="P114" s="5">
        <f t="shared" si="173"/>
        <v>9045.9823829674679</v>
      </c>
      <c r="Q114" s="5">
        <f t="shared" si="173"/>
        <v>8690.215095026877</v>
      </c>
      <c r="R114" s="5">
        <f t="shared" ref="R114:V114" si="174">SUM(R111:R113)</f>
        <v>8452.6956887408087</v>
      </c>
      <c r="S114" s="5">
        <f t="shared" si="174"/>
        <v>8213.5619786606148</v>
      </c>
      <c r="T114" s="5">
        <f t="shared" si="174"/>
        <v>8060.274544159558</v>
      </c>
      <c r="U114" s="5">
        <f t="shared" si="174"/>
        <v>7966.3387511796664</v>
      </c>
      <c r="V114" s="5">
        <f t="shared" si="174"/>
        <v>7833.7922108987541</v>
      </c>
    </row>
    <row r="115" spans="1:22" outlineLevel="1">
      <c r="F115" s="22"/>
    </row>
    <row r="116" spans="1:22" outlineLevel="1">
      <c r="C116" s="9" t="s">
        <v>141</v>
      </c>
      <c r="F116" s="22"/>
    </row>
    <row r="117" spans="1:22" outlineLevel="1">
      <c r="D117" s="1" t="s">
        <v>142</v>
      </c>
      <c r="F117" s="22" t="s">
        <v>257</v>
      </c>
      <c r="I117" s="10">
        <f>H119</f>
        <v>2229.8799999999997</v>
      </c>
      <c r="J117" s="10">
        <f t="shared" ref="J117:L117" si="175">I119</f>
        <v>2129.2199999999998</v>
      </c>
      <c r="K117" s="10">
        <f t="shared" si="175"/>
        <v>2724.67</v>
      </c>
      <c r="L117" s="10">
        <f t="shared" si="175"/>
        <v>1655.5500000000002</v>
      </c>
      <c r="M117" s="10">
        <f>L119</f>
        <v>1046.1300000000001</v>
      </c>
      <c r="N117" s="10">
        <f t="shared" ref="N117:Q117" si="176">M119</f>
        <v>1046.1300000000001</v>
      </c>
      <c r="O117" s="10">
        <f t="shared" si="176"/>
        <v>1046.1300000000001</v>
      </c>
      <c r="P117" s="10">
        <f t="shared" si="176"/>
        <v>1046.1300000000001</v>
      </c>
      <c r="Q117" s="10">
        <f t="shared" si="176"/>
        <v>1046.1300000000001</v>
      </c>
      <c r="R117" s="10">
        <f t="shared" ref="R117" si="177">Q119</f>
        <v>1046.1300000000001</v>
      </c>
      <c r="S117" s="10">
        <f t="shared" ref="S117" si="178">R119</f>
        <v>1046.1300000000001</v>
      </c>
      <c r="T117" s="10">
        <f t="shared" ref="T117" si="179">S119</f>
        <v>1046.1300000000001</v>
      </c>
      <c r="U117" s="10">
        <f t="shared" ref="U117" si="180">T119</f>
        <v>1046.1300000000001</v>
      </c>
      <c r="V117" s="10">
        <f t="shared" ref="V117" si="181">U119</f>
        <v>1046.1300000000001</v>
      </c>
    </row>
    <row r="118" spans="1:22" outlineLevel="1">
      <c r="D118" s="1" t="s">
        <v>143</v>
      </c>
      <c r="F118" s="22" t="s">
        <v>257</v>
      </c>
      <c r="I118" s="10">
        <f t="shared" ref="I118:L118" si="182">I119-I117</f>
        <v>-100.65999999999985</v>
      </c>
      <c r="J118" s="10">
        <f t="shared" si="182"/>
        <v>595.45000000000027</v>
      </c>
      <c r="K118" s="10">
        <f t="shared" si="182"/>
        <v>-1069.1199999999999</v>
      </c>
      <c r="L118" s="10">
        <f t="shared" si="182"/>
        <v>-609.42000000000007</v>
      </c>
      <c r="M118" s="10">
        <v>0</v>
      </c>
      <c r="N118" s="10">
        <v>0</v>
      </c>
      <c r="O118" s="10">
        <v>0</v>
      </c>
      <c r="P118" s="10">
        <v>0</v>
      </c>
      <c r="Q118" s="10">
        <v>0</v>
      </c>
      <c r="R118" s="10">
        <v>0</v>
      </c>
      <c r="S118" s="10">
        <v>0</v>
      </c>
      <c r="T118" s="10">
        <v>0</v>
      </c>
      <c r="U118" s="10">
        <v>0</v>
      </c>
      <c r="V118" s="10">
        <v>0</v>
      </c>
    </row>
    <row r="119" spans="1:22" outlineLevel="1">
      <c r="D119" s="24" t="s">
        <v>144</v>
      </c>
      <c r="E119" s="24"/>
      <c r="F119" s="37" t="s">
        <v>256</v>
      </c>
      <c r="G119" s="24"/>
      <c r="H119" s="5">
        <f>H61</f>
        <v>2229.8799999999997</v>
      </c>
      <c r="I119" s="5">
        <f>I61</f>
        <v>2129.2199999999998</v>
      </c>
      <c r="J119" s="5">
        <f>J61</f>
        <v>2724.67</v>
      </c>
      <c r="K119" s="5">
        <f>K61</f>
        <v>1655.5500000000002</v>
      </c>
      <c r="L119" s="5">
        <f>L61</f>
        <v>1046.1300000000001</v>
      </c>
      <c r="M119" s="5">
        <f>SUM(M117:M118)</f>
        <v>1046.1300000000001</v>
      </c>
      <c r="N119" s="5">
        <f t="shared" ref="N119:Q119" si="183">SUM(N117:N118)</f>
        <v>1046.1300000000001</v>
      </c>
      <c r="O119" s="5">
        <f t="shared" si="183"/>
        <v>1046.1300000000001</v>
      </c>
      <c r="P119" s="5">
        <f t="shared" si="183"/>
        <v>1046.1300000000001</v>
      </c>
      <c r="Q119" s="5">
        <f t="shared" si="183"/>
        <v>1046.1300000000001</v>
      </c>
      <c r="R119" s="5">
        <f t="shared" ref="R119:V119" si="184">SUM(R117:R118)</f>
        <v>1046.1300000000001</v>
      </c>
      <c r="S119" s="5">
        <f t="shared" si="184"/>
        <v>1046.1300000000001</v>
      </c>
      <c r="T119" s="5">
        <f t="shared" si="184"/>
        <v>1046.1300000000001</v>
      </c>
      <c r="U119" s="5">
        <f t="shared" si="184"/>
        <v>1046.1300000000001</v>
      </c>
      <c r="V119" s="5">
        <f t="shared" si="184"/>
        <v>1046.1300000000001</v>
      </c>
    </row>
    <row r="120" spans="1:22" outlineLevel="1">
      <c r="D120" s="1" t="s">
        <v>145</v>
      </c>
      <c r="F120" s="22" t="s">
        <v>257</v>
      </c>
      <c r="H120" s="10">
        <f>H34</f>
        <v>-251.29</v>
      </c>
      <c r="I120" s="10">
        <f>I34</f>
        <v>-216.12</v>
      </c>
      <c r="J120" s="10">
        <f>J34</f>
        <v>-262.87</v>
      </c>
      <c r="K120" s="10">
        <f>K34</f>
        <v>-258.33999999999997</v>
      </c>
      <c r="L120" s="10">
        <f>L34</f>
        <v>-204.96</v>
      </c>
      <c r="M120" s="10">
        <f t="shared" ref="M120:V120" si="185">-M119*M13</f>
        <v>-114.81153278562709</v>
      </c>
      <c r="N120" s="10">
        <f t="shared" si="185"/>
        <v>-114.81153278562709</v>
      </c>
      <c r="O120" s="10">
        <f t="shared" si="185"/>
        <v>-114.81153278562709</v>
      </c>
      <c r="P120" s="10">
        <f t="shared" si="185"/>
        <v>-114.81153278562709</v>
      </c>
      <c r="Q120" s="10">
        <f t="shared" si="185"/>
        <v>-114.81153278562709</v>
      </c>
      <c r="R120" s="10">
        <f t="shared" si="185"/>
        <v>-114.81153278562709</v>
      </c>
      <c r="S120" s="10">
        <f t="shared" si="185"/>
        <v>-114.81153278562709</v>
      </c>
      <c r="T120" s="10">
        <f t="shared" si="185"/>
        <v>-114.81153278562709</v>
      </c>
      <c r="U120" s="10">
        <f t="shared" si="185"/>
        <v>-114.81153278562709</v>
      </c>
      <c r="V120" s="10">
        <f t="shared" si="185"/>
        <v>-114.81153278562709</v>
      </c>
    </row>
    <row r="121" spans="1:22" outlineLevel="1"/>
    <row r="122" spans="1:22">
      <c r="H122" s="25"/>
      <c r="I122" s="25"/>
      <c r="J122" s="25"/>
      <c r="K122" s="25"/>
      <c r="L122" s="25"/>
    </row>
    <row r="123" spans="1:22" ht="22">
      <c r="A123" s="254" t="s">
        <v>146</v>
      </c>
      <c r="B123" s="215"/>
      <c r="C123" s="215"/>
      <c r="D123" s="215"/>
      <c r="E123" s="215"/>
      <c r="F123" s="215"/>
      <c r="G123" s="215"/>
      <c r="H123" s="215"/>
      <c r="I123" s="215"/>
      <c r="J123" s="215"/>
      <c r="K123" s="215"/>
      <c r="L123" s="215"/>
      <c r="M123" s="215"/>
      <c r="N123" s="215"/>
      <c r="O123" s="215"/>
      <c r="P123" s="215"/>
      <c r="Q123" s="215"/>
      <c r="R123" s="215"/>
      <c r="S123" s="215"/>
      <c r="T123" s="215"/>
      <c r="U123" s="215"/>
      <c r="V123" s="215"/>
    </row>
    <row r="124" spans="1:22" ht="22">
      <c r="A124" s="175"/>
    </row>
    <row r="125" spans="1:22" outlineLevel="1">
      <c r="D125" s="15" t="s">
        <v>147</v>
      </c>
      <c r="E125" s="17"/>
    </row>
    <row r="126" spans="1:22" outlineLevel="1">
      <c r="D126" s="1" t="s">
        <v>148</v>
      </c>
      <c r="E126" s="38">
        <v>45873</v>
      </c>
      <c r="I126" s="39"/>
    </row>
    <row r="127" spans="1:22" outlineLevel="1">
      <c r="D127" s="1" t="s">
        <v>149</v>
      </c>
      <c r="E127" s="38">
        <v>45747</v>
      </c>
    </row>
    <row r="128" spans="1:22" outlineLevel="1">
      <c r="D128" s="1" t="s">
        <v>150</v>
      </c>
      <c r="E128" s="40">
        <v>0.14299999999999999</v>
      </c>
    </row>
    <row r="129" spans="4:28" outlineLevel="1">
      <c r="D129" s="1" t="s">
        <v>151</v>
      </c>
      <c r="E129" s="430">
        <f>Comps!T15</f>
        <v>22.849502958800059</v>
      </c>
    </row>
    <row r="130" spans="4:28" outlineLevel="1">
      <c r="D130" s="1" t="s">
        <v>152</v>
      </c>
      <c r="E130" s="40">
        <v>0.02</v>
      </c>
    </row>
    <row r="131" spans="4:28" outlineLevel="1">
      <c r="D131" s="1" t="s">
        <v>153</v>
      </c>
      <c r="E131" s="429">
        <f>WACC!H46</f>
        <v>7.3254874327174188E-2</v>
      </c>
    </row>
    <row r="132" spans="4:28" outlineLevel="1">
      <c r="D132" s="1" t="s">
        <v>154</v>
      </c>
      <c r="E132" s="370">
        <v>3.61</v>
      </c>
    </row>
    <row r="133" spans="4:28" outlineLevel="1">
      <c r="D133" s="1" t="s">
        <v>155</v>
      </c>
      <c r="E133" s="41">
        <v>30450</v>
      </c>
    </row>
    <row r="134" spans="4:28" outlineLevel="1"/>
    <row r="135" spans="4:28" outlineLevel="1"/>
    <row r="136" spans="4:28" outlineLevel="1">
      <c r="D136" s="15" t="s">
        <v>156</v>
      </c>
      <c r="E136" s="17"/>
      <c r="F136" s="17"/>
      <c r="G136" s="17"/>
      <c r="H136" s="15">
        <v>2021</v>
      </c>
      <c r="I136" s="15">
        <v>2022</v>
      </c>
      <c r="J136" s="15">
        <v>2023</v>
      </c>
      <c r="K136" s="15">
        <v>2024</v>
      </c>
      <c r="L136" s="15">
        <v>2025</v>
      </c>
      <c r="M136" s="42" t="s">
        <v>157</v>
      </c>
      <c r="N136" s="15">
        <v>2026</v>
      </c>
      <c r="O136" s="15">
        <v>2027</v>
      </c>
      <c r="P136" s="15">
        <v>2028</v>
      </c>
      <c r="Q136" s="15">
        <v>2029</v>
      </c>
      <c r="R136" s="15">
        <v>2030</v>
      </c>
      <c r="S136" s="15">
        <v>2031</v>
      </c>
      <c r="T136" s="15">
        <v>2032</v>
      </c>
      <c r="U136" s="15">
        <v>2033</v>
      </c>
      <c r="V136" s="15">
        <v>2034</v>
      </c>
      <c r="W136" s="15">
        <v>2035</v>
      </c>
      <c r="X136" s="42" t="s">
        <v>158</v>
      </c>
      <c r="Z136" s="15" t="s">
        <v>159</v>
      </c>
      <c r="AA136" s="17"/>
      <c r="AB136" s="17"/>
    </row>
    <row r="137" spans="4:28" s="34" customFormat="1" outlineLevel="1">
      <c r="D137" s="34" t="s">
        <v>160</v>
      </c>
      <c r="H137" s="43">
        <v>44286</v>
      </c>
      <c r="I137" s="43">
        <v>44651</v>
      </c>
      <c r="J137" s="43">
        <v>45016</v>
      </c>
      <c r="K137" s="43">
        <v>45382</v>
      </c>
      <c r="L137" s="43">
        <v>45747</v>
      </c>
      <c r="M137" s="43">
        <f>E126</f>
        <v>45873</v>
      </c>
      <c r="N137" s="43">
        <v>46112</v>
      </c>
      <c r="O137" s="43">
        <v>46477</v>
      </c>
      <c r="P137" s="43">
        <v>46843</v>
      </c>
      <c r="Q137" s="43">
        <v>47208</v>
      </c>
      <c r="R137" s="43">
        <v>47573</v>
      </c>
      <c r="S137" s="43">
        <v>47938</v>
      </c>
      <c r="T137" s="43">
        <v>48304</v>
      </c>
      <c r="U137" s="43">
        <v>48669</v>
      </c>
      <c r="V137" s="43">
        <v>49034</v>
      </c>
      <c r="W137" s="43">
        <v>49399</v>
      </c>
      <c r="X137" s="43">
        <f>W137</f>
        <v>49399</v>
      </c>
      <c r="Z137" s="1" t="s">
        <v>161</v>
      </c>
      <c r="AB137" s="19">
        <f>E129*(W141+W144)</f>
        <v>186714.97915140004</v>
      </c>
    </row>
    <row r="138" spans="4:28" s="34" customFormat="1" outlineLevel="1">
      <c r="D138" s="34" t="s">
        <v>162</v>
      </c>
      <c r="H138" s="34">
        <v>0</v>
      </c>
      <c r="I138" s="34">
        <v>0</v>
      </c>
      <c r="J138" s="34">
        <v>0</v>
      </c>
      <c r="K138" s="34">
        <v>0</v>
      </c>
      <c r="L138" s="34">
        <v>0</v>
      </c>
      <c r="N138" s="34">
        <v>1</v>
      </c>
      <c r="O138" s="34">
        <v>2</v>
      </c>
      <c r="P138" s="34">
        <v>3</v>
      </c>
      <c r="Q138" s="34">
        <v>4</v>
      </c>
      <c r="R138" s="34">
        <v>5</v>
      </c>
      <c r="S138" s="34">
        <v>6</v>
      </c>
      <c r="T138" s="34">
        <v>7</v>
      </c>
      <c r="U138" s="34">
        <v>8</v>
      </c>
      <c r="V138" s="34">
        <v>9</v>
      </c>
      <c r="W138" s="34">
        <v>10</v>
      </c>
      <c r="Z138" s="1" t="s">
        <v>163</v>
      </c>
      <c r="AB138" s="44">
        <f>W147*(1+E130)/(E131-E130)</f>
        <v>89337.777229954721</v>
      </c>
    </row>
    <row r="139" spans="4:28" s="34" customFormat="1" outlineLevel="1">
      <c r="D139" s="34" t="s">
        <v>164</v>
      </c>
      <c r="H139" s="45">
        <v>1</v>
      </c>
      <c r="I139" s="45">
        <v>1</v>
      </c>
      <c r="J139" s="45">
        <v>1</v>
      </c>
      <c r="K139" s="45">
        <v>1</v>
      </c>
      <c r="L139" s="45">
        <v>1</v>
      </c>
      <c r="N139" s="45">
        <f>YEARFRAC(M137,N137)</f>
        <v>0.65833333333333333</v>
      </c>
      <c r="O139" s="45">
        <f t="shared" ref="O139:R139" si="186">YEARFRAC(N137,O137)</f>
        <v>1</v>
      </c>
      <c r="P139" s="45">
        <f t="shared" si="186"/>
        <v>1</v>
      </c>
      <c r="Q139" s="45">
        <f t="shared" si="186"/>
        <v>1</v>
      </c>
      <c r="R139" s="45">
        <f t="shared" si="186"/>
        <v>1</v>
      </c>
      <c r="S139" s="45">
        <f t="shared" ref="S139" si="187">YEARFRAC(R137,S137)</f>
        <v>1</v>
      </c>
      <c r="T139" s="45">
        <f t="shared" ref="T139" si="188">YEARFRAC(S137,T137)</f>
        <v>1</v>
      </c>
      <c r="U139" s="45">
        <f t="shared" ref="U139" si="189">YEARFRAC(T137,U137)</f>
        <v>1</v>
      </c>
      <c r="V139" s="45">
        <f>YEARFRAC(U137,V137)</f>
        <v>1</v>
      </c>
      <c r="W139" s="45">
        <f>YEARFRAC(V137,W137)</f>
        <v>1</v>
      </c>
      <c r="X139" s="46">
        <v>1</v>
      </c>
      <c r="Z139" s="47" t="s">
        <v>165</v>
      </c>
      <c r="AA139" s="47"/>
      <c r="AB139" s="48">
        <f>AVERAGE(AB137:AB138)</f>
        <v>138026.37819067738</v>
      </c>
    </row>
    <row r="140" spans="4:28" outlineLevel="1"/>
    <row r="141" spans="4:28" outlineLevel="1">
      <c r="D141" s="1" t="s">
        <v>86</v>
      </c>
      <c r="H141" s="10">
        <f>H33</f>
        <v>2817.1100000000006</v>
      </c>
      <c r="I141" s="10">
        <f>I33</f>
        <v>2562.0500000000002</v>
      </c>
      <c r="J141" s="10">
        <f>J33</f>
        <v>1298.8300000000008</v>
      </c>
      <c r="K141" s="10">
        <f>K33</f>
        <v>2619.42</v>
      </c>
      <c r="L141" s="10">
        <f>L33</f>
        <v>927.25000000000136</v>
      </c>
      <c r="N141" s="10">
        <f t="shared" ref="N141:W141" si="190">M33</f>
        <v>1128.9099446217692</v>
      </c>
      <c r="O141" s="10">
        <f t="shared" si="190"/>
        <v>1817.7400009548523</v>
      </c>
      <c r="P141" s="10">
        <f t="shared" si="190"/>
        <v>2412.4960110564043</v>
      </c>
      <c r="Q141" s="10">
        <f t="shared" si="190"/>
        <v>2849.3490168296457</v>
      </c>
      <c r="R141" s="10">
        <f t="shared" si="190"/>
        <v>3375.3515178198213</v>
      </c>
      <c r="S141" s="10">
        <f t="shared" si="190"/>
        <v>3866.8407070731591</v>
      </c>
      <c r="T141" s="10">
        <f t="shared" si="190"/>
        <v>4254.5887339230221</v>
      </c>
      <c r="U141" s="10">
        <f t="shared" si="190"/>
        <v>4746.1003651874962</v>
      </c>
      <c r="V141" s="10">
        <f t="shared" si="190"/>
        <v>5227.5798136425983</v>
      </c>
      <c r="W141" s="10">
        <f t="shared" si="190"/>
        <v>5627.695646176021</v>
      </c>
    </row>
    <row r="142" spans="4:28" outlineLevel="1">
      <c r="D142" s="17" t="s">
        <v>166</v>
      </c>
      <c r="E142" s="17"/>
      <c r="F142" s="17"/>
      <c r="G142" s="17"/>
      <c r="H142" s="28">
        <f>-$E$128*H141</f>
        <v>-402.84673000000004</v>
      </c>
      <c r="I142" s="28">
        <f t="shared" ref="I142:L142" si="191">-$E$128*I141</f>
        <v>-366.37315000000001</v>
      </c>
      <c r="J142" s="28">
        <f t="shared" si="191"/>
        <v>-185.7326900000001</v>
      </c>
      <c r="K142" s="28">
        <f t="shared" si="191"/>
        <v>-374.57705999999996</v>
      </c>
      <c r="L142" s="28">
        <f t="shared" si="191"/>
        <v>-132.59675000000018</v>
      </c>
      <c r="M142" s="17"/>
      <c r="N142" s="28">
        <f>-$E$128*N141</f>
        <v>-161.434122080913</v>
      </c>
      <c r="O142" s="28">
        <f t="shared" ref="O142:R142" si="192">-$E$128*O141</f>
        <v>-259.93682013654387</v>
      </c>
      <c r="P142" s="28">
        <f t="shared" si="192"/>
        <v>-344.98692958106579</v>
      </c>
      <c r="Q142" s="28">
        <f t="shared" si="192"/>
        <v>-407.45690940663928</v>
      </c>
      <c r="R142" s="28">
        <f t="shared" si="192"/>
        <v>-482.67526704823439</v>
      </c>
      <c r="S142" s="28">
        <f t="shared" ref="S142:W142" si="193">-$E$128*S141</f>
        <v>-552.95822111146174</v>
      </c>
      <c r="T142" s="28">
        <f t="shared" si="193"/>
        <v>-608.40618895099215</v>
      </c>
      <c r="U142" s="28">
        <f t="shared" si="193"/>
        <v>-678.69235222181192</v>
      </c>
      <c r="V142" s="28">
        <f t="shared" si="193"/>
        <v>-747.54391335089144</v>
      </c>
      <c r="W142" s="28">
        <f t="shared" si="193"/>
        <v>-804.76047740317097</v>
      </c>
    </row>
    <row r="143" spans="4:28" outlineLevel="1">
      <c r="D143" s="1" t="s">
        <v>167</v>
      </c>
      <c r="H143" s="10">
        <f>SUM(H141:H142)</f>
        <v>2414.2632700000004</v>
      </c>
      <c r="I143" s="10">
        <f t="shared" ref="I143:L143" si="194">SUM(I141:I142)</f>
        <v>2195.6768500000003</v>
      </c>
      <c r="J143" s="10">
        <f t="shared" si="194"/>
        <v>1113.0973100000008</v>
      </c>
      <c r="K143" s="10">
        <f t="shared" si="194"/>
        <v>2244.84294</v>
      </c>
      <c r="L143" s="10">
        <f t="shared" si="194"/>
        <v>794.65325000000121</v>
      </c>
      <c r="N143" s="10">
        <f t="shared" ref="N143:R143" si="195">SUM(N141:N142)</f>
        <v>967.47582254085626</v>
      </c>
      <c r="O143" s="10">
        <f t="shared" si="195"/>
        <v>1557.8031808183084</v>
      </c>
      <c r="P143" s="10">
        <f t="shared" si="195"/>
        <v>2067.5090814753385</v>
      </c>
      <c r="Q143" s="10">
        <f t="shared" si="195"/>
        <v>2441.8921074230066</v>
      </c>
      <c r="R143" s="10">
        <f t="shared" si="195"/>
        <v>2892.6762507715871</v>
      </c>
      <c r="S143" s="10">
        <f t="shared" ref="S143:W143" si="196">SUM(S141:S142)</f>
        <v>3313.8824859616975</v>
      </c>
      <c r="T143" s="10">
        <f t="shared" si="196"/>
        <v>3646.18254497203</v>
      </c>
      <c r="U143" s="10">
        <f t="shared" si="196"/>
        <v>4067.4080129656841</v>
      </c>
      <c r="V143" s="10">
        <f t="shared" si="196"/>
        <v>4480.0359002917066</v>
      </c>
      <c r="W143" s="10">
        <f t="shared" si="196"/>
        <v>4822.9351687728504</v>
      </c>
    </row>
    <row r="144" spans="4:28" outlineLevel="1">
      <c r="D144" s="1" t="s">
        <v>168</v>
      </c>
      <c r="H144" s="10">
        <f>H77</f>
        <v>1262.3399999999999</v>
      </c>
      <c r="I144" s="10">
        <f>I77</f>
        <v>1145.8800000000001</v>
      </c>
      <c r="J144" s="10">
        <f>J77</f>
        <v>1660.67</v>
      </c>
      <c r="K144" s="10">
        <f>K77</f>
        <v>1897.32</v>
      </c>
      <c r="L144" s="10">
        <f>L77</f>
        <v>3006.78</v>
      </c>
      <c r="N144" s="10">
        <f t="shared" ref="N144:W144" si="197">M77</f>
        <v>3571.486187066334</v>
      </c>
      <c r="O144" s="10">
        <f t="shared" si="197"/>
        <v>3205.1889078891504</v>
      </c>
      <c r="P144" s="10">
        <f t="shared" si="197"/>
        <v>2948.2040093571677</v>
      </c>
      <c r="Q144" s="10">
        <f t="shared" si="197"/>
        <v>2864.6261234981303</v>
      </c>
      <c r="R144" s="10">
        <f t="shared" si="197"/>
        <v>2707.6487759944812</v>
      </c>
      <c r="S144" s="10">
        <f t="shared" si="197"/>
        <v>2601.1603017802281</v>
      </c>
      <c r="T144" s="10">
        <f t="shared" si="197"/>
        <v>2614.5928100518258</v>
      </c>
      <c r="U144" s="10">
        <f t="shared" si="197"/>
        <v>2540.6238299725446</v>
      </c>
      <c r="V144" s="10">
        <f t="shared" si="197"/>
        <v>2493.2088704287385</v>
      </c>
      <c r="W144" s="10">
        <f t="shared" si="197"/>
        <v>2543.8159831170024</v>
      </c>
    </row>
    <row r="145" spans="4:24" outlineLevel="1">
      <c r="D145" s="1" t="s">
        <v>169</v>
      </c>
      <c r="H145" s="10">
        <f>H112</f>
        <v>0</v>
      </c>
      <c r="I145" s="10">
        <f t="shared" ref="I145:L145" si="198">-I112</f>
        <v>-2083.19</v>
      </c>
      <c r="J145" s="10">
        <f t="shared" si="198"/>
        <v>-1664.76</v>
      </c>
      <c r="K145" s="10">
        <f t="shared" si="198"/>
        <v>-3908.43</v>
      </c>
      <c r="L145" s="10">
        <f t="shared" si="198"/>
        <v>-2560.36</v>
      </c>
      <c r="N145" s="10">
        <f t="shared" ref="N145:W145" si="199">-M112</f>
        <v>-2305.4260000000004</v>
      </c>
      <c r="O145" s="10">
        <f t="shared" si="199"/>
        <v>-2316.9531300000003</v>
      </c>
      <c r="P145" s="10">
        <f t="shared" si="199"/>
        <v>-2328.5378956499999</v>
      </c>
      <c r="Q145" s="10">
        <f t="shared" si="199"/>
        <v>-2340.1805851282497</v>
      </c>
      <c r="R145" s="10">
        <f t="shared" si="199"/>
        <v>-2351.8814880538907</v>
      </c>
      <c r="S145" s="10">
        <f t="shared" si="199"/>
        <v>-2363.6408954941598</v>
      </c>
      <c r="T145" s="10">
        <f t="shared" si="199"/>
        <v>-2375.4590999716306</v>
      </c>
      <c r="U145" s="10">
        <f t="shared" si="199"/>
        <v>-2387.3363954714887</v>
      </c>
      <c r="V145" s="10">
        <f t="shared" si="199"/>
        <v>-2399.2730774488459</v>
      </c>
      <c r="W145" s="10">
        <f t="shared" si="199"/>
        <v>-2411.2694428360901</v>
      </c>
    </row>
    <row r="146" spans="4:24" outlineLevel="1">
      <c r="D146" s="17" t="s">
        <v>531</v>
      </c>
      <c r="E146" s="17"/>
      <c r="F146" s="17"/>
      <c r="G146" s="17"/>
      <c r="H146" s="28">
        <f>H108</f>
        <v>892.7</v>
      </c>
      <c r="I146" s="28">
        <f t="shared" ref="I146:L146" si="200">I108</f>
        <v>-847.66000000000008</v>
      </c>
      <c r="J146" s="28">
        <f t="shared" si="200"/>
        <v>-51.590000000000032</v>
      </c>
      <c r="K146" s="28">
        <f t="shared" si="200"/>
        <v>-725.28000000000009</v>
      </c>
      <c r="L146" s="28">
        <f t="shared" si="200"/>
        <v>1405.8400000000001</v>
      </c>
      <c r="M146" s="17"/>
      <c r="N146" s="28">
        <f>M108</f>
        <v>-551.65877530275293</v>
      </c>
      <c r="O146" s="28">
        <f t="shared" ref="O146:W146" si="201">N108</f>
        <v>-208.30627997279771</v>
      </c>
      <c r="P146" s="28">
        <f t="shared" si="201"/>
        <v>-218.14788671640736</v>
      </c>
      <c r="Q146" s="28">
        <f t="shared" si="201"/>
        <v>-228.16107772110718</v>
      </c>
      <c r="R146" s="28">
        <f t="shared" si="201"/>
        <v>-238.33316296412568</v>
      </c>
      <c r="S146" s="28">
        <f t="shared" si="201"/>
        <v>-248.65090439442065</v>
      </c>
      <c r="T146" s="28">
        <f t="shared" si="201"/>
        <v>-259.10056523729372</v>
      </c>
      <c r="U146" s="28">
        <f t="shared" si="201"/>
        <v>-269.66796108392168</v>
      </c>
      <c r="V146" s="28">
        <f t="shared" si="201"/>
        <v>-280.33851241637149</v>
      </c>
      <c r="W146" s="28">
        <f t="shared" si="201"/>
        <v>-291.09729822011332</v>
      </c>
      <c r="X146" s="17"/>
    </row>
    <row r="147" spans="4:24" s="9" customFormat="1" outlineLevel="1">
      <c r="D147" s="9" t="s">
        <v>170</v>
      </c>
      <c r="H147" s="6">
        <f>SUM(H143:H146)</f>
        <v>4569.3032700000003</v>
      </c>
      <c r="I147" s="6">
        <f t="shared" ref="I147:L147" si="202">SUM(I143:I146)</f>
        <v>410.70685000000026</v>
      </c>
      <c r="J147" s="6">
        <f t="shared" si="202"/>
        <v>1057.4173100000012</v>
      </c>
      <c r="K147" s="6">
        <f t="shared" si="202"/>
        <v>-491.54705999999976</v>
      </c>
      <c r="L147" s="6">
        <f t="shared" si="202"/>
        <v>2646.9132500000014</v>
      </c>
      <c r="N147" s="6">
        <f t="shared" ref="N147:R147" si="203">SUM(N143:N146)</f>
        <v>1681.877234304437</v>
      </c>
      <c r="O147" s="6">
        <f t="shared" si="203"/>
        <v>2237.7326787346606</v>
      </c>
      <c r="P147" s="6">
        <f t="shared" si="203"/>
        <v>2469.0273084660989</v>
      </c>
      <c r="Q147" s="6">
        <f t="shared" si="203"/>
        <v>2738.1765680717799</v>
      </c>
      <c r="R147" s="6">
        <f t="shared" si="203"/>
        <v>3010.1103757480514</v>
      </c>
      <c r="S147" s="6">
        <f t="shared" ref="S147:W147" si="204">SUM(S143:S146)</f>
        <v>3302.7509878533456</v>
      </c>
      <c r="T147" s="6">
        <f t="shared" si="204"/>
        <v>3626.2156898149315</v>
      </c>
      <c r="U147" s="6">
        <f t="shared" si="204"/>
        <v>3951.0274863828181</v>
      </c>
      <c r="V147" s="6">
        <f t="shared" si="204"/>
        <v>4293.6331808552268</v>
      </c>
      <c r="W147" s="6">
        <f t="shared" si="204"/>
        <v>4664.3844108336489</v>
      </c>
      <c r="X147" s="33">
        <f>AB139</f>
        <v>138026.37819067738</v>
      </c>
    </row>
    <row r="148" spans="4:24" outlineLevel="1"/>
    <row r="149" spans="4:24" s="9" customFormat="1" outlineLevel="1">
      <c r="D149" s="9" t="s">
        <v>171</v>
      </c>
      <c r="H149" s="33">
        <f>H147*H139</f>
        <v>4569.3032700000003</v>
      </c>
      <c r="I149" s="33">
        <f t="shared" ref="I149:L149" si="205">I147*I139</f>
        <v>410.70685000000026</v>
      </c>
      <c r="J149" s="33">
        <f t="shared" si="205"/>
        <v>1057.4173100000012</v>
      </c>
      <c r="K149" s="33">
        <f t="shared" si="205"/>
        <v>-491.54705999999976</v>
      </c>
      <c r="L149" s="33">
        <f t="shared" si="205"/>
        <v>2646.9132500000014</v>
      </c>
      <c r="M149" s="10">
        <v>0</v>
      </c>
      <c r="N149" s="33">
        <f t="shared" ref="N149:X149" si="206">N147*N139</f>
        <v>1107.2358459170878</v>
      </c>
      <c r="O149" s="33">
        <f t="shared" si="206"/>
        <v>2237.7326787346606</v>
      </c>
      <c r="P149" s="33">
        <f t="shared" si="206"/>
        <v>2469.0273084660989</v>
      </c>
      <c r="Q149" s="33">
        <f t="shared" si="206"/>
        <v>2738.1765680717799</v>
      </c>
      <c r="R149" s="33">
        <f t="shared" si="206"/>
        <v>3010.1103757480514</v>
      </c>
      <c r="S149" s="33">
        <f t="shared" ref="S149:W149" si="207">S147*S139</f>
        <v>3302.7509878533456</v>
      </c>
      <c r="T149" s="33">
        <f t="shared" si="207"/>
        <v>3626.2156898149315</v>
      </c>
      <c r="U149" s="33">
        <f t="shared" si="207"/>
        <v>3951.0274863828181</v>
      </c>
      <c r="V149" s="33">
        <f t="shared" si="207"/>
        <v>4293.6331808552268</v>
      </c>
      <c r="W149" s="33">
        <f t="shared" si="207"/>
        <v>4664.3844108336489</v>
      </c>
      <c r="X149" s="33">
        <f t="shared" si="206"/>
        <v>138026.37819067738</v>
      </c>
    </row>
    <row r="150" spans="4:24" outlineLevel="1">
      <c r="H150" s="33"/>
      <c r="I150" s="33"/>
      <c r="J150" s="33"/>
      <c r="K150" s="33"/>
      <c r="L150" s="33"/>
    </row>
    <row r="151" spans="4:24" outlineLevel="1"/>
    <row r="152" spans="4:24" outlineLevel="1"/>
    <row r="153" spans="4:24" outlineLevel="1"/>
    <row r="154" spans="4:24" outlineLevel="1">
      <c r="D154" s="15" t="s">
        <v>172</v>
      </c>
      <c r="E154" s="15"/>
      <c r="F154" s="9"/>
      <c r="H154" s="15" t="s">
        <v>173</v>
      </c>
      <c r="I154" s="17"/>
      <c r="J154" s="17"/>
      <c r="K154" s="17"/>
      <c r="M154" s="15" t="s">
        <v>174</v>
      </c>
      <c r="N154" s="17"/>
      <c r="O154" s="17"/>
    </row>
    <row r="155" spans="4:24" outlineLevel="1">
      <c r="D155" s="1" t="s">
        <v>175</v>
      </c>
      <c r="E155" s="19">
        <f>XNPV(E131,O149:X149,O137:X137)+N149</f>
        <v>101713.43671057648</v>
      </c>
      <c r="H155" s="1" t="s">
        <v>176</v>
      </c>
      <c r="K155" s="19">
        <f>E132*E133</f>
        <v>109924.5</v>
      </c>
      <c r="M155" s="1" t="s">
        <v>155</v>
      </c>
      <c r="O155" s="19">
        <f>K161</f>
        <v>30450</v>
      </c>
    </row>
    <row r="156" spans="4:24" outlineLevel="1">
      <c r="D156" s="1" t="s">
        <v>177</v>
      </c>
      <c r="E156" s="10">
        <f>SUM(L45:L46,L52)</f>
        <v>1837.2399999999998</v>
      </c>
      <c r="H156" s="1" t="s">
        <v>178</v>
      </c>
      <c r="K156" s="10">
        <f>L61</f>
        <v>1046.1300000000001</v>
      </c>
      <c r="M156" s="1" t="s">
        <v>179</v>
      </c>
      <c r="O156" s="10">
        <f>E161</f>
        <v>28383.317648359138</v>
      </c>
    </row>
    <row r="157" spans="4:24" outlineLevel="1">
      <c r="D157" s="1" t="s">
        <v>180</v>
      </c>
      <c r="E157" s="10">
        <f>-L61</f>
        <v>-1046.1300000000001</v>
      </c>
      <c r="H157" s="1" t="s">
        <v>181</v>
      </c>
      <c r="K157" s="10">
        <f>L67</f>
        <v>40.770000000000003</v>
      </c>
      <c r="M157" s="1" t="s">
        <v>182</v>
      </c>
      <c r="O157" s="154">
        <f>O156/O155-1</f>
        <v>-6.7871341597401047E-2</v>
      </c>
    </row>
    <row r="158" spans="4:24" ht="16" outlineLevel="1">
      <c r="D158" s="1" t="s">
        <v>183</v>
      </c>
      <c r="E158" s="28">
        <f>-L67</f>
        <v>-40.770000000000003</v>
      </c>
      <c r="H158" s="1" t="s">
        <v>184</v>
      </c>
      <c r="K158" s="28">
        <f>-SUM(L45:L46,L52)</f>
        <v>-1837.2399999999998</v>
      </c>
      <c r="O158"/>
    </row>
    <row r="159" spans="4:24" ht="16" outlineLevel="1">
      <c r="D159" s="1" t="s">
        <v>185</v>
      </c>
      <c r="E159" s="19">
        <f>SUM(E155:E158)</f>
        <v>102463.77671057648</v>
      </c>
      <c r="H159" s="1" t="s">
        <v>175</v>
      </c>
      <c r="K159" s="19">
        <f>SUM(K155:K158)</f>
        <v>109174.16</v>
      </c>
      <c r="O159"/>
    </row>
    <row r="160" spans="4:24" ht="16" outlineLevel="1">
      <c r="O160"/>
    </row>
    <row r="161" spans="1:17" ht="16" outlineLevel="1">
      <c r="D161" s="1" t="s">
        <v>186</v>
      </c>
      <c r="E161" s="255">
        <f>E159/E132</f>
        <v>28383.317648359138</v>
      </c>
      <c r="H161" s="1" t="s">
        <v>186</v>
      </c>
      <c r="K161" s="255">
        <f>K155/E132</f>
        <v>30450</v>
      </c>
      <c r="O161"/>
    </row>
    <row r="162" spans="1:17" outlineLevel="1"/>
    <row r="163" spans="1:17" outlineLevel="1"/>
    <row r="164" spans="1:17" outlineLevel="1"/>
    <row r="166" spans="1:17" ht="22">
      <c r="A166" s="254" t="s">
        <v>187</v>
      </c>
      <c r="B166" s="215"/>
      <c r="C166" s="215"/>
      <c r="D166" s="215"/>
      <c r="E166" s="215"/>
      <c r="F166" s="215"/>
      <c r="G166" s="215"/>
      <c r="H166" s="215"/>
      <c r="I166" s="215"/>
      <c r="J166" s="215"/>
      <c r="K166" s="215"/>
      <c r="L166" s="215"/>
      <c r="M166" s="215"/>
      <c r="N166" s="215"/>
      <c r="O166" s="215"/>
      <c r="P166" s="215"/>
      <c r="Q166" s="215"/>
    </row>
    <row r="167" spans="1:17" outlineLevel="1"/>
    <row r="168" spans="1:17" outlineLevel="1">
      <c r="D168" s="49"/>
      <c r="E168" s="49"/>
      <c r="F168" s="49"/>
      <c r="H168" s="251" t="s">
        <v>188</v>
      </c>
      <c r="I168" s="251"/>
      <c r="J168" s="251"/>
      <c r="K168" s="251"/>
      <c r="L168" s="251"/>
      <c r="M168" s="251"/>
      <c r="N168" s="251"/>
    </row>
    <row r="169" spans="1:17" outlineLevel="1">
      <c r="D169" s="49"/>
      <c r="E169" s="49"/>
      <c r="F169" s="49"/>
    </row>
    <row r="170" spans="1:17" outlineLevel="1">
      <c r="D170" s="49"/>
      <c r="E170" s="49"/>
      <c r="F170" s="49"/>
      <c r="J170" s="50" t="s">
        <v>189</v>
      </c>
      <c r="K170" s="50"/>
      <c r="L170" s="50"/>
      <c r="M170" s="50"/>
      <c r="N170" s="50"/>
    </row>
    <row r="171" spans="1:17" outlineLevel="1">
      <c r="D171" s="49"/>
      <c r="E171" s="49"/>
      <c r="F171" s="49"/>
      <c r="I171" s="51">
        <f>E161</f>
        <v>28383.317648359138</v>
      </c>
      <c r="J171" s="52">
        <v>1.28</v>
      </c>
      <c r="K171" s="53">
        <v>12.8</v>
      </c>
      <c r="L171" s="53">
        <v>22.849499999999999</v>
      </c>
      <c r="M171" s="53">
        <v>32.799999999999997</v>
      </c>
      <c r="N171" s="53">
        <v>42.8</v>
      </c>
    </row>
    <row r="172" spans="1:17" ht="16.25" customHeight="1" outlineLevel="1">
      <c r="D172" s="49"/>
      <c r="E172" s="49"/>
      <c r="F172" s="49"/>
      <c r="H172" s="460" t="s">
        <v>153</v>
      </c>
      <c r="I172" s="54">
        <v>5.2999999999999999E-2</v>
      </c>
      <c r="J172" s="55">
        <f t="dataTable" ref="J172:N176" dt2D="1" dtr="1" r1="E129" r2="E131" ca="1"/>
        <v>21351.884573202253</v>
      </c>
      <c r="K172" s="19">
        <v>29975.071886292058</v>
      </c>
      <c r="L172" s="19">
        <v>37497.53029800178</v>
      </c>
      <c r="M172" s="19">
        <v>44945.883193739639</v>
      </c>
      <c r="N172" s="19">
        <v>52431.288847463431</v>
      </c>
    </row>
    <row r="173" spans="1:17" ht="16.25" customHeight="1" outlineLevel="1">
      <c r="D173" s="49"/>
      <c r="E173" s="49"/>
      <c r="F173" s="49"/>
      <c r="H173" s="460"/>
      <c r="I173" s="54">
        <v>6.3E-2</v>
      </c>
      <c r="J173" s="55">
        <v>17210.093064793939</v>
      </c>
      <c r="K173" s="56">
        <v>25204.866867326738</v>
      </c>
      <c r="L173" s="56">
        <v>32179.1272257081</v>
      </c>
      <c r="M173" s="56">
        <v>39084.682496723944</v>
      </c>
      <c r="N173" s="19">
        <v>46024.590311422551</v>
      </c>
    </row>
    <row r="174" spans="1:17" ht="16.25" customHeight="1" outlineLevel="1">
      <c r="D174" s="49"/>
      <c r="E174" s="49"/>
      <c r="F174" s="49"/>
      <c r="H174" s="460"/>
      <c r="I174" s="54">
        <v>7.3255000000000001E-2</v>
      </c>
      <c r="J174" s="55">
        <v>14521.665532375328</v>
      </c>
      <c r="K174" s="56">
        <v>21924.978107837251</v>
      </c>
      <c r="L174" s="57">
        <v>28383.275827203968</v>
      </c>
      <c r="M174" s="56">
        <v>34777.951329125317</v>
      </c>
      <c r="N174" s="19">
        <v>41204.437939769334</v>
      </c>
    </row>
    <row r="175" spans="1:17" ht="16.25" customHeight="1" outlineLevel="1">
      <c r="D175" s="49"/>
      <c r="E175" s="49"/>
      <c r="F175" s="49"/>
      <c r="H175" s="460"/>
      <c r="I175" s="54">
        <v>8.3000000000000004E-2</v>
      </c>
      <c r="J175" s="55">
        <v>12738.058645635738</v>
      </c>
      <c r="K175" s="56">
        <v>19624.586154540324</v>
      </c>
      <c r="L175" s="56">
        <v>25632.065165020933</v>
      </c>
      <c r="M175" s="56">
        <v>31580.363079721901</v>
      </c>
      <c r="N175" s="19">
        <v>37558.25154231269</v>
      </c>
    </row>
    <row r="176" spans="1:17" ht="16.25" customHeight="1" outlineLevel="1">
      <c r="D176" s="49"/>
      <c r="E176" s="49"/>
      <c r="F176" s="49"/>
      <c r="H176" s="460"/>
      <c r="I176" s="54">
        <v>9.2999999999999999E-2</v>
      </c>
      <c r="J176" s="55">
        <v>11371.747656347377</v>
      </c>
      <c r="K176" s="19">
        <v>17769.755552018672</v>
      </c>
      <c r="L176" s="19">
        <v>23351.073290521159</v>
      </c>
      <c r="M176" s="19">
        <v>28877.408148670223</v>
      </c>
      <c r="N176" s="19">
        <v>34431.234446996001</v>
      </c>
    </row>
    <row r="177" spans="4:14" outlineLevel="1">
      <c r="D177" s="49"/>
      <c r="E177" s="49"/>
      <c r="F177" s="49"/>
    </row>
    <row r="178" spans="4:14" outlineLevel="1">
      <c r="D178" s="49"/>
      <c r="E178" s="49"/>
      <c r="F178" s="49"/>
    </row>
    <row r="179" spans="4:14" outlineLevel="1">
      <c r="D179" s="49"/>
      <c r="E179" s="49"/>
      <c r="F179" s="49"/>
      <c r="J179" s="50" t="s">
        <v>152</v>
      </c>
      <c r="K179" s="50"/>
      <c r="L179" s="50"/>
      <c r="M179" s="50"/>
      <c r="N179" s="50"/>
    </row>
    <row r="180" spans="4:14" outlineLevel="1">
      <c r="D180" s="49"/>
      <c r="E180" s="49"/>
      <c r="F180" s="49"/>
      <c r="I180" s="51">
        <f>E161</f>
        <v>28383.317648359138</v>
      </c>
      <c r="J180" s="58">
        <v>0.01</v>
      </c>
      <c r="K180" s="54">
        <v>1.4999999999999999E-2</v>
      </c>
      <c r="L180" s="54">
        <v>0.02</v>
      </c>
      <c r="M180" s="54">
        <v>2.5000000000000001E-2</v>
      </c>
      <c r="N180" s="54">
        <v>0.03</v>
      </c>
    </row>
    <row r="181" spans="4:14" ht="20.5" customHeight="1" outlineLevel="1">
      <c r="D181" s="49"/>
      <c r="E181" s="49"/>
      <c r="F181" s="49"/>
      <c r="H181" s="460" t="s">
        <v>153</v>
      </c>
      <c r="I181" s="54">
        <v>5.2999999999999999E-2</v>
      </c>
      <c r="J181" s="55">
        <f t="dataTable" ref="J181:N185" dt2D="1" dtr="1" r1="E130" r2="E131"/>
        <v>34326.846413017243</v>
      </c>
      <c r="K181" s="19">
        <v>35703.591693178983</v>
      </c>
      <c r="L181" s="19">
        <v>37497.532512783655</v>
      </c>
      <c r="M181" s="19">
        <v>39932.166482247143</v>
      </c>
      <c r="N181" s="19">
        <v>43425.336960173037</v>
      </c>
    </row>
    <row r="182" spans="4:14" ht="20.5" customHeight="1" outlineLevel="1">
      <c r="D182" s="49"/>
      <c r="E182" s="49"/>
      <c r="F182" s="49"/>
      <c r="H182" s="460"/>
      <c r="I182" s="54">
        <v>6.3E-2</v>
      </c>
      <c r="J182" s="55">
        <v>30331.416029627555</v>
      </c>
      <c r="K182" s="56">
        <v>31159.037589281746</v>
      </c>
      <c r="L182" s="56">
        <v>32179.129279088062</v>
      </c>
      <c r="M182" s="56">
        <v>33467.666150422367</v>
      </c>
      <c r="N182" s="19">
        <v>35146.66874034283</v>
      </c>
    </row>
    <row r="183" spans="4:14" ht="20.5" customHeight="1" outlineLevel="1">
      <c r="D183" s="49"/>
      <c r="E183" s="49"/>
      <c r="F183" s="49"/>
      <c r="H183" s="460"/>
      <c r="I183" s="54">
        <v>7.3255000000000001E-2</v>
      </c>
      <c r="J183" s="55">
        <v>27214.550370225796</v>
      </c>
      <c r="K183" s="56">
        <v>27748.758382191281</v>
      </c>
      <c r="L183" s="57">
        <v>28383.277728672867</v>
      </c>
      <c r="M183" s="56">
        <v>29149.290049246589</v>
      </c>
      <c r="N183" s="19">
        <v>30092.394572010511</v>
      </c>
    </row>
    <row r="184" spans="4:14" ht="20.5" customHeight="1" outlineLevel="1">
      <c r="D184" s="49"/>
      <c r="E184" s="49"/>
      <c r="F184" s="49"/>
      <c r="H184" s="460"/>
      <c r="I184" s="54">
        <v>8.3000000000000004E-2</v>
      </c>
      <c r="J184" s="55">
        <v>24828.531955220686</v>
      </c>
      <c r="K184" s="56">
        <v>25200.757717337518</v>
      </c>
      <c r="L184" s="56">
        <v>25632.066933758611</v>
      </c>
      <c r="M184" s="56">
        <v>26137.739808183334</v>
      </c>
      <c r="N184" s="19">
        <v>26738.822658914614</v>
      </c>
    </row>
    <row r="185" spans="4:14" ht="20.5" customHeight="1" outlineLevel="1">
      <c r="D185" s="49"/>
      <c r="E185" s="49"/>
      <c r="F185" s="49"/>
      <c r="H185" s="460"/>
      <c r="I185" s="54">
        <v>9.2999999999999999E-2</v>
      </c>
      <c r="J185" s="55">
        <v>22779.196875209909</v>
      </c>
      <c r="K185" s="19">
        <v>23046.806479544208</v>
      </c>
      <c r="L185" s="19">
        <v>23351.074933787317</v>
      </c>
      <c r="M185" s="19">
        <v>23700.088748948532</v>
      </c>
      <c r="N185" s="19">
        <v>24104.501582389301</v>
      </c>
    </row>
    <row r="186" spans="4:14" outlineLevel="1"/>
    <row r="187" spans="4:14" outlineLevel="1"/>
  </sheetData>
  <mergeCells count="2">
    <mergeCell ref="H172:H176"/>
    <mergeCell ref="H181:H18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683EDF-95F8-274D-B9F3-00F8EC58739A}">
          <x14:formula1>
            <xm:f>Scenarios!$H$5:$H$7</xm:f>
          </x14:formula1>
          <xm:sqref>E7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9B3-329B-AF44-BE63-E8422DDD0E85}">
  <dimension ref="A1:R21"/>
  <sheetViews>
    <sheetView showGridLines="0" topLeftCell="D1" zoomScale="150" workbookViewId="0">
      <selection activeCell="E8" sqref="E8"/>
    </sheetView>
  </sheetViews>
  <sheetFormatPr baseColWidth="10" defaultColWidth="11.6640625" defaultRowHeight="15"/>
  <cols>
    <col min="1" max="3" width="1.1640625" style="1" customWidth="1"/>
    <col min="4" max="4" width="40.6640625" style="1" customWidth="1"/>
    <col min="5" max="6" width="12.6640625" style="1" customWidth="1"/>
    <col min="7" max="7" width="13.1640625" style="1" customWidth="1"/>
    <col min="8" max="16384" width="11.6640625" style="1"/>
  </cols>
  <sheetData>
    <row r="1" spans="1:18" ht="33">
      <c r="A1" s="216" t="str">
        <f>Historical!A1</f>
        <v>Shree Cement Limited</v>
      </c>
      <c r="B1" s="215"/>
      <c r="C1" s="215"/>
      <c r="D1" s="215"/>
      <c r="E1" s="215"/>
      <c r="F1" s="215"/>
      <c r="G1" s="215"/>
      <c r="H1" s="215"/>
      <c r="I1" s="215"/>
      <c r="J1" s="215"/>
      <c r="K1" s="215"/>
      <c r="L1" s="215"/>
      <c r="M1" s="215"/>
      <c r="N1" s="215"/>
      <c r="O1" s="215"/>
      <c r="P1" s="215"/>
      <c r="Q1" s="215"/>
      <c r="R1" s="215"/>
    </row>
    <row r="2" spans="1:18" ht="16">
      <c r="A2" s="217" t="s">
        <v>190</v>
      </c>
      <c r="B2" s="215"/>
      <c r="C2" s="215"/>
      <c r="D2" s="215"/>
      <c r="E2" s="215"/>
      <c r="F2" s="215"/>
      <c r="G2" s="215"/>
      <c r="H2" s="215"/>
      <c r="I2" s="215"/>
      <c r="J2" s="215"/>
      <c r="K2" s="215"/>
      <c r="L2" s="215"/>
      <c r="M2" s="215"/>
      <c r="N2" s="215"/>
      <c r="O2" s="215"/>
      <c r="P2" s="215"/>
      <c r="Q2" s="215"/>
      <c r="R2" s="215"/>
    </row>
    <row r="3" spans="1:18" s="59" customFormat="1" ht="16">
      <c r="H3" s="461" t="s">
        <v>190</v>
      </c>
      <c r="I3" s="178" t="s">
        <v>311</v>
      </c>
      <c r="J3" s="178" t="s">
        <v>312</v>
      </c>
      <c r="K3" s="178" t="s">
        <v>312</v>
      </c>
      <c r="L3" s="178" t="s">
        <v>312</v>
      </c>
      <c r="M3" s="178" t="s">
        <v>312</v>
      </c>
      <c r="N3" s="178" t="s">
        <v>312</v>
      </c>
      <c r="O3" s="178" t="s">
        <v>312</v>
      </c>
      <c r="P3" s="178" t="s">
        <v>312</v>
      </c>
      <c r="Q3" s="178" t="s">
        <v>312</v>
      </c>
      <c r="R3" s="178" t="s">
        <v>312</v>
      </c>
    </row>
    <row r="4" spans="1:18" s="59" customFormat="1" ht="16">
      <c r="C4" s="61"/>
      <c r="D4" s="60" t="s">
        <v>489</v>
      </c>
      <c r="E4" s="315" t="s">
        <v>478</v>
      </c>
      <c r="F4" s="371" t="s">
        <v>476</v>
      </c>
      <c r="H4" s="462"/>
      <c r="I4" s="60">
        <f>Model!M2</f>
        <v>2026</v>
      </c>
      <c r="J4" s="60">
        <f>Model!N2</f>
        <v>2027</v>
      </c>
      <c r="K4" s="60">
        <f>Model!O2</f>
        <v>2028</v>
      </c>
      <c r="L4" s="60">
        <f>Model!P2</f>
        <v>2029</v>
      </c>
      <c r="M4" s="60">
        <f>Model!Q2</f>
        <v>2030</v>
      </c>
      <c r="N4" s="60">
        <f>Model!R2</f>
        <v>2031</v>
      </c>
      <c r="O4" s="60">
        <f>Model!S2</f>
        <v>2032</v>
      </c>
      <c r="P4" s="60">
        <f>Model!T2</f>
        <v>2033</v>
      </c>
      <c r="Q4" s="60">
        <f>Model!U2</f>
        <v>2034</v>
      </c>
      <c r="R4" s="60">
        <f>Model!V2</f>
        <v>2035</v>
      </c>
    </row>
    <row r="5" spans="1:18" s="59" customFormat="1" ht="16">
      <c r="D5" s="59" t="s">
        <v>479</v>
      </c>
      <c r="E5" s="377">
        <f>AVERAGE(Model!I8:L8)</f>
        <v>9.6074333745409163E-2</v>
      </c>
      <c r="F5" s="377">
        <v>0.25</v>
      </c>
      <c r="H5" s="63" t="s">
        <v>61</v>
      </c>
      <c r="I5" s="63">
        <f>E8</f>
        <v>7.0018583436352283E-2</v>
      </c>
      <c r="J5" s="63">
        <f t="shared" ref="J5:R5" si="0">I5*(1-$E$9)</f>
        <v>6.861821176762524E-2</v>
      </c>
      <c r="K5" s="63">
        <f t="shared" si="0"/>
        <v>6.7245847532272737E-2</v>
      </c>
      <c r="L5" s="63">
        <f t="shared" si="0"/>
        <v>6.5900930581627284E-2</v>
      </c>
      <c r="M5" s="63">
        <f t="shared" si="0"/>
        <v>6.4582911969994744E-2</v>
      </c>
      <c r="N5" s="63">
        <f t="shared" si="0"/>
        <v>6.3291253730594854E-2</v>
      </c>
      <c r="O5" s="63">
        <f t="shared" si="0"/>
        <v>6.2025428655982956E-2</v>
      </c>
      <c r="P5" s="63">
        <f t="shared" si="0"/>
        <v>6.0784920082863299E-2</v>
      </c>
      <c r="Q5" s="63">
        <f t="shared" si="0"/>
        <v>5.9569221681206035E-2</v>
      </c>
      <c r="R5" s="63">
        <f t="shared" si="0"/>
        <v>5.8377837247581915E-2</v>
      </c>
    </row>
    <row r="6" spans="1:18" s="59" customFormat="1" ht="16">
      <c r="D6" s="59" t="s">
        <v>480</v>
      </c>
      <c r="E6" s="62">
        <v>4.7E-2</v>
      </c>
      <c r="F6" s="62">
        <v>0.5</v>
      </c>
      <c r="H6" s="63" t="s">
        <v>191</v>
      </c>
      <c r="I6" s="63">
        <f>I5+5%</f>
        <v>0.12001858343635229</v>
      </c>
      <c r="J6" s="63">
        <f t="shared" ref="J6:R6" si="1">I6*(1-$E$9)</f>
        <v>0.11761821176762524</v>
      </c>
      <c r="K6" s="63">
        <f t="shared" si="1"/>
        <v>0.11526584753227273</v>
      </c>
      <c r="L6" s="63">
        <f t="shared" si="1"/>
        <v>0.11296053058162728</v>
      </c>
      <c r="M6" s="63">
        <f t="shared" si="1"/>
        <v>0.11070131996999473</v>
      </c>
      <c r="N6" s="63">
        <f t="shared" si="1"/>
        <v>0.10848729357059483</v>
      </c>
      <c r="O6" s="63">
        <f t="shared" si="1"/>
        <v>0.10631754769918293</v>
      </c>
      <c r="P6" s="63">
        <f t="shared" si="1"/>
        <v>0.10419119674519928</v>
      </c>
      <c r="Q6" s="63">
        <f t="shared" si="1"/>
        <v>0.10210737281029529</v>
      </c>
      <c r="R6" s="63">
        <f t="shared" si="1"/>
        <v>0.10006522535408938</v>
      </c>
    </row>
    <row r="7" spans="1:18" s="59" customFormat="1" ht="16">
      <c r="D7" s="59" t="s">
        <v>477</v>
      </c>
      <c r="E7" s="62">
        <v>0.09</v>
      </c>
      <c r="F7" s="62">
        <v>0.25</v>
      </c>
      <c r="H7" s="63" t="s">
        <v>488</v>
      </c>
      <c r="I7" s="63">
        <f>I5-5%</f>
        <v>2.001858343635228E-2</v>
      </c>
      <c r="J7" s="63">
        <f t="shared" ref="J7:R7" si="2">I7*(1-$E$9)</f>
        <v>1.9618211767625234E-2</v>
      </c>
      <c r="K7" s="63">
        <f t="shared" si="2"/>
        <v>1.922584753227273E-2</v>
      </c>
      <c r="L7" s="63">
        <f t="shared" si="2"/>
        <v>1.8841330581627274E-2</v>
      </c>
      <c r="M7" s="63">
        <f t="shared" si="2"/>
        <v>1.8464503969994727E-2</v>
      </c>
      <c r="N7" s="63">
        <f t="shared" si="2"/>
        <v>1.8095213890594833E-2</v>
      </c>
      <c r="O7" s="63">
        <f t="shared" si="2"/>
        <v>1.7733309612782935E-2</v>
      </c>
      <c r="P7" s="63">
        <f t="shared" si="2"/>
        <v>1.7378643420527275E-2</v>
      </c>
      <c r="Q7" s="63">
        <f t="shared" si="2"/>
        <v>1.703107055211673E-2</v>
      </c>
      <c r="R7" s="63">
        <f t="shared" si="2"/>
        <v>1.6690449141074395E-2</v>
      </c>
    </row>
    <row r="8" spans="1:18" s="59" customFormat="1" ht="16">
      <c r="D8" s="379" t="s">
        <v>490</v>
      </c>
      <c r="E8" s="380">
        <f>SUMPRODUCT(E5:E7,F5:F7)</f>
        <v>7.0018583436352283E-2</v>
      </c>
      <c r="F8" s="423">
        <v>1</v>
      </c>
    </row>
    <row r="9" spans="1:18" s="59" customFormat="1" ht="16">
      <c r="D9" s="59" t="s">
        <v>192</v>
      </c>
      <c r="E9" s="378">
        <v>0.02</v>
      </c>
      <c r="F9" s="12"/>
    </row>
    <row r="10" spans="1:18" s="59" customFormat="1" ht="16"/>
    <row r="11" spans="1:18" s="59" customFormat="1" ht="16"/>
    <row r="12" spans="1:18" s="59" customFormat="1" ht="16"/>
    <row r="13" spans="1:18" s="59" customFormat="1" ht="16"/>
    <row r="14" spans="1:18" s="59" customFormat="1" ht="16"/>
    <row r="15" spans="1:18" s="59" customFormat="1" ht="16"/>
    <row r="16" spans="1:18" s="59" customFormat="1" ht="16"/>
    <row r="17" s="59" customFormat="1" ht="16"/>
    <row r="18" s="59" customFormat="1" ht="16"/>
    <row r="19" s="59" customFormat="1" ht="16"/>
    <row r="20" s="59" customFormat="1" ht="16"/>
    <row r="21" s="59" customFormat="1" ht="16"/>
  </sheetData>
  <mergeCells count="1">
    <mergeCell ref="H3:H4"/>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838D-07B6-AA44-B829-6E3F93CC4C57}">
  <dimension ref="A1:U81"/>
  <sheetViews>
    <sheetView showGridLines="0" zoomScale="111" zoomScaleNormal="100" workbookViewId="0">
      <selection activeCell="E31" sqref="E31"/>
    </sheetView>
  </sheetViews>
  <sheetFormatPr baseColWidth="10" defaultColWidth="8.83203125" defaultRowHeight="15"/>
  <cols>
    <col min="1" max="1" width="6.1640625" style="381" customWidth="1"/>
    <col min="2" max="2" width="24.1640625" style="381" bestFit="1" customWidth="1"/>
    <col min="3" max="3" width="9.5" style="381" customWidth="1"/>
    <col min="4" max="17" width="8.83203125" style="381"/>
    <col min="18" max="18" width="15.1640625" style="381" customWidth="1"/>
    <col min="19" max="19" width="8.83203125" style="381"/>
    <col min="20" max="20" width="206.6640625" style="381" customWidth="1"/>
    <col min="21" max="16384" width="8.83203125" style="381"/>
  </cols>
  <sheetData>
    <row r="1" spans="1:21" ht="33">
      <c r="A1" s="216" t="str">
        <f>Historical!A1</f>
        <v>Shree Cement Limited</v>
      </c>
      <c r="B1" s="215"/>
      <c r="C1" s="215"/>
      <c r="D1" s="215"/>
      <c r="E1" s="215"/>
      <c r="F1" s="215"/>
      <c r="G1" s="215"/>
      <c r="H1" s="215"/>
      <c r="I1" s="215"/>
      <c r="J1" s="215"/>
      <c r="K1" s="215"/>
      <c r="L1" s="215"/>
      <c r="M1" s="215"/>
      <c r="N1" s="215"/>
      <c r="O1" s="215"/>
      <c r="P1" s="215"/>
      <c r="Q1" s="215"/>
      <c r="R1" s="215"/>
    </row>
    <row r="2" spans="1:21" ht="16">
      <c r="A2" s="217" t="s">
        <v>492</v>
      </c>
      <c r="B2" s="215"/>
      <c r="C2" s="215"/>
      <c r="D2" s="215"/>
      <c r="E2" s="215"/>
      <c r="F2" s="215"/>
      <c r="G2" s="215"/>
      <c r="H2" s="215"/>
      <c r="I2" s="215"/>
      <c r="J2" s="215"/>
      <c r="K2" s="215"/>
      <c r="L2" s="215"/>
      <c r="M2" s="215"/>
      <c r="N2" s="215"/>
      <c r="O2" s="215"/>
      <c r="P2" s="215"/>
      <c r="Q2" s="215"/>
      <c r="R2" s="215"/>
      <c r="T2" s="382"/>
    </row>
    <row r="3" spans="1:21">
      <c r="M3" s="383"/>
    </row>
    <row r="4" spans="1:21" ht="12" customHeight="1">
      <c r="P4" s="463" t="s">
        <v>493</v>
      </c>
      <c r="Q4" s="463"/>
      <c r="R4" s="385"/>
    </row>
    <row r="5" spans="1:21" ht="16" customHeight="1">
      <c r="A5" s="464" t="s">
        <v>309</v>
      </c>
      <c r="B5" s="464"/>
      <c r="C5" s="464"/>
      <c r="D5" s="464"/>
      <c r="E5" s="464"/>
      <c r="F5" s="464"/>
      <c r="G5" s="464"/>
      <c r="H5" s="464"/>
      <c r="I5" s="464"/>
      <c r="J5" s="464"/>
      <c r="K5" s="464"/>
      <c r="L5" s="464"/>
      <c r="M5" s="464"/>
      <c r="N5" s="464"/>
      <c r="O5" s="464"/>
      <c r="P5" s="464"/>
      <c r="Q5" s="464"/>
      <c r="R5" s="464"/>
      <c r="T5" s="465" t="s">
        <v>494</v>
      </c>
    </row>
    <row r="6" spans="1:21">
      <c r="B6" s="466" t="s">
        <v>310</v>
      </c>
      <c r="C6" s="386">
        <v>2021</v>
      </c>
      <c r="D6" s="386">
        <v>2022</v>
      </c>
      <c r="E6" s="386">
        <v>2023</v>
      </c>
      <c r="F6" s="386">
        <v>2024</v>
      </c>
      <c r="G6" s="386">
        <v>2025</v>
      </c>
      <c r="H6" s="387">
        <v>2026</v>
      </c>
      <c r="I6" s="387">
        <v>2027</v>
      </c>
      <c r="J6" s="387">
        <v>2028</v>
      </c>
      <c r="K6" s="387">
        <v>2029</v>
      </c>
      <c r="L6" s="387">
        <v>2030</v>
      </c>
      <c r="M6" s="387">
        <v>2031</v>
      </c>
      <c r="N6" s="387">
        <v>2032</v>
      </c>
      <c r="O6" s="387">
        <v>2033</v>
      </c>
      <c r="P6" s="387">
        <v>2034</v>
      </c>
      <c r="Q6" s="387">
        <v>2035</v>
      </c>
      <c r="R6" s="468" t="s">
        <v>495</v>
      </c>
      <c r="T6" s="465"/>
    </row>
    <row r="7" spans="1:21">
      <c r="B7" s="467"/>
      <c r="C7" s="384" t="s">
        <v>496</v>
      </c>
      <c r="D7" s="384" t="s">
        <v>496</v>
      </c>
      <c r="E7" s="384" t="s">
        <v>496</v>
      </c>
      <c r="F7" s="384" t="s">
        <v>496</v>
      </c>
      <c r="G7" s="384" t="s">
        <v>496</v>
      </c>
      <c r="H7" s="388" t="s">
        <v>311</v>
      </c>
      <c r="I7" s="388" t="s">
        <v>312</v>
      </c>
      <c r="J7" s="388" t="s">
        <v>312</v>
      </c>
      <c r="K7" s="388" t="s">
        <v>312</v>
      </c>
      <c r="L7" s="388" t="s">
        <v>312</v>
      </c>
      <c r="M7" s="388" t="s">
        <v>312</v>
      </c>
      <c r="N7" s="388" t="s">
        <v>312</v>
      </c>
      <c r="O7" s="388" t="s">
        <v>312</v>
      </c>
      <c r="P7" s="388" t="s">
        <v>312</v>
      </c>
      <c r="Q7" s="388" t="s">
        <v>312</v>
      </c>
      <c r="R7" s="469"/>
      <c r="T7" s="465"/>
    </row>
    <row r="8" spans="1:21">
      <c r="B8" s="389"/>
      <c r="H8" s="390"/>
      <c r="I8" s="390"/>
      <c r="J8" s="390"/>
      <c r="K8" s="390"/>
      <c r="L8" s="390"/>
      <c r="M8" s="390"/>
      <c r="N8" s="390"/>
      <c r="O8" s="390"/>
      <c r="P8" s="390"/>
      <c r="Q8" s="390"/>
      <c r="R8" s="390"/>
      <c r="T8" s="391"/>
    </row>
    <row r="9" spans="1:21">
      <c r="B9" s="392" t="s">
        <v>497</v>
      </c>
      <c r="C9" s="393"/>
      <c r="D9" s="394"/>
      <c r="E9" s="394"/>
      <c r="F9" s="394"/>
      <c r="G9" s="394"/>
      <c r="H9" s="395"/>
      <c r="I9" s="395"/>
      <c r="J9" s="395"/>
      <c r="K9" s="395"/>
      <c r="L9" s="395"/>
      <c r="M9" s="395"/>
      <c r="N9" s="395"/>
      <c r="O9" s="395"/>
      <c r="P9" s="395"/>
      <c r="Q9" s="395"/>
      <c r="R9" s="395"/>
      <c r="T9" s="394"/>
    </row>
    <row r="10" spans="1:21" ht="49" customHeight="1">
      <c r="B10" s="396" t="s">
        <v>498</v>
      </c>
      <c r="C10" s="397">
        <f>Model!H27/Model!H25</f>
        <v>0.68410894875060568</v>
      </c>
      <c r="D10" s="397">
        <f>Model!I27/Model!I25</f>
        <v>0.63434904154418914</v>
      </c>
      <c r="E10" s="397">
        <f>Model!J27/Model!J25</f>
        <v>0.5230723384566609</v>
      </c>
      <c r="F10" s="397">
        <f>Model!K27/Model!K25</f>
        <v>0.5537924308217097</v>
      </c>
      <c r="G10" s="397">
        <f>Model!L27/Model!L25</f>
        <v>0.58552816158209142</v>
      </c>
      <c r="H10" s="398">
        <f>Model!M27/Model!M25</f>
        <v>0.59617018423105139</v>
      </c>
      <c r="I10" s="398">
        <f>Model!N27/Model!N25</f>
        <v>0.59617018423105139</v>
      </c>
      <c r="J10" s="398">
        <f>Model!O27/Model!O25</f>
        <v>0.59617018423105139</v>
      </c>
      <c r="K10" s="398">
        <f>Model!P27/Model!P25</f>
        <v>0.59617018423105139</v>
      </c>
      <c r="L10" s="398">
        <f>Model!Q27/Model!Q25</f>
        <v>0.59617018423105128</v>
      </c>
      <c r="M10" s="398">
        <f>Model!R27/Model!R25</f>
        <v>0.59617018423105139</v>
      </c>
      <c r="N10" s="398">
        <f>Model!S27/Model!S25</f>
        <v>0.59617018423105128</v>
      </c>
      <c r="O10" s="398">
        <f>Model!T27/Model!T25</f>
        <v>0.59617018423105128</v>
      </c>
      <c r="P10" s="398">
        <f>Model!U27/Model!U25</f>
        <v>0.59617018423105139</v>
      </c>
      <c r="Q10" s="398">
        <f>Model!V27/Model!V25</f>
        <v>0.59617018423105139</v>
      </c>
      <c r="R10" s="399"/>
      <c r="T10" s="400" t="s">
        <v>553</v>
      </c>
      <c r="U10" s="383"/>
    </row>
    <row r="11" spans="1:21" ht="47" customHeight="1">
      <c r="B11" s="396" t="s">
        <v>499</v>
      </c>
      <c r="C11" s="401">
        <f>Model!H31/Model!H25</f>
        <v>0.30084949818470375</v>
      </c>
      <c r="D11" s="401">
        <f>Model!I31/Model!I25</f>
        <v>0.2470378878528085</v>
      </c>
      <c r="E11" s="401">
        <f>Model!J31/Model!J25</f>
        <v>0.16577668013082889</v>
      </c>
      <c r="F11" s="401">
        <f>Model!K31/Model!K25</f>
        <v>0.22136758839039786</v>
      </c>
      <c r="G11" s="401">
        <f>Model!L31/Model!L25</f>
        <v>0.20401725265430443</v>
      </c>
      <c r="H11" s="402">
        <f>Model!M31/Model!M25</f>
        <v>0.22780978144260869</v>
      </c>
      <c r="I11" s="402">
        <f>Model!N31/Model!N25</f>
        <v>0.22780978144260863</v>
      </c>
      <c r="J11" s="402">
        <f>Model!O31/Model!O25</f>
        <v>0.22780978144260866</v>
      </c>
      <c r="K11" s="402">
        <f>Model!P31/Model!P25</f>
        <v>0.22780978144260866</v>
      </c>
      <c r="L11" s="402">
        <f>Model!Q31/Model!Q25</f>
        <v>0.22780978144260863</v>
      </c>
      <c r="M11" s="402">
        <f>Model!R31/Model!R25</f>
        <v>0.22780978144260866</v>
      </c>
      <c r="N11" s="402">
        <f>Model!S31/Model!S25</f>
        <v>0.22780978144260866</v>
      </c>
      <c r="O11" s="402">
        <f>Model!T31/Model!T25</f>
        <v>0.22780978144260869</v>
      </c>
      <c r="P11" s="402">
        <f>Model!U31/Model!U25</f>
        <v>0.22780978144260866</v>
      </c>
      <c r="Q11" s="402">
        <f>Model!V31/Model!V25</f>
        <v>0.22780978144260863</v>
      </c>
      <c r="R11" s="399"/>
      <c r="T11" s="400" t="s">
        <v>554</v>
      </c>
      <c r="U11" s="383"/>
    </row>
    <row r="12" spans="1:21" ht="61" customHeight="1">
      <c r="B12" s="396" t="s">
        <v>500</v>
      </c>
      <c r="C12" s="419">
        <f>Model!H33/Model!H25</f>
        <v>0.20775499879422737</v>
      </c>
      <c r="D12" s="419">
        <f>Model!I33/Model!I25</f>
        <v>0.17069454401061726</v>
      </c>
      <c r="E12" s="419">
        <f>Model!J33/Model!J25</f>
        <v>7.2754088681981605E-2</v>
      </c>
      <c r="F12" s="419">
        <f>Model!K33/Model!K25</f>
        <v>0.12837902743606583</v>
      </c>
      <c r="G12" s="419">
        <f>Model!L33/Model!L25</f>
        <v>4.8086821280901262E-2</v>
      </c>
      <c r="H12" s="402">
        <f>Model!M33/Model!M25</f>
        <v>5.471384124816521E-2</v>
      </c>
      <c r="I12" s="402">
        <f>Model!N33/Model!N25</f>
        <v>8.2441730681853218E-2</v>
      </c>
      <c r="J12" s="402">
        <f>Model!O33/Model!O25</f>
        <v>0.10252209355440195</v>
      </c>
      <c r="K12" s="402">
        <f>Model!P33/Model!P25</f>
        <v>0.11360035016540831</v>
      </c>
      <c r="L12" s="402">
        <f>Model!Q33/Model!Q25</f>
        <v>0.12640770251950023</v>
      </c>
      <c r="M12" s="402">
        <f>Model!R33/Model!R25</f>
        <v>0.13619418660354859</v>
      </c>
      <c r="N12" s="402">
        <f>Model!S33/Model!S25</f>
        <v>0.14109933234379773</v>
      </c>
      <c r="O12" s="402">
        <f>Model!T33/Model!T25</f>
        <v>0.1483805421942832</v>
      </c>
      <c r="P12" s="402">
        <f>Model!U33/Model!U25</f>
        <v>0.1542450989853707</v>
      </c>
      <c r="Q12" s="402">
        <f>Model!V33/Model!V25</f>
        <v>0.15689191588310797</v>
      </c>
      <c r="R12" s="399"/>
      <c r="T12" s="400" t="s">
        <v>541</v>
      </c>
      <c r="U12" s="383"/>
    </row>
    <row r="13" spans="1:21" ht="48" customHeight="1">
      <c r="B13" s="396" t="s">
        <v>501</v>
      </c>
      <c r="C13" s="401">
        <f>Model!H36/Model!H25</f>
        <v>0.22154358075395089</v>
      </c>
      <c r="D13" s="401">
        <f>Model!I36/Model!I25</f>
        <v>0.19266520804074205</v>
      </c>
      <c r="E13" s="401">
        <f>Model!J36/Model!J25</f>
        <v>8.3744810901434194E-2</v>
      </c>
      <c r="F13" s="401">
        <f>Model!K36/Model!K25</f>
        <v>0.14503180780050776</v>
      </c>
      <c r="G13" s="401">
        <f>Model!L36/Model!L25</f>
        <v>6.8014394152725574E-2</v>
      </c>
      <c r="H13" s="402">
        <f>Model!M36/Model!M25</f>
        <v>8.0004650285755652E-2</v>
      </c>
      <c r="I13" s="402">
        <f>Model!N36/Model!N25</f>
        <v>0.10808984566820744</v>
      </c>
      <c r="J13" s="402">
        <f>Model!O36/Model!O25</f>
        <v>0.12849830523056588</v>
      </c>
      <c r="K13" s="402">
        <f>Model!P36/Model!P25</f>
        <v>0.13987821722697291</v>
      </c>
      <c r="L13" s="402">
        <f>Model!Q36/Model!Q25</f>
        <v>0.15296325793616494</v>
      </c>
      <c r="M13" s="402">
        <f>Model!R36/Model!R25</f>
        <v>0.16300567809327263</v>
      </c>
      <c r="N13" s="402">
        <f>Model!S36/Model!S25</f>
        <v>0.16814699270936079</v>
      </c>
      <c r="O13" s="402">
        <f>Model!T36/Model!T25</f>
        <v>0.17564638580693101</v>
      </c>
      <c r="P13" s="402">
        <f>Model!U36/Model!U25</f>
        <v>0.18171274119481409</v>
      </c>
      <c r="Q13" s="402">
        <f>Model!V36/Model!V25</f>
        <v>0.18454641255784701</v>
      </c>
      <c r="R13" s="399"/>
      <c r="T13" s="400" t="s">
        <v>542</v>
      </c>
      <c r="U13" s="383"/>
    </row>
    <row r="14" spans="1:21" ht="53" customHeight="1">
      <c r="B14" s="396" t="s">
        <v>502</v>
      </c>
      <c r="C14" s="401">
        <f>-Model!H37/Model!H36</f>
        <v>0.23783987110862553</v>
      </c>
      <c r="D14" s="401">
        <f>-Model!I37/Model!I36</f>
        <v>0.19199327758989149</v>
      </c>
      <c r="E14" s="401">
        <f>-Model!J37/Model!J36</f>
        <v>0.15109963613013688</v>
      </c>
      <c r="F14" s="401">
        <f>-Model!K37/Model!K36</f>
        <v>0.19026763990267639</v>
      </c>
      <c r="G14" s="401">
        <f>-Model!L37/Model!L36</f>
        <v>0.14312510007548535</v>
      </c>
      <c r="H14" s="402">
        <f>-Model!M37/Model!M36</f>
        <v>0.14812510007548535</v>
      </c>
      <c r="I14" s="402">
        <f>-Model!N37/Model!N36</f>
        <v>0.14812510007548535</v>
      </c>
      <c r="J14" s="402">
        <f>-Model!O37/Model!O36</f>
        <v>0.15312510007548535</v>
      </c>
      <c r="K14" s="402">
        <f>-Model!P37/Model!P36</f>
        <v>0.15312510007548535</v>
      </c>
      <c r="L14" s="402">
        <f>-Model!Q37/Model!Q36</f>
        <v>0.15812510007548536</v>
      </c>
      <c r="M14" s="402">
        <f>-Model!R37/Model!R36</f>
        <v>0.15812510007548536</v>
      </c>
      <c r="N14" s="402">
        <f>-Model!S37/Model!S36</f>
        <v>0.16312510007548536</v>
      </c>
      <c r="O14" s="402">
        <f>-Model!T37/Model!T36</f>
        <v>0.16312510007548536</v>
      </c>
      <c r="P14" s="402">
        <f>-Model!U37/Model!U36</f>
        <v>0.16812510007548537</v>
      </c>
      <c r="Q14" s="402">
        <f>-Model!V37/Model!V36</f>
        <v>0.16812510007548537</v>
      </c>
      <c r="R14" s="399"/>
      <c r="T14" s="400" t="s">
        <v>534</v>
      </c>
      <c r="U14" s="383"/>
    </row>
    <row r="15" spans="1:21" ht="45" customHeight="1">
      <c r="B15" s="396" t="s">
        <v>503</v>
      </c>
      <c r="C15" s="401">
        <f>Model!H38/Model!H25</f>
        <v>0.16885168406248785</v>
      </c>
      <c r="D15" s="401">
        <f>Model!I38/Model!I25</f>
        <v>0.15567478327146167</v>
      </c>
      <c r="E15" s="401">
        <f>Model!J38/Model!J25</f>
        <v>7.1091000446440358E-2</v>
      </c>
      <c r="F15" s="401">
        <f>Model!K38/Model!K25</f>
        <v>0.11743694801948656</v>
      </c>
      <c r="G15" s="401">
        <f>Model!L38/Model!L25</f>
        <v>5.8279827183043219E-2</v>
      </c>
      <c r="H15" s="402">
        <f>Model!M38/Model!M25</f>
        <v>6.8153953455673891E-2</v>
      </c>
      <c r="I15" s="402">
        <f>Model!N38/Model!N25</f>
        <v>9.2079026461460448E-2</v>
      </c>
      <c r="J15" s="402">
        <f>Model!O38/Model!O25</f>
        <v>0.10882198938260521</v>
      </c>
      <c r="K15" s="402">
        <f>Model!P38/Model!P25</f>
        <v>0.1184593512157122</v>
      </c>
      <c r="L15" s="402">
        <f>Model!Q38/Model!Q25</f>
        <v>0.12877592746713656</v>
      </c>
      <c r="M15" s="402">
        <f>Model!R38/Model!R25</f>
        <v>0.13723038893190154</v>
      </c>
      <c r="N15" s="402">
        <f>Model!S38/Model!S25</f>
        <v>0.1407179976962544</v>
      </c>
      <c r="O15" s="402">
        <f>Model!T38/Model!T25</f>
        <v>0.14699405154427808</v>
      </c>
      <c r="P15" s="402">
        <f>Model!U38/Model!U25</f>
        <v>0.15116226839644517</v>
      </c>
      <c r="Q15" s="402">
        <f>Model!V38/Model!V25</f>
        <v>0.15351952847798719</v>
      </c>
      <c r="R15" s="399"/>
      <c r="T15" s="400" t="s">
        <v>543</v>
      </c>
      <c r="U15" s="383"/>
    </row>
    <row r="16" spans="1:21">
      <c r="B16" s="396"/>
      <c r="C16" s="403"/>
      <c r="D16" s="403"/>
      <c r="E16" s="403"/>
      <c r="F16" s="403" t="s">
        <v>504</v>
      </c>
      <c r="G16" s="403"/>
      <c r="H16" s="404"/>
      <c r="I16" s="404"/>
      <c r="J16" s="404"/>
      <c r="K16" s="404"/>
      <c r="L16" s="404"/>
      <c r="M16" s="404"/>
      <c r="N16" s="404"/>
      <c r="O16" s="404"/>
      <c r="P16" s="404"/>
      <c r="Q16" s="404"/>
      <c r="R16" s="404"/>
      <c r="T16" s="405"/>
    </row>
    <row r="17" spans="2:20">
      <c r="B17" s="392" t="s">
        <v>505</v>
      </c>
      <c r="C17" s="393"/>
      <c r="D17" s="393"/>
      <c r="E17" s="393"/>
      <c r="F17" s="393"/>
      <c r="G17" s="393"/>
      <c r="H17" s="406"/>
      <c r="I17" s="406"/>
      <c r="J17" s="406"/>
      <c r="K17" s="406"/>
      <c r="L17" s="406"/>
      <c r="M17" s="406"/>
      <c r="N17" s="406"/>
      <c r="O17" s="406"/>
      <c r="P17" s="406"/>
      <c r="Q17" s="406"/>
      <c r="R17" s="406"/>
      <c r="T17" s="407"/>
    </row>
    <row r="18" spans="2:20" ht="66" customHeight="1">
      <c r="B18" s="396" t="s">
        <v>506</v>
      </c>
      <c r="C18" s="397"/>
      <c r="D18" s="401">
        <f>Model!I25/AVERAGE(Model!H54:I54)</f>
        <v>0.66322934997420568</v>
      </c>
      <c r="E18" s="401">
        <f>Model!J25/AVERAGE(Model!I54:J54)</f>
        <v>0.71291233201325332</v>
      </c>
      <c r="F18" s="401">
        <f>Model!K25/AVERAGE(Model!J54:K54)</f>
        <v>0.75169546677581411</v>
      </c>
      <c r="G18" s="401">
        <f>Model!L25/AVERAGE(Model!K54:L54)</f>
        <v>0.68324037301291896</v>
      </c>
      <c r="H18" s="402">
        <f>Model!M25/AVERAGE(Model!L54:M54)</f>
        <v>0.70996928647968038</v>
      </c>
      <c r="I18" s="402">
        <f>Model!N25/AVERAGE(Model!M54:N54)</f>
        <v>0.7227598548476506</v>
      </c>
      <c r="J18" s="402">
        <f>Model!O25/AVERAGE(Model!N54:O54)</f>
        <v>0.72462452385465237</v>
      </c>
      <c r="K18" s="402">
        <f>Model!P25/AVERAGE(Model!O54:P54)</f>
        <v>0.72013459588500239</v>
      </c>
      <c r="L18" s="402">
        <f>Model!Q25/AVERAGE(Model!P54:Q54)</f>
        <v>0.7111393564786932</v>
      </c>
      <c r="M18" s="402">
        <f>Model!R25/AVERAGE(Model!Q54:R54)</f>
        <v>0.6984762359865776</v>
      </c>
      <c r="N18" s="402">
        <f>Model!S25/AVERAGE(Model!R54:S54)</f>
        <v>0.68402838335432681</v>
      </c>
      <c r="O18" s="402">
        <f>Model!T25/AVERAGE(Model!S54:T54)</f>
        <v>0.66849171614914582</v>
      </c>
      <c r="P18" s="402">
        <f>Model!U25/AVERAGE(Model!T54:U54)</f>
        <v>0.65203343218775456</v>
      </c>
      <c r="Q18" s="402">
        <f>Model!V25/AVERAGE(Model!U54:V54)</f>
        <v>0.6355282520942529</v>
      </c>
      <c r="R18" s="399"/>
      <c r="T18" s="400" t="s">
        <v>555</v>
      </c>
    </row>
    <row r="19" spans="2:20" ht="47" customHeight="1">
      <c r="B19" s="396" t="s">
        <v>507</v>
      </c>
      <c r="C19" s="397"/>
      <c r="D19" s="401">
        <f>Model!I36/AVERAGE(Model!H54:I54)</f>
        <v>0.12778122069150646</v>
      </c>
      <c r="E19" s="401">
        <f>Model!J36/AVERAGE(Model!I54:J54)</f>
        <v>5.9702708433750369E-2</v>
      </c>
      <c r="F19" s="401">
        <f>Model!K36/AVERAGE(Model!J54:K54)</f>
        <v>0.10901975246194281</v>
      </c>
      <c r="G19" s="401">
        <f>Model!L36/AVERAGE(Model!K54:L54)</f>
        <v>4.6470180031155918E-2</v>
      </c>
      <c r="H19" s="402">
        <f>Model!M36/AVERAGE(Model!L54:M54)</f>
        <v>5.6800844478434302E-2</v>
      </c>
      <c r="I19" s="402">
        <f>Model!N36/AVERAGE(Model!M54:N54)</f>
        <v>7.8123001165658568E-2</v>
      </c>
      <c r="J19" s="402">
        <f>Model!O36/AVERAGE(Model!N54:O54)</f>
        <v>9.3113023243828585E-2</v>
      </c>
      <c r="K19" s="402">
        <f>Model!P36/AVERAGE(Model!O54:P54)</f>
        <v>0.10073114343586072</v>
      </c>
      <c r="L19" s="402">
        <f>Model!Q36/AVERAGE(Model!P54:Q54)</f>
        <v>0.1087781928136087</v>
      </c>
      <c r="M19" s="402">
        <f>Model!R36/AVERAGE(Model!Q54:R54)</f>
        <v>0.11385559247902878</v>
      </c>
      <c r="N19" s="402">
        <f>Model!S36/AVERAGE(Model!R54:S54)</f>
        <v>0.11501731558887583</v>
      </c>
      <c r="O19" s="402">
        <f>Model!T36/AVERAGE(Model!S54:T54)</f>
        <v>0.11741815388347028</v>
      </c>
      <c r="P19" s="402">
        <f>Model!U36/AVERAGE(Model!T54:U54)</f>
        <v>0.1184827823134998</v>
      </c>
      <c r="Q19" s="402">
        <f>Model!V36/AVERAGE(Model!U54:V54)</f>
        <v>0.11728445900315339</v>
      </c>
      <c r="R19" s="399"/>
      <c r="T19" s="400" t="s">
        <v>544</v>
      </c>
    </row>
    <row r="20" spans="2:20" ht="48" customHeight="1">
      <c r="B20" s="396" t="s">
        <v>508</v>
      </c>
      <c r="C20" s="397"/>
      <c r="D20" s="401">
        <f>Model!I36/AVERAGE(Model!H68:I68)</f>
        <v>0.17547909320449503</v>
      </c>
      <c r="E20" s="401">
        <f>Model!J36/AVERAGE(Model!I68:J68)</f>
        <v>8.2627358098217848E-2</v>
      </c>
      <c r="F20" s="401">
        <f>Model!K36/AVERAGE(Model!J68:K68)</f>
        <v>0.15013317774790086</v>
      </c>
      <c r="G20" s="401">
        <f>Model!L36/AVERAGE(Model!K68:L68)</f>
        <v>6.1976874744817015E-2</v>
      </c>
      <c r="H20" s="402">
        <f>Model!M36/AVERAGE(Model!L68:M68)</f>
        <v>7.4518271696156574E-2</v>
      </c>
      <c r="I20" s="402">
        <f>Model!N36/AVERAGE(Model!M68:N68)</f>
        <v>0.10118356308220905</v>
      </c>
      <c r="J20" s="402">
        <f>Model!O36/AVERAGE(Model!N68:O68)</f>
        <v>0.11892246878491831</v>
      </c>
      <c r="K20" s="402">
        <f>Model!P36/AVERAGE(Model!O68:P68)</f>
        <v>0.12673859554801306</v>
      </c>
      <c r="L20" s="402">
        <f>Model!Q36/AVERAGE(Model!P68:Q68)</f>
        <v>0.13481327369255236</v>
      </c>
      <c r="M20" s="402">
        <f>Model!R36/AVERAGE(Model!Q68:R68)</f>
        <v>0.13902832587105904</v>
      </c>
      <c r="N20" s="402">
        <f>Model!S36/AVERAGE(Model!R68:S68)</f>
        <v>0.13849658013540952</v>
      </c>
      <c r="O20" s="402">
        <f>Model!T36/AVERAGE(Model!S68:T68)</f>
        <v>0.1395591782668637</v>
      </c>
      <c r="P20" s="402">
        <f>Model!U36/AVERAGE(Model!T68:U68)</f>
        <v>0.13913023901214794</v>
      </c>
      <c r="Q20" s="402">
        <f>Model!V36/AVERAGE(Model!U68:V68)</f>
        <v>0.13620727521817397</v>
      </c>
      <c r="R20" s="399"/>
      <c r="T20" s="400" t="s">
        <v>545</v>
      </c>
    </row>
    <row r="21" spans="2:20">
      <c r="B21" s="396" t="s">
        <v>509</v>
      </c>
      <c r="C21" s="409">
        <f>1-Model!H15</f>
        <v>0.76216012889137441</v>
      </c>
      <c r="D21" s="409">
        <f>1-Model!I15</f>
        <v>0.80800672241010851</v>
      </c>
      <c r="E21" s="409">
        <f>1-Model!J15</f>
        <v>0.84890036386986312</v>
      </c>
      <c r="F21" s="409">
        <f>1-Model!K15</f>
        <v>0.80973236009732363</v>
      </c>
      <c r="G21" s="409">
        <f>1-Model!L15</f>
        <v>0.8568748999245146</v>
      </c>
      <c r="H21" s="410">
        <f>1-Model!M15</f>
        <v>0.85187489992451471</v>
      </c>
      <c r="I21" s="410">
        <f>1-Model!N15</f>
        <v>0.85187489992451471</v>
      </c>
      <c r="J21" s="410">
        <f>1-Model!O15</f>
        <v>0.84687489992451459</v>
      </c>
      <c r="K21" s="410">
        <f>1-Model!P15</f>
        <v>0.84687489992451459</v>
      </c>
      <c r="L21" s="410">
        <f>1-Model!Q15</f>
        <v>0.8418748999245147</v>
      </c>
      <c r="M21" s="410">
        <f>1-Model!R15</f>
        <v>0.8418748999245147</v>
      </c>
      <c r="N21" s="410">
        <f>1-Model!S15</f>
        <v>0.83687489992451458</v>
      </c>
      <c r="O21" s="410">
        <f>1-Model!T15</f>
        <v>0.83687489992451458</v>
      </c>
      <c r="P21" s="410">
        <f>1-Model!U15</f>
        <v>0.83187489992451469</v>
      </c>
      <c r="Q21" s="410">
        <f>1-Model!V15</f>
        <v>0.83187489992451469</v>
      </c>
      <c r="R21" s="399"/>
      <c r="T21" s="408"/>
    </row>
    <row r="22" spans="2:20" ht="48">
      <c r="B22" s="396" t="s">
        <v>510</v>
      </c>
      <c r="C22" s="403"/>
      <c r="D22" s="401">
        <f>Model!I38/AVERAGE(Model!H68:I68)</f>
        <v>0.14178828695166198</v>
      </c>
      <c r="E22" s="401">
        <f>Model!J38/AVERAGE(Model!I68:J68)</f>
        <v>7.0142394355182602E-2</v>
      </c>
      <c r="F22" s="401">
        <f>Model!K38/AVERAGE(Model!J68:K68)</f>
        <v>0.12156769234671874</v>
      </c>
      <c r="G22" s="401">
        <f>Model!L38/AVERAGE(Model!K68:L68)</f>
        <v>5.3106428344599256E-2</v>
      </c>
      <c r="H22" s="402">
        <f>Model!M38/AVERAGE(Model!L68:M68)</f>
        <v>6.3480245243711181E-2</v>
      </c>
      <c r="I22" s="402">
        <f>Model!N38/AVERAGE(Model!M68:N68)</f>
        <v>8.6195737674662654E-2</v>
      </c>
      <c r="J22" s="402">
        <f>Model!O38/AVERAGE(Model!N68:O68)</f>
        <v>0.1007124538510039</v>
      </c>
      <c r="K22" s="402">
        <f>Model!P38/AVERAGE(Model!O68:P68)</f>
        <v>0.10733173542129708</v>
      </c>
      <c r="L22" s="402">
        <f>Model!Q38/AVERAGE(Model!P68:Q68)</f>
        <v>0.11349591129841372</v>
      </c>
      <c r="M22" s="402">
        <f>Model!R38/AVERAGE(Model!Q68:R68)</f>
        <v>0.11704445792937064</v>
      </c>
      <c r="N22" s="402">
        <f>Model!S38/AVERAGE(Model!R68:S68)</f>
        <v>0.11590431164070837</v>
      </c>
      <c r="O22" s="402">
        <f>Model!T38/AVERAGE(Model!S68:T68)</f>
        <v>0.11679357334562905</v>
      </c>
      <c r="P22" s="402">
        <f>Model!U38/AVERAGE(Model!T68:U68)</f>
        <v>0.11573895365470437</v>
      </c>
      <c r="Q22" s="402">
        <f>Model!V38/AVERAGE(Model!U68:V68)</f>
        <v>0.1133074134411093</v>
      </c>
      <c r="R22" s="399"/>
      <c r="T22" s="400" t="s">
        <v>546</v>
      </c>
    </row>
    <row r="23" spans="2:20" ht="48">
      <c r="B23" s="396" t="s">
        <v>511</v>
      </c>
      <c r="C23" s="411">
        <f>1-Model!H16</f>
        <v>0.99513886765752824</v>
      </c>
      <c r="D23" s="411">
        <f>1-Model!I16</f>
        <v>0.83551812240810408</v>
      </c>
      <c r="E23" s="411">
        <f>1-Model!J16</f>
        <v>0.74429928928250644</v>
      </c>
      <c r="F23" s="411">
        <f>1-Model!K16</f>
        <v>0.8418177417200855</v>
      </c>
      <c r="G23" s="411">
        <f>1-Model!L16</f>
        <v>0.66197722014593385</v>
      </c>
      <c r="H23" s="410">
        <f>1-Model!M16</f>
        <v>0.8157502482428316</v>
      </c>
      <c r="I23" s="410">
        <f>1-Model!N16</f>
        <v>0.8157502482428316</v>
      </c>
      <c r="J23" s="410">
        <f>1-Model!O16</f>
        <v>0.8157502482428316</v>
      </c>
      <c r="K23" s="410">
        <f>1-Model!P16</f>
        <v>0.8157502482428316</v>
      </c>
      <c r="L23" s="410">
        <f>1-Model!Q16</f>
        <v>0.8157502482428316</v>
      </c>
      <c r="M23" s="410">
        <f>1-Model!R16</f>
        <v>0.8157502482428316</v>
      </c>
      <c r="N23" s="410">
        <f>1-Model!S16</f>
        <v>0.8157502482428316</v>
      </c>
      <c r="O23" s="410">
        <f>1-Model!T16</f>
        <v>0.8157502482428316</v>
      </c>
      <c r="P23" s="410">
        <f>1-Model!U16</f>
        <v>0.8157502482428316</v>
      </c>
      <c r="Q23" s="410">
        <f>1-Model!V16</f>
        <v>0.8157502482428316</v>
      </c>
      <c r="R23" s="399"/>
      <c r="T23" s="400" t="s">
        <v>535</v>
      </c>
    </row>
    <row r="24" spans="2:20" ht="48">
      <c r="B24" s="396" t="s">
        <v>512</v>
      </c>
      <c r="C24" s="403"/>
      <c r="D24" s="401">
        <f t="shared" ref="D24:Q24" si="0">D23*D22</f>
        <v>0.1184666832933141</v>
      </c>
      <c r="E24" s="401">
        <f t="shared" si="0"/>
        <v>5.2206934267135699E-2</v>
      </c>
      <c r="F24" s="401">
        <f t="shared" si="0"/>
        <v>0.10233784023743689</v>
      </c>
      <c r="G24" s="401">
        <f t="shared" si="0"/>
        <v>3.5155245807437042E-2</v>
      </c>
      <c r="H24" s="402">
        <f t="shared" si="0"/>
        <v>5.1784025816073227E-2</v>
      </c>
      <c r="I24" s="402">
        <f t="shared" si="0"/>
        <v>7.0314194405580052E-2</v>
      </c>
      <c r="J24" s="402">
        <f t="shared" si="0"/>
        <v>8.2156209230101154E-2</v>
      </c>
      <c r="K24" s="402">
        <f t="shared" si="0"/>
        <v>8.7555889814257007E-2</v>
      </c>
      <c r="L24" s="402">
        <f t="shared" si="0"/>
        <v>9.2584317816227391E-2</v>
      </c>
      <c r="M24" s="402">
        <f t="shared" si="0"/>
        <v>9.5479045611331761E-2</v>
      </c>
      <c r="N24" s="402">
        <f t="shared" si="0"/>
        <v>9.4548970993322365E-2</v>
      </c>
      <c r="O24" s="402">
        <f t="shared" si="0"/>
        <v>9.527438644986426E-2</v>
      </c>
      <c r="P24" s="402">
        <f t="shared" si="0"/>
        <v>9.4414080175190665E-2</v>
      </c>
      <c r="Q24" s="402">
        <f t="shared" si="0"/>
        <v>9.2430550642338058E-2</v>
      </c>
      <c r="R24" s="399"/>
      <c r="T24" s="400" t="s">
        <v>547</v>
      </c>
    </row>
    <row r="25" spans="2:20">
      <c r="B25" s="396"/>
      <c r="C25" s="403"/>
      <c r="D25" s="403"/>
      <c r="E25" s="403"/>
      <c r="F25" s="403"/>
      <c r="G25" s="403"/>
      <c r="H25" s="404"/>
      <c r="I25" s="404"/>
      <c r="J25" s="404"/>
      <c r="K25" s="404"/>
      <c r="L25" s="404"/>
      <c r="M25" s="404"/>
      <c r="N25" s="404"/>
      <c r="O25" s="404"/>
      <c r="P25" s="404"/>
      <c r="Q25" s="404"/>
      <c r="R25" s="404"/>
      <c r="T25" s="405"/>
    </row>
    <row r="26" spans="2:20">
      <c r="B26" s="392" t="s">
        <v>513</v>
      </c>
      <c r="C26" s="393"/>
      <c r="D26" s="393"/>
      <c r="E26" s="393"/>
      <c r="F26" s="393"/>
      <c r="G26" s="393"/>
      <c r="H26" s="406"/>
      <c r="I26" s="406"/>
      <c r="J26" s="406"/>
      <c r="K26" s="406"/>
      <c r="L26" s="406"/>
      <c r="M26" s="406"/>
      <c r="N26" s="406"/>
      <c r="O26" s="406"/>
      <c r="P26" s="406"/>
      <c r="Q26" s="406"/>
      <c r="R26" s="406"/>
      <c r="T26" s="407"/>
    </row>
    <row r="27" spans="2:20" ht="59" customHeight="1">
      <c r="B27" s="420" t="s">
        <v>514</v>
      </c>
      <c r="C27" s="411">
        <f>(Model!H45+Model!H46+Model!H47)/(Model!H58+Model!H59)</f>
        <v>0.38244655784870019</v>
      </c>
      <c r="D27" s="411">
        <f>(Model!I45+Model!I46+Model!I47)/(Model!I58+Model!I59)</f>
        <v>0.27336680868330299</v>
      </c>
      <c r="E27" s="411">
        <f>(Model!J45+Model!J46+Model!J47)/(Model!J58+Model!J59)</f>
        <v>0.29041595605567527</v>
      </c>
      <c r="F27" s="411">
        <f>(Model!K45+Model!K46+Model!K47)/(Model!K58+Model!K59)</f>
        <v>0.32069397279149087</v>
      </c>
      <c r="G27" s="411">
        <f>(Model!L45+Model!L46+Model!L47)/(Model!L58+Model!L59)</f>
        <v>0.30156024835880374</v>
      </c>
      <c r="H27" s="410">
        <f>(Model!M45+Model!M46+Model!M47)/(Model!M58+Model!M59)</f>
        <v>0.60898749582495515</v>
      </c>
      <c r="I27" s="410">
        <f>(Model!N45+Model!N46+Model!N47)/(Model!N58+Model!N59)</f>
        <v>1.0236217329109079</v>
      </c>
      <c r="J27" s="410">
        <f>(Model!O45+Model!O46+Model!O47)/(Model!O58+Model!O59)</f>
        <v>1.4511936045563563</v>
      </c>
      <c r="K27" s="410">
        <f>(Model!P45+Model!P46+Model!P47)/(Model!P58+Model!P59)</f>
        <v>1.9028417923708385</v>
      </c>
      <c r="L27" s="410">
        <f>(Model!Q45+Model!Q46+Model!Q47)/(Model!Q58+Model!Q59)</f>
        <v>2.3717935946758359</v>
      </c>
      <c r="M27" s="410">
        <f>(Model!R45+Model!R46+Model!R47)/(Model!R58+Model!R59)</f>
        <v>2.8630061086125158</v>
      </c>
      <c r="N27" s="410">
        <f>(Model!S45+Model!S46+Model!S47)/(Model!S58+Model!S59)</f>
        <v>3.3788802738976655</v>
      </c>
      <c r="O27" s="410">
        <f>(Model!T45+Model!T46+Model!T47)/(Model!T58+Model!T59)</f>
        <v>3.9174863427245521</v>
      </c>
      <c r="P27" s="410">
        <f>(Model!U45+Model!U46+Model!U47)/(Model!U58+Model!U59)</f>
        <v>4.4757351562757881</v>
      </c>
      <c r="Q27" s="410">
        <f>(Model!V45+Model!V46+Model!V47)/(Model!V58+Model!V59)</f>
        <v>5.0614295939921519</v>
      </c>
      <c r="R27" s="410"/>
      <c r="T27" s="400" t="s">
        <v>556</v>
      </c>
    </row>
    <row r="28" spans="2:20" ht="49" customHeight="1">
      <c r="B28" s="396" t="s">
        <v>515</v>
      </c>
      <c r="C28" s="413">
        <f>SUM(Model!H45:H49)/SUM(Model!H58:H59)</f>
        <v>2.2562770586630432</v>
      </c>
      <c r="D28" s="413">
        <f>SUM(Model!I45:I49)/SUM(Model!I58:I59)</f>
        <v>2.1480853114221961</v>
      </c>
      <c r="E28" s="413">
        <f>SUM(Model!J45:J49)/SUM(Model!J58:J59)</f>
        <v>1.8975810308126571</v>
      </c>
      <c r="F28" s="413">
        <f>SUM(Model!K45:K49)/SUM(Model!K58:K59)</f>
        <v>2.2925074291206511</v>
      </c>
      <c r="G28" s="413">
        <f>SUM(Model!L45:L49)/SUM(Model!L58:L59)</f>
        <v>2.1530982582860396</v>
      </c>
      <c r="H28" s="410">
        <f>SUM(Model!M45:M49)/SUM(Model!M58:M59)</f>
        <v>2.584406430585624</v>
      </c>
      <c r="I28" s="410">
        <f>SUM(Model!N45:N49)/SUM(Model!N58:N59)</f>
        <v>3.0044677979316621</v>
      </c>
      <c r="J28" s="410">
        <f>SUM(Model!O45:O49)/SUM(Model!O58:O59)</f>
        <v>3.4375369528394528</v>
      </c>
      <c r="K28" s="410">
        <f>SUM(Model!P45:P49)/SUM(Model!P58:P59)</f>
        <v>3.8947409580008547</v>
      </c>
      <c r="L28" s="410">
        <f>SUM(Model!Q45:Q49)/SUM(Model!Q58:Q59)</f>
        <v>4.3692954271980691</v>
      </c>
      <c r="M28" s="410">
        <f>SUM(Model!R45:R49)/SUM(Model!R58:R59)</f>
        <v>4.8661458060947558</v>
      </c>
      <c r="N28" s="410">
        <f>SUM(Model!S45:S49)/SUM(Model!S58:S59)</f>
        <v>5.3876815100038655</v>
      </c>
      <c r="O28" s="410">
        <f>SUM(Model!T45:T49)/SUM(Model!T58:T59)</f>
        <v>5.931961481777603</v>
      </c>
      <c r="P28" s="410">
        <f>SUM(Model!U45:U49)/SUM(Model!U58:U59)</f>
        <v>6.4958855491589196</v>
      </c>
      <c r="Q28" s="410">
        <f>SUM(Model!V45:V49)/SUM(Model!V58:V59)</f>
        <v>7.0872459468492828</v>
      </c>
      <c r="R28" s="410"/>
      <c r="T28" s="400" t="s">
        <v>557</v>
      </c>
    </row>
    <row r="29" spans="2:20" ht="54" customHeight="1">
      <c r="B29" s="396" t="s">
        <v>516</v>
      </c>
      <c r="C29" s="411">
        <f>C38+C40-C42</f>
        <v>89.249496963140871</v>
      </c>
      <c r="D29" s="411">
        <f t="shared" ref="D29:Q29" si="1">D38+D40-D42</f>
        <v>126.02072110742071</v>
      </c>
      <c r="E29" s="411">
        <f t="shared" si="1"/>
        <v>91.804888160354679</v>
      </c>
      <c r="F29" s="411">
        <f t="shared" si="1"/>
        <v>116.86069043530443</v>
      </c>
      <c r="G29" s="411">
        <f t="shared" si="1"/>
        <v>75.970244885850306</v>
      </c>
      <c r="H29" s="410">
        <f t="shared" si="1"/>
        <v>99.981208310414161</v>
      </c>
      <c r="I29" s="410">
        <f t="shared" si="1"/>
        <v>99.981208310414161</v>
      </c>
      <c r="J29" s="410">
        <f t="shared" si="1"/>
        <v>99.981208310414161</v>
      </c>
      <c r="K29" s="410">
        <f t="shared" si="1"/>
        <v>99.981208310414161</v>
      </c>
      <c r="L29" s="410">
        <f t="shared" si="1"/>
        <v>99.981208310414161</v>
      </c>
      <c r="M29" s="410">
        <f t="shared" si="1"/>
        <v>99.981208310414161</v>
      </c>
      <c r="N29" s="410">
        <f t="shared" si="1"/>
        <v>99.981208310414161</v>
      </c>
      <c r="O29" s="410">
        <f t="shared" si="1"/>
        <v>99.981208310414161</v>
      </c>
      <c r="P29" s="410">
        <f t="shared" si="1"/>
        <v>99.981208310414161</v>
      </c>
      <c r="Q29" s="410">
        <f t="shared" si="1"/>
        <v>99.981208310414161</v>
      </c>
      <c r="R29" s="399"/>
      <c r="T29" s="400" t="s">
        <v>563</v>
      </c>
    </row>
    <row r="30" spans="2:20">
      <c r="B30" s="396"/>
      <c r="C30" s="403"/>
      <c r="D30" s="403"/>
      <c r="E30" s="403"/>
      <c r="F30" s="403"/>
      <c r="G30" s="403"/>
      <c r="H30" s="410"/>
      <c r="I30" s="410"/>
      <c r="J30" s="410"/>
      <c r="K30" s="410"/>
      <c r="L30" s="410"/>
      <c r="M30" s="410"/>
      <c r="N30" s="410"/>
      <c r="O30" s="410"/>
      <c r="P30" s="410"/>
      <c r="Q30" s="410"/>
      <c r="R30" s="410"/>
      <c r="T30" s="405"/>
    </row>
    <row r="31" spans="2:20">
      <c r="B31" s="392" t="s">
        <v>517</v>
      </c>
      <c r="C31" s="393"/>
      <c r="D31" s="393"/>
      <c r="E31" s="393"/>
      <c r="F31" s="393"/>
      <c r="G31" s="393"/>
      <c r="H31" s="410"/>
      <c r="I31" s="410"/>
      <c r="J31" s="410"/>
      <c r="K31" s="410"/>
      <c r="L31" s="410"/>
      <c r="M31" s="410"/>
      <c r="N31" s="410"/>
      <c r="O31" s="410"/>
      <c r="P31" s="410"/>
      <c r="Q31" s="410"/>
      <c r="R31" s="410"/>
      <c r="T31" s="407"/>
    </row>
    <row r="32" spans="2:20" ht="51" customHeight="1">
      <c r="B32" s="396" t="s">
        <v>518</v>
      </c>
      <c r="C32" s="413">
        <f>Model!H54/Model!H68</f>
        <v>1.3925670790241429</v>
      </c>
      <c r="D32" s="413">
        <f>Model!I54/Model!I68</f>
        <v>1.3562596762983727</v>
      </c>
      <c r="E32" s="413">
        <f>Model!J54/Model!J68</f>
        <v>1.4099692883638448</v>
      </c>
      <c r="F32" s="413">
        <f>Model!K54/Model!K68</f>
        <v>1.3475422338175207</v>
      </c>
      <c r="G32" s="413">
        <f>Model!L54/Model!L68</f>
        <v>1.3203760035442653</v>
      </c>
      <c r="H32" s="410">
        <f>Model!M54/Model!M68</f>
        <v>1.303894530956929</v>
      </c>
      <c r="I32" s="410">
        <f>Model!N54/Model!N68</f>
        <v>1.2870627163954287</v>
      </c>
      <c r="J32" s="410">
        <f>Model!O54/Model!O68</f>
        <v>1.2680849675325874</v>
      </c>
      <c r="K32" s="410">
        <f>Model!P54/Model!P68</f>
        <v>1.2491189368013373</v>
      </c>
      <c r="L32" s="410">
        <f>Model!Q54/Model!Q68</f>
        <v>1.230428283463445</v>
      </c>
      <c r="M32" s="410">
        <f>Model!R54/Model!R68</f>
        <v>1.2126094151698514</v>
      </c>
      <c r="N32" s="410">
        <f>Model!S54/Model!S68</f>
        <v>1.1964290642965283</v>
      </c>
      <c r="O32" s="410">
        <f>Model!T54/Model!T68</f>
        <v>1.1814172519722794</v>
      </c>
      <c r="P32" s="410">
        <f>Model!U54/Model!U68</f>
        <v>1.1677584614090031</v>
      </c>
      <c r="Q32" s="410">
        <f>Model!V54/Model!V68</f>
        <v>1.1554909018656294</v>
      </c>
      <c r="R32" s="399"/>
      <c r="T32" s="400" t="s">
        <v>558</v>
      </c>
    </row>
    <row r="33" spans="2:20" ht="46" customHeight="1">
      <c r="B33" s="396" t="s">
        <v>519</v>
      </c>
      <c r="C33" s="411">
        <f>Model!H61/Model!H68</f>
        <v>0.14434216241373796</v>
      </c>
      <c r="D33" s="411">
        <f>Model!I61/Model!I68</f>
        <v>0.12159627013855057</v>
      </c>
      <c r="E33" s="411">
        <f>Model!J61/Model!J68</f>
        <v>0.14588401966915385</v>
      </c>
      <c r="F33" s="411">
        <f>Model!K61/Model!K68</f>
        <v>7.9808465467671688E-2</v>
      </c>
      <c r="G33" s="411">
        <f>Model!L61/Model!L68</f>
        <v>4.8480155265514045E-2</v>
      </c>
      <c r="H33" s="410">
        <f>Model!M61/Model!M68</f>
        <v>4.6033018939030459E-2</v>
      </c>
      <c r="I33" s="410">
        <f>Model!N61/Model!N68</f>
        <v>4.2906175050792458E-2</v>
      </c>
      <c r="J33" s="410">
        <f>Model!O61/Model!O68</f>
        <v>3.9520253591960451E-2</v>
      </c>
      <c r="K33" s="410">
        <f>Model!P61/Model!P68</f>
        <v>3.6205151001593813E-2</v>
      </c>
      <c r="L33" s="410">
        <f>Model!Q61/Model!Q68</f>
        <v>3.3001429002554684E-2</v>
      </c>
      <c r="M33" s="410">
        <f>Model!R61/Model!R68</f>
        <v>2.9994054672972881E-2</v>
      </c>
      <c r="N33" s="410">
        <f>Model!S61/Model!S68</f>
        <v>2.728616190510684E-2</v>
      </c>
      <c r="O33" s="410">
        <f>Model!T61/Model!T68</f>
        <v>2.4804699476230898E-2</v>
      </c>
      <c r="P33" s="410">
        <f>Model!U61/Model!U68</f>
        <v>2.2568357668526395E-2</v>
      </c>
      <c r="Q33" s="410">
        <f>Model!V61/Model!V68</f>
        <v>2.0574498684050414E-2</v>
      </c>
      <c r="R33" s="399"/>
      <c r="T33" s="408" t="s">
        <v>536</v>
      </c>
    </row>
    <row r="34" spans="2:20" ht="48" customHeight="1">
      <c r="B34" s="396" t="s">
        <v>520</v>
      </c>
      <c r="C34" s="419">
        <f>Model!H61/(Model!H61+Model!H68)</f>
        <v>0.12613549264782825</v>
      </c>
      <c r="D34" s="419">
        <f>Model!I61/(Model!I61+Model!I68)</f>
        <v>0.10841358283362497</v>
      </c>
      <c r="E34" s="419">
        <f>Model!J61/(Model!J61+Model!J68)</f>
        <v>0.12731133095937083</v>
      </c>
      <c r="F34" s="419">
        <f>Model!K61/(Model!K61+Model!K68)</f>
        <v>7.3909834956800563E-2</v>
      </c>
      <c r="G34" s="419">
        <f>Model!L61/(Model!L61+Model!L68)</f>
        <v>4.6238505347044045E-2</v>
      </c>
      <c r="H34" s="402">
        <f>Model!M61/(Model!M61+Model!M68)</f>
        <v>4.4007233142335019E-2</v>
      </c>
      <c r="I34" s="402">
        <f>Model!N61/(Model!N61+Model!N68)</f>
        <v>4.1140973250736387E-2</v>
      </c>
      <c r="J34" s="402">
        <f>Model!O61/(Model!O61+Model!O68)</f>
        <v>3.8017781236490661E-2</v>
      </c>
      <c r="K34" s="402">
        <f>Model!P61/(Model!P61+Model!P68)</f>
        <v>3.4940138028263984E-2</v>
      </c>
      <c r="L34" s="402">
        <f>Model!Q61/(Model!Q61+Model!Q68)</f>
        <v>3.1947128122000949E-2</v>
      </c>
      <c r="M34" s="402">
        <f>Model!R61/(Model!R61+Model!R68)</f>
        <v>2.9120609518951169E-2</v>
      </c>
      <c r="N34" s="402">
        <f>Model!S61/(Model!S61+Model!S68)</f>
        <v>2.6561403158107892E-2</v>
      </c>
      <c r="O34" s="402">
        <f>Model!T61/(Model!T61+Model!T68)</f>
        <v>2.4204318626669427E-2</v>
      </c>
      <c r="P34" s="402">
        <f>Model!U61/(Model!U61+Model!U68)</f>
        <v>2.2070267967202354E-2</v>
      </c>
      <c r="Q34" s="402">
        <f>Model!V61/(Model!V61+Model!V68)</f>
        <v>2.0159722500003276E-2</v>
      </c>
      <c r="R34" s="399"/>
      <c r="T34" s="400" t="s">
        <v>548</v>
      </c>
    </row>
    <row r="35" spans="2:20">
      <c r="B35" s="396"/>
      <c r="C35" s="403"/>
      <c r="D35" s="403"/>
      <c r="E35" s="403"/>
      <c r="F35" s="403"/>
      <c r="G35" s="403"/>
      <c r="H35" s="404"/>
      <c r="I35" s="404"/>
      <c r="J35" s="404"/>
      <c r="K35" s="404"/>
      <c r="L35" s="404"/>
      <c r="M35" s="404"/>
      <c r="N35" s="404"/>
      <c r="O35" s="404"/>
      <c r="P35" s="404"/>
      <c r="Q35" s="404"/>
      <c r="R35" s="399"/>
      <c r="T35" s="407"/>
    </row>
    <row r="36" spans="2:20">
      <c r="B36" s="392" t="s">
        <v>521</v>
      </c>
      <c r="C36" s="393"/>
      <c r="D36" s="393"/>
      <c r="E36" s="393"/>
      <c r="F36" s="393"/>
      <c r="G36" s="393"/>
      <c r="H36" s="406"/>
      <c r="I36" s="406"/>
      <c r="J36" s="406"/>
      <c r="K36" s="406"/>
      <c r="L36" s="406"/>
      <c r="M36" s="406"/>
      <c r="N36" s="406"/>
      <c r="O36" s="406"/>
      <c r="P36" s="406"/>
      <c r="Q36" s="406"/>
      <c r="R36" s="399"/>
      <c r="T36" s="405"/>
    </row>
    <row r="37" spans="2:20" ht="44" customHeight="1">
      <c r="B37" s="396" t="s">
        <v>522</v>
      </c>
      <c r="C37" s="403"/>
      <c r="D37" s="413">
        <f>Model!I25/AVERAGE(Model!H47:I47)</f>
        <v>20.452892922355765</v>
      </c>
      <c r="E37" s="413">
        <f>Model!J25/AVERAGE(Model!I47:J47)</f>
        <v>17.853579750582544</v>
      </c>
      <c r="F37" s="413">
        <f>Model!K25/AVERAGE(Model!J47:K47)</f>
        <v>16.335454945758777</v>
      </c>
      <c r="G37" s="413">
        <f>Model!L25/AVERAGE(Model!K47:L47)</f>
        <v>14.347397125733357</v>
      </c>
      <c r="H37" s="414">
        <f>Model!M25/AVERAGE(Model!L47:M47)</f>
        <v>15.483694315188735</v>
      </c>
      <c r="I37" s="414">
        <f>Model!N25/AVERAGE(Model!M47:N47)</f>
        <v>16.869512601931365</v>
      </c>
      <c r="J37" s="414">
        <f>Model!O25/AVERAGE(Model!N47:O47)</f>
        <v>16.859032699797272</v>
      </c>
      <c r="K37" s="414">
        <f>Model!P25/AVERAGE(Model!O47:P47)</f>
        <v>16.848748887166479</v>
      </c>
      <c r="L37" s="414">
        <f>Model!Q25/AVERAGE(Model!P47:Q47)</f>
        <v>16.838657751829718</v>
      </c>
      <c r="M37" s="414">
        <f>Model!R25/AVERAGE(Model!Q47:R47)</f>
        <v>16.828755931072109</v>
      </c>
      <c r="N37" s="414">
        <f>Model!S25/AVERAGE(Model!R47:S47)</f>
        <v>16.81904011134629</v>
      </c>
      <c r="O37" s="414">
        <f>Model!T25/AVERAGE(Model!S47:T47)</f>
        <v>16.809507027930167</v>
      </c>
      <c r="P37" s="414">
        <f>Model!U25/AVERAGE(Model!T47:U47)</f>
        <v>16.800153464570215</v>
      </c>
      <c r="Q37" s="414">
        <f>Model!V25/AVERAGE(Model!U47:V47)</f>
        <v>16.790976253111282</v>
      </c>
      <c r="R37" s="399"/>
      <c r="T37" s="400" t="s">
        <v>537</v>
      </c>
    </row>
    <row r="38" spans="2:20" ht="52" customHeight="1">
      <c r="B38" s="396" t="s">
        <v>523</v>
      </c>
      <c r="C38" s="411">
        <f>Model!H17</f>
        <v>18.288802096200744</v>
      </c>
      <c r="D38" s="411">
        <f>Model!I17</f>
        <v>19.169505968196269</v>
      </c>
      <c r="E38" s="411">
        <f>Model!J17</f>
        <v>24.771167124963515</v>
      </c>
      <c r="F38" s="411">
        <f>Model!K17</f>
        <v>23.014509552142247</v>
      </c>
      <c r="G38" s="411">
        <f>Model!L17</f>
        <v>26.527895542303696</v>
      </c>
      <c r="H38" s="412">
        <f>Model!M17</f>
        <v>22.354376056761293</v>
      </c>
      <c r="I38" s="412">
        <f>Model!N17</f>
        <v>22.354376056761293</v>
      </c>
      <c r="J38" s="412">
        <f>Model!O17</f>
        <v>22.354376056761293</v>
      </c>
      <c r="K38" s="412">
        <f>Model!P17</f>
        <v>22.354376056761293</v>
      </c>
      <c r="L38" s="412">
        <f>Model!Q17</f>
        <v>22.354376056761293</v>
      </c>
      <c r="M38" s="412">
        <f>Model!R17</f>
        <v>22.354376056761293</v>
      </c>
      <c r="N38" s="412">
        <f>Model!S17</f>
        <v>22.354376056761293</v>
      </c>
      <c r="O38" s="412">
        <f>Model!T17</f>
        <v>22.354376056761293</v>
      </c>
      <c r="P38" s="412">
        <f>Model!U17</f>
        <v>22.354376056761293</v>
      </c>
      <c r="Q38" s="412">
        <f>Model!V17</f>
        <v>22.354376056761293</v>
      </c>
      <c r="R38" s="399"/>
      <c r="T38" s="400" t="s">
        <v>538</v>
      </c>
    </row>
    <row r="39" spans="2:20" ht="40" customHeight="1">
      <c r="B39" s="396" t="s">
        <v>524</v>
      </c>
      <c r="C39" s="403"/>
      <c r="D39" s="413">
        <f>-Model!I26/AVERAGE(Model!H48:I48)</f>
        <v>2.6055536301789335</v>
      </c>
      <c r="E39" s="413">
        <f>-Model!J26/AVERAGE(Model!I48:J48)</f>
        <v>3.239397340536839</v>
      </c>
      <c r="F39" s="413">
        <f>-Model!K26/AVERAGE(Model!J48:K48)</f>
        <v>2.8835124114177124</v>
      </c>
      <c r="G39" s="413">
        <f>-Model!L26/AVERAGE(Model!K48:L48)</f>
        <v>2.6646362301228099</v>
      </c>
      <c r="H39" s="414">
        <f>-Model!M26/AVERAGE(Model!L48:M48)</f>
        <v>2.9919835091129778</v>
      </c>
      <c r="I39" s="414">
        <f>-Model!N26/AVERAGE(Model!M48:N48)</f>
        <v>2.7538249545882691</v>
      </c>
      <c r="J39" s="414">
        <f>-Model!O26/AVERAGE(Model!N48:O48)</f>
        <v>2.7521141869627006</v>
      </c>
      <c r="K39" s="414">
        <f>-Model!P26/AVERAGE(Model!O48:P48)</f>
        <v>2.7504354295190656</v>
      </c>
      <c r="L39" s="414">
        <f>-Model!Q26/AVERAGE(Model!P48:Q48)</f>
        <v>2.7487881252390762</v>
      </c>
      <c r="M39" s="414">
        <f>-Model!R26/AVERAGE(Model!Q48:R48)</f>
        <v>2.747171725184042</v>
      </c>
      <c r="N39" s="414">
        <f>-Model!S26/AVERAGE(Model!R48:S48)</f>
        <v>2.7455856884415106</v>
      </c>
      <c r="O39" s="414">
        <f>-Model!T26/AVERAGE(Model!S48:T48)</f>
        <v>2.7440294820694029</v>
      </c>
      <c r="P39" s="414">
        <f>-Model!U26/AVERAGE(Model!T48:U48)</f>
        <v>2.7425025810377743</v>
      </c>
      <c r="Q39" s="414">
        <f>-Model!V26/AVERAGE(Model!U48:V48)</f>
        <v>2.7410044681683927</v>
      </c>
      <c r="R39" s="399"/>
      <c r="T39" s="400" t="s">
        <v>559</v>
      </c>
    </row>
    <row r="40" spans="2:20" ht="45" customHeight="1">
      <c r="B40" s="396" t="s">
        <v>525</v>
      </c>
      <c r="C40" s="411">
        <f>Model!H18</f>
        <v>146.20076060895408</v>
      </c>
      <c r="D40" s="411">
        <f>Model!I18</f>
        <v>166.06580227613122</v>
      </c>
      <c r="E40" s="411">
        <f>Model!J18</f>
        <v>118.30529217419695</v>
      </c>
      <c r="F40" s="411">
        <f>Model!K18</f>
        <v>142.52564988307762</v>
      </c>
      <c r="G40" s="411">
        <f>Model!L18</f>
        <v>111.60002452394149</v>
      </c>
      <c r="H40" s="412">
        <f>Model!M18</f>
        <v>136.93950589326025</v>
      </c>
      <c r="I40" s="412">
        <f>Model!N18</f>
        <v>136.93950589326025</v>
      </c>
      <c r="J40" s="412">
        <f>Model!O18</f>
        <v>136.93950589326025</v>
      </c>
      <c r="K40" s="412">
        <f>Model!P18</f>
        <v>136.93950589326025</v>
      </c>
      <c r="L40" s="412">
        <f>Model!Q18</f>
        <v>136.93950589326025</v>
      </c>
      <c r="M40" s="412">
        <f>Model!R18</f>
        <v>136.93950589326025</v>
      </c>
      <c r="N40" s="412">
        <f>Model!S18</f>
        <v>136.93950589326025</v>
      </c>
      <c r="O40" s="412">
        <f>Model!T18</f>
        <v>136.93950589326025</v>
      </c>
      <c r="P40" s="412">
        <f>Model!U18</f>
        <v>136.93950589326025</v>
      </c>
      <c r="Q40" s="412">
        <f>Model!V18</f>
        <v>136.93950589326025</v>
      </c>
      <c r="R40" s="399"/>
      <c r="T40" s="400" t="s">
        <v>560</v>
      </c>
    </row>
    <row r="41" spans="2:20" ht="49" customHeight="1">
      <c r="B41" s="396" t="s">
        <v>526</v>
      </c>
      <c r="C41" s="411"/>
      <c r="D41" s="411">
        <f>-Model!I26/AVERAGE(Model!H58:I58)</f>
        <v>6.1897436475802721</v>
      </c>
      <c r="E41" s="411">
        <f>-Model!J26/AVERAGE(Model!I58:J58)</f>
        <v>8.1618025565935106</v>
      </c>
      <c r="F41" s="411">
        <f>-Model!K26/AVERAGE(Model!J58:K58)</f>
        <v>7.5547395891678386</v>
      </c>
      <c r="G41" s="411">
        <f>-Model!L26/AVERAGE(Model!K58:L58)</f>
        <v>6.2068994975264635</v>
      </c>
      <c r="H41" s="412">
        <f>-Model!M26/AVERAGE(Model!L58:M58)</f>
        <v>6.1378689133192115</v>
      </c>
      <c r="I41" s="412">
        <f>-Model!N26/AVERAGE(Model!M58:N58)</f>
        <v>6.3579570007113189</v>
      </c>
      <c r="J41" s="412">
        <f>-Model!O26/AVERAGE(Model!N58:O58)</f>
        <v>6.3540072264224881</v>
      </c>
      <c r="K41" s="412">
        <f>-Model!P26/AVERAGE(Model!O58:P58)</f>
        <v>6.3501313563809045</v>
      </c>
      <c r="L41" s="412">
        <f>-Model!Q26/AVERAGE(Model!P58:Q58)</f>
        <v>6.3463281045577231</v>
      </c>
      <c r="M41" s="412">
        <f>-Model!R26/AVERAGE(Model!Q58:R58)</f>
        <v>6.342596203578057</v>
      </c>
      <c r="N41" s="412">
        <f>-Model!S26/AVERAGE(Model!R58:S58)</f>
        <v>6.3389344045977856</v>
      </c>
      <c r="O41" s="412">
        <f>-Model!T26/AVERAGE(Model!S58:T58)</f>
        <v>6.3353414771745609</v>
      </c>
      <c r="P41" s="412">
        <f>-Model!U26/AVERAGE(Model!T58:U58)</f>
        <v>6.3318162091333736</v>
      </c>
      <c r="Q41" s="412">
        <f>-Model!V26/AVERAGE(Model!U58:V58)</f>
        <v>6.3283574064270258</v>
      </c>
      <c r="R41" s="399"/>
      <c r="T41" s="400" t="s">
        <v>561</v>
      </c>
    </row>
    <row r="42" spans="2:20" ht="48">
      <c r="B42" s="396" t="s">
        <v>527</v>
      </c>
      <c r="C42" s="411">
        <f>Model!H19</f>
        <v>75.240065742013968</v>
      </c>
      <c r="D42" s="411">
        <f>Model!I19</f>
        <v>59.214587136906779</v>
      </c>
      <c r="E42" s="411">
        <f>Model!J19</f>
        <v>51.271571138805783</v>
      </c>
      <c r="F42" s="411">
        <f>Model!K19</f>
        <v>48.679468999915429</v>
      </c>
      <c r="G42" s="411">
        <f>Model!L19</f>
        <v>62.157675180394861</v>
      </c>
      <c r="H42" s="412">
        <f>Model!M19</f>
        <v>59.312673639607361</v>
      </c>
      <c r="I42" s="412">
        <f>Model!N19</f>
        <v>59.312673639607361</v>
      </c>
      <c r="J42" s="412">
        <f>Model!O19</f>
        <v>59.312673639607361</v>
      </c>
      <c r="K42" s="412">
        <f>Model!P19</f>
        <v>59.312673639607361</v>
      </c>
      <c r="L42" s="412">
        <f>Model!Q19</f>
        <v>59.312673639607361</v>
      </c>
      <c r="M42" s="412">
        <f>Model!R19</f>
        <v>59.312673639607361</v>
      </c>
      <c r="N42" s="412">
        <f>Model!S19</f>
        <v>59.312673639607361</v>
      </c>
      <c r="O42" s="412">
        <f>Model!T19</f>
        <v>59.312673639607361</v>
      </c>
      <c r="P42" s="412">
        <f>Model!U19</f>
        <v>59.312673639607361</v>
      </c>
      <c r="Q42" s="412">
        <f>Model!V19</f>
        <v>59.312673639607361</v>
      </c>
      <c r="R42" s="399"/>
      <c r="T42" s="400" t="s">
        <v>562</v>
      </c>
    </row>
    <row r="43" spans="2:20" ht="48">
      <c r="B43" s="396" t="s">
        <v>528</v>
      </c>
      <c r="C43" s="403"/>
      <c r="D43" s="413">
        <f>Model!H25/AVERAGE(Model!H51:I51)</f>
        <v>1.8717653351738419</v>
      </c>
      <c r="E43" s="413">
        <f>Model!I25/AVERAGE(Model!I51:J51)</f>
        <v>1.7284095057248767</v>
      </c>
      <c r="F43" s="413">
        <f>Model!J25/AVERAGE(Model!J51:K51)</f>
        <v>1.7541003499391059</v>
      </c>
      <c r="G43" s="413">
        <f>Model!K25/AVERAGE(Model!K51:L51)</f>
        <v>1.7658740032567382</v>
      </c>
      <c r="H43" s="414">
        <f>Model!L25/AVERAGE(Model!L51:M51)</f>
        <v>1.6465064820826076</v>
      </c>
      <c r="I43" s="414">
        <f>Model!M25/AVERAGE(Model!M51:N51)</f>
        <v>1.9402459334762048</v>
      </c>
      <c r="J43" s="414">
        <f>Model!N25/AVERAGE(Model!N51:O51)</f>
        <v>2.231599461080727</v>
      </c>
      <c r="K43" s="414">
        <f>Model!O25/AVERAGE(Model!O51:P51)</f>
        <v>2.5280356340451431</v>
      </c>
      <c r="L43" s="414">
        <f>Model!P25/AVERAGE(Model!P51:Q51)</f>
        <v>2.8283650314551005</v>
      </c>
      <c r="M43" s="414">
        <f>Model!Q25/AVERAGE(Model!Q51:R51)</f>
        <v>3.1152356254748992</v>
      </c>
      <c r="N43" s="414">
        <f>Model!R25/AVERAGE(Model!R51:S51)</f>
        <v>3.4071371455159514</v>
      </c>
      <c r="O43" s="414">
        <f>Model!S25/AVERAGE(Model!S51:T51)</f>
        <v>3.7057206162165226</v>
      </c>
      <c r="P43" s="414">
        <f>Model!T25/AVERAGE(Model!T51:U51)</f>
        <v>3.9916109185673401</v>
      </c>
      <c r="Q43" s="414">
        <f>Model!U25/AVERAGE(Model!U51:V51)</f>
        <v>4.2900129944781877</v>
      </c>
      <c r="R43" s="399"/>
      <c r="T43" s="400" t="s">
        <v>549</v>
      </c>
    </row>
    <row r="44" spans="2:20" ht="48">
      <c r="B44" s="396" t="s">
        <v>529</v>
      </c>
      <c r="C44" s="401">
        <f>Model!H38/SUM(Model!H68,Model!H61)</f>
        <v>0.12951305120075576</v>
      </c>
      <c r="D44" s="401">
        <f>Model!I38/SUM(Model!I68,Model!I61)</f>
        <v>0.11897326804410839</v>
      </c>
      <c r="E44" s="401">
        <f>Model!J38/SUM(Model!J68,Model!J61)</f>
        <v>5.9301090617864177E-2</v>
      </c>
      <c r="F44" s="401">
        <f>Model!K38/SUM(Model!K68,Model!K61)</f>
        <v>0.10697338656645054</v>
      </c>
      <c r="G44" s="401">
        <f>Model!L38/SUM(Model!L68,Model!L61)</f>
        <v>4.9671486630732467E-2</v>
      </c>
      <c r="H44" s="402">
        <f>Model!M38/SUM(Model!M68,Model!M61)</f>
        <v>5.9155012932904733E-2</v>
      </c>
      <c r="I44" s="402">
        <f>Model!N38/SUM(Model!N68,Model!N61)</f>
        <v>7.9842529563868309E-2</v>
      </c>
      <c r="J44" s="402">
        <f>Model!O38/SUM(Model!O68,Model!O61)</f>
        <v>9.3060827408842681E-2</v>
      </c>
      <c r="K44" s="402">
        <f>Model!P38/SUM(Model!P68,Model!P61)</f>
        <v>9.9237151231510404E-2</v>
      </c>
      <c r="L44" s="402">
        <f>Model!Q38/SUM(Model!Q68,Model!Q61)</f>
        <v>0.10500895179554616</v>
      </c>
      <c r="M44" s="402">
        <f>Model!R38/SUM(Model!R68,Model!R61)</f>
        <v>0.10845830428287594</v>
      </c>
      <c r="N44" s="402">
        <f>Model!S38/SUM(Model!S68,Model!S61)</f>
        <v>0.10773272151087487</v>
      </c>
      <c r="O44" s="402">
        <f>Model!T38/SUM(Model!T68,Model!T61)</f>
        <v>0.10878447731700094</v>
      </c>
      <c r="P44" s="402">
        <f>Model!U38/SUM(Model!U68,Model!U61)</f>
        <v>0.10808231763208347</v>
      </c>
      <c r="Q44" s="402">
        <f>Model!V38/SUM(Model!V68,Model!V61)</f>
        <v>0.10611885531384667</v>
      </c>
      <c r="R44" s="399"/>
      <c r="T44" s="400" t="s">
        <v>550</v>
      </c>
    </row>
    <row r="46" spans="2:20">
      <c r="E46" s="415"/>
      <c r="F46" s="415"/>
      <c r="G46" s="415"/>
      <c r="H46" s="415"/>
      <c r="I46" s="415"/>
      <c r="J46" s="415"/>
      <c r="K46" s="415"/>
      <c r="L46" s="415"/>
      <c r="M46" s="415"/>
      <c r="N46" s="415"/>
      <c r="O46" s="415"/>
      <c r="P46" s="415"/>
      <c r="Q46" s="415"/>
      <c r="R46" s="415"/>
    </row>
    <row r="50" spans="2:13" ht="19">
      <c r="B50" s="416"/>
      <c r="D50" s="7"/>
      <c r="J50" s="417"/>
      <c r="K50"/>
    </row>
    <row r="51" spans="2:13" ht="16">
      <c r="B51" s="7"/>
      <c r="D51" s="8"/>
      <c r="J51" s="8"/>
      <c r="K51"/>
    </row>
    <row r="52" spans="2:13" ht="16">
      <c r="B52" s="7"/>
      <c r="D52" s="8"/>
      <c r="J52" s="418"/>
      <c r="L52" s="418"/>
    </row>
    <row r="53" spans="2:13" ht="16">
      <c r="B53" s="7"/>
      <c r="D53" s="8"/>
      <c r="J53" s="418"/>
      <c r="L53"/>
    </row>
    <row r="54" spans="2:13" ht="16">
      <c r="B54" s="7"/>
      <c r="D54" s="8"/>
      <c r="J54" s="418"/>
      <c r="L54"/>
    </row>
    <row r="55" spans="2:13" ht="16">
      <c r="B55" s="7"/>
      <c r="D55" s="8"/>
      <c r="J55" s="418"/>
      <c r="L55"/>
    </row>
    <row r="56" spans="2:13" ht="16">
      <c r="B56" s="7"/>
      <c r="D56" s="8"/>
    </row>
    <row r="57" spans="2:13" ht="16">
      <c r="B57" s="7"/>
      <c r="D57" s="8"/>
    </row>
    <row r="59" spans="2:13" ht="19">
      <c r="B59" s="417"/>
      <c r="C59"/>
      <c r="J59" s="417"/>
      <c r="K59"/>
    </row>
    <row r="60" spans="2:13" ht="16">
      <c r="B60" s="418"/>
      <c r="D60" s="418"/>
      <c r="J60" s="8"/>
      <c r="K60"/>
    </row>
    <row r="61" spans="2:13" ht="16">
      <c r="B61" s="418"/>
      <c r="D61"/>
      <c r="J61" s="418"/>
      <c r="M61" s="418"/>
    </row>
    <row r="62" spans="2:13" ht="16">
      <c r="B62" s="418"/>
      <c r="D62"/>
      <c r="J62" s="418"/>
      <c r="M62"/>
    </row>
    <row r="63" spans="2:13" ht="16">
      <c r="B63" s="418"/>
      <c r="D63"/>
      <c r="J63" s="418"/>
      <c r="M63"/>
    </row>
    <row r="64" spans="2:13" ht="16">
      <c r="B64" s="418"/>
      <c r="D64"/>
      <c r="J64" s="418"/>
      <c r="M64"/>
    </row>
    <row r="65" spans="2:4" ht="16">
      <c r="B65" s="418"/>
      <c r="D65"/>
    </row>
    <row r="66" spans="2:4" ht="16">
      <c r="B66" s="418"/>
      <c r="D66"/>
    </row>
    <row r="67" spans="2:4" ht="16">
      <c r="B67" s="418"/>
      <c r="D67"/>
    </row>
    <row r="70" spans="2:4" ht="19">
      <c r="B70" s="417"/>
      <c r="C70"/>
    </row>
    <row r="71" spans="2:4" ht="16">
      <c r="B71" s="8"/>
      <c r="C71"/>
    </row>
    <row r="72" spans="2:4" ht="16">
      <c r="B72" s="418"/>
      <c r="C72" s="418"/>
    </row>
    <row r="73" spans="2:4" ht="16">
      <c r="B73" s="418"/>
      <c r="C73"/>
    </row>
    <row r="74" spans="2:4" ht="16">
      <c r="B74" s="418"/>
      <c r="C74"/>
    </row>
    <row r="75" spans="2:4" ht="16">
      <c r="B75" s="418"/>
      <c r="C75"/>
    </row>
    <row r="76" spans="2:4" ht="16">
      <c r="B76" s="418"/>
      <c r="C76"/>
    </row>
    <row r="77" spans="2:4" ht="16">
      <c r="B77" s="418"/>
      <c r="C77"/>
    </row>
    <row r="78" spans="2:4" ht="16">
      <c r="B78" s="418"/>
      <c r="C78"/>
    </row>
    <row r="79" spans="2:4" ht="16">
      <c r="B79" s="418"/>
      <c r="C79"/>
    </row>
    <row r="80" spans="2:4" ht="16">
      <c r="B80" s="418"/>
      <c r="C80"/>
    </row>
    <row r="81" spans="2:3" ht="16">
      <c r="B81" s="418"/>
      <c r="C81"/>
    </row>
  </sheetData>
  <mergeCells count="5">
    <mergeCell ref="P4:Q4"/>
    <mergeCell ref="A5:R5"/>
    <mergeCell ref="T5:T7"/>
    <mergeCell ref="B6:B7"/>
    <mergeCell ref="R6:R7"/>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60E52CC0-041D-9E4C-8920-60C398D42B5F}">
          <x14:colorSeries rgb="FFFF0000"/>
          <x14:colorNegative theme="5"/>
          <x14:colorAxis rgb="FF000000"/>
          <x14:colorMarkers theme="5" tint="-0.249977111117893"/>
          <x14:colorFirst theme="5" tint="-0.249977111117893"/>
          <x14:colorLast theme="5" tint="-0.249977111117893"/>
          <x14:colorHigh theme="5" tint="-0.249977111117893"/>
          <x14:colorLow theme="5" tint="-0.249977111117893"/>
          <x14:sparklines>
            <x14:sparkline>
              <xm:f>'Ratio Analysis'!C11:Q11</xm:f>
              <xm:sqref>R11</xm:sqref>
            </x14:sparkline>
            <x14:sparkline>
              <xm:f>'Ratio Analysis'!C12:Q12</xm:f>
              <xm:sqref>R12</xm:sqref>
            </x14:sparkline>
            <x14:sparkline>
              <xm:f>'Ratio Analysis'!C13:Q13</xm:f>
              <xm:sqref>R13</xm:sqref>
            </x14:sparkline>
            <x14:sparkline>
              <xm:f>'Ratio Analysis'!C14:Q14</xm:f>
              <xm:sqref>R14</xm:sqref>
            </x14:sparkline>
            <x14:sparkline>
              <xm:f>'Ratio Analysis'!C15:Q15</xm:f>
              <xm:sqref>R15</xm:sqref>
            </x14:sparkline>
          </x14:sparklines>
        </x14:sparklineGroup>
        <x14:sparklineGroup displayEmptyCellsAs="gap" xr2:uid="{B385722F-A191-B34B-B5E6-E14171D837BA}">
          <x14:colorSeries rgb="FFFF0000"/>
          <x14:colorNegative theme="5"/>
          <x14:colorAxis rgb="FF000000"/>
          <x14:colorMarkers theme="5" tint="-0.249977111117893"/>
          <x14:colorFirst theme="5" tint="-0.249977111117893"/>
          <x14:colorLast theme="5" tint="-0.249977111117893"/>
          <x14:colorHigh theme="5" tint="-0.249977111117893"/>
          <x14:colorLow theme="5" tint="-0.249977111117893"/>
          <x14:sparklines>
            <x14:sparkline>
              <xm:f>'Ratio Analysis'!C10:Q10</xm:f>
              <xm:sqref>R10</xm:sqref>
            </x14:sparkline>
          </x14:sparklines>
        </x14:sparklineGroup>
        <x14:sparklineGroup displayEmptyCellsAs="gap" xr2:uid="{43E795C2-92D2-B846-A21B-E1B25D6A3254}">
          <x14:colorSeries rgb="FFFF0000"/>
          <x14:colorNegative theme="5"/>
          <x14:colorAxis rgb="FF000000"/>
          <x14:colorMarkers theme="5" tint="-0.249977111117893"/>
          <x14:colorFirst theme="5" tint="-0.249977111117893"/>
          <x14:colorLast theme="5" tint="-0.249977111117893"/>
          <x14:colorHigh theme="5" tint="-0.249977111117893"/>
          <x14:colorLow theme="5" tint="-0.249977111117893"/>
          <x14:sparklines>
            <x14:sparkline>
              <xm:f>'Ratio Analysis'!C18:Q18</xm:f>
              <xm:sqref>R18</xm:sqref>
            </x14:sparkline>
            <x14:sparkline>
              <xm:f>'Ratio Analysis'!C19:Q19</xm:f>
              <xm:sqref>R19</xm:sqref>
            </x14:sparkline>
            <x14:sparkline>
              <xm:f>'Ratio Analysis'!C20:Q20</xm:f>
              <xm:sqref>R20</xm:sqref>
            </x14:sparkline>
            <x14:sparkline>
              <xm:f>'Ratio Analysis'!C21:Q21</xm:f>
              <xm:sqref>R21</xm:sqref>
            </x14:sparkline>
            <x14:sparkline>
              <xm:f>'Ratio Analysis'!C22:Q22</xm:f>
              <xm:sqref>R22</xm:sqref>
            </x14:sparkline>
            <x14:sparkline>
              <xm:f>'Ratio Analysis'!C23:Q23</xm:f>
              <xm:sqref>R23</xm:sqref>
            </x14:sparkline>
            <x14:sparkline>
              <xm:f>'Ratio Analysis'!C24:Q24</xm:f>
              <xm:sqref>R24</xm:sqref>
            </x14:sparkline>
          </x14:sparklines>
        </x14:sparklineGroup>
        <x14:sparklineGroup displayEmptyCellsAs="gap" xr2:uid="{BEEE07E2-E051-4A4A-84A5-246FC29224A6}">
          <x14:colorSeries rgb="FFFF0000"/>
          <x14:colorNegative theme="5"/>
          <x14:colorAxis rgb="FF000000"/>
          <x14:colorMarkers theme="5" tint="-0.249977111117893"/>
          <x14:colorFirst theme="5" tint="-0.249977111117893"/>
          <x14:colorLast theme="5" tint="-0.249977111117893"/>
          <x14:colorHigh theme="5" tint="-0.249977111117893"/>
          <x14:colorLow theme="5" tint="-0.249977111117893"/>
          <x14:sparklines>
            <x14:sparkline>
              <xm:f>'Ratio Analysis'!C27:Q27</xm:f>
              <xm:sqref>R27</xm:sqref>
            </x14:sparkline>
            <x14:sparkline>
              <xm:f>'Ratio Analysis'!C28:Q28</xm:f>
              <xm:sqref>R28</xm:sqref>
            </x14:sparkline>
            <x14:sparkline>
              <xm:f>'Ratio Analysis'!C29:Q29</xm:f>
              <xm:sqref>R29</xm:sqref>
            </x14:sparkline>
            <x14:sparkline>
              <xm:f>'Ratio Analysis'!C30:Q30</xm:f>
              <xm:sqref>R30</xm:sqref>
            </x14:sparkline>
            <x14:sparkline>
              <xm:f>'Ratio Analysis'!C31:Q31</xm:f>
              <xm:sqref>R31</xm:sqref>
            </x14:sparkline>
            <x14:sparkline>
              <xm:f>'Ratio Analysis'!C32:Q32</xm:f>
              <xm:sqref>R32</xm:sqref>
            </x14:sparkline>
            <x14:sparkline>
              <xm:f>'Ratio Analysis'!C33:Q33</xm:f>
              <xm:sqref>R33</xm:sqref>
            </x14:sparkline>
            <x14:sparkline>
              <xm:f>'Ratio Analysis'!C34:Q34</xm:f>
              <xm:sqref>R34</xm:sqref>
            </x14:sparkline>
            <x14:sparkline>
              <xm:f>'Ratio Analysis'!C35:Q35</xm:f>
              <xm:sqref>R35</xm:sqref>
            </x14:sparkline>
            <x14:sparkline>
              <xm:f>'Ratio Analysis'!C36:Q36</xm:f>
              <xm:sqref>R36</xm:sqref>
            </x14:sparkline>
            <x14:sparkline>
              <xm:f>'Ratio Analysis'!C37:Q37</xm:f>
              <xm:sqref>R37</xm:sqref>
            </x14:sparkline>
            <x14:sparkline>
              <xm:f>'Ratio Analysis'!C38:Q38</xm:f>
              <xm:sqref>R38</xm:sqref>
            </x14:sparkline>
            <x14:sparkline>
              <xm:f>'Ratio Analysis'!C39:Q39</xm:f>
              <xm:sqref>R39</xm:sqref>
            </x14:sparkline>
            <x14:sparkline>
              <xm:f>'Ratio Analysis'!C40:Q40</xm:f>
              <xm:sqref>R40</xm:sqref>
            </x14:sparkline>
            <x14:sparkline>
              <xm:f>'Ratio Analysis'!C41:Q41</xm:f>
              <xm:sqref>R41</xm:sqref>
            </x14:sparkline>
            <x14:sparkline>
              <xm:f>'Ratio Analysis'!C42:Q42</xm:f>
              <xm:sqref>R42</xm:sqref>
            </x14:sparkline>
            <x14:sparkline>
              <xm:f>'Ratio Analysis'!C43:Q43</xm:f>
              <xm:sqref>R43</xm:sqref>
            </x14:sparkline>
            <x14:sparkline>
              <xm:f>'Ratio Analysis'!C44:Q44</xm:f>
              <xm:sqref>R44</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F311D-2E60-0243-BEEE-17AA431B0F18}">
  <dimension ref="A1:U23"/>
  <sheetViews>
    <sheetView showGridLines="0" zoomScale="93" workbookViewId="0">
      <selection activeCell="J30" sqref="J30"/>
    </sheetView>
  </sheetViews>
  <sheetFormatPr baseColWidth="10" defaultColWidth="11.6640625" defaultRowHeight="16"/>
  <cols>
    <col min="1" max="3" width="1.1640625" style="64" customWidth="1"/>
    <col min="4" max="4" width="40.6640625" style="64" customWidth="1"/>
    <col min="5" max="6" width="12.6640625" style="64" customWidth="1"/>
    <col min="7" max="7" width="2.6640625" style="64" customWidth="1"/>
    <col min="8" max="9" width="11.6640625" style="64" bestFit="1"/>
    <col min="10" max="10" width="14.83203125" style="64" bestFit="1" customWidth="1"/>
    <col min="11" max="12" width="11.6640625" style="64" bestFit="1"/>
    <col min="13" max="13" width="12" style="64" bestFit="1" customWidth="1"/>
    <col min="14" max="14" width="11.6640625" style="64"/>
    <col min="15" max="15" width="13.33203125" style="64" customWidth="1"/>
    <col min="16" max="16" width="12.33203125" style="64" customWidth="1"/>
    <col min="17" max="17" width="13.33203125" style="64" customWidth="1"/>
    <col min="18" max="18" width="11.6640625" style="64"/>
    <col min="19" max="19" width="11.6640625" style="64" bestFit="1"/>
    <col min="20" max="20" width="13.83203125" style="64" bestFit="1" customWidth="1"/>
    <col min="21" max="21" width="11.6640625" style="64" bestFit="1"/>
    <col min="22" max="16384" width="11.6640625" style="64"/>
  </cols>
  <sheetData>
    <row r="1" spans="1:21" ht="33">
      <c r="A1" s="216" t="str">
        <f>Historical!A1</f>
        <v>Shree Cement Limited</v>
      </c>
      <c r="B1" s="215"/>
      <c r="C1" s="215"/>
      <c r="D1" s="215"/>
      <c r="E1" s="215"/>
      <c r="F1" s="215"/>
      <c r="G1" s="215"/>
      <c r="H1" s="215"/>
      <c r="I1" s="215"/>
      <c r="J1" s="215"/>
      <c r="K1" s="215"/>
      <c r="L1" s="215"/>
      <c r="M1" s="215"/>
      <c r="N1" s="215"/>
      <c r="O1" s="215"/>
      <c r="P1" s="215"/>
      <c r="Q1" s="215"/>
      <c r="R1" s="215"/>
      <c r="S1" s="215"/>
      <c r="T1" s="215"/>
      <c r="U1" s="215"/>
    </row>
    <row r="2" spans="1:21">
      <c r="A2" s="217" t="s">
        <v>193</v>
      </c>
      <c r="B2" s="215"/>
      <c r="C2" s="215"/>
      <c r="D2" s="215"/>
      <c r="E2" s="215"/>
      <c r="F2" s="215"/>
      <c r="G2" s="215"/>
      <c r="H2" s="215"/>
      <c r="I2" s="215"/>
      <c r="J2" s="215"/>
      <c r="K2" s="215"/>
      <c r="L2" s="215"/>
      <c r="M2" s="215"/>
      <c r="N2" s="215"/>
      <c r="O2" s="215"/>
      <c r="P2" s="215"/>
      <c r="Q2" s="215"/>
      <c r="R2" s="215"/>
      <c r="S2" s="215"/>
      <c r="T2" s="215"/>
      <c r="U2" s="215"/>
    </row>
    <row r="4" spans="1:21">
      <c r="H4" s="144"/>
    </row>
    <row r="5" spans="1:21" ht="21" customHeight="1">
      <c r="D5" s="236"/>
      <c r="E5" s="237"/>
      <c r="F5" s="237"/>
      <c r="G5" s="237"/>
      <c r="H5" s="238" t="s">
        <v>194</v>
      </c>
      <c r="I5" s="238"/>
      <c r="J5" s="239"/>
      <c r="K5" s="239"/>
      <c r="L5" s="239"/>
      <c r="M5" s="239"/>
      <c r="N5" s="236"/>
      <c r="O5" s="238" t="s">
        <v>195</v>
      </c>
      <c r="P5" s="239"/>
      <c r="Q5" s="238"/>
      <c r="R5" s="236"/>
      <c r="S5" s="238" t="s">
        <v>196</v>
      </c>
      <c r="T5" s="239"/>
      <c r="U5" s="238"/>
    </row>
    <row r="6" spans="1:21" ht="16.5" customHeight="1">
      <c r="D6" s="240"/>
      <c r="E6" s="237"/>
      <c r="F6" s="237"/>
      <c r="G6" s="237"/>
      <c r="H6" s="241" t="s">
        <v>197</v>
      </c>
      <c r="I6" s="241" t="s">
        <v>198</v>
      </c>
      <c r="J6" s="241" t="s">
        <v>176</v>
      </c>
      <c r="K6" s="242" t="s">
        <v>106</v>
      </c>
      <c r="L6" s="241" t="s">
        <v>94</v>
      </c>
      <c r="M6" s="241" t="s">
        <v>199</v>
      </c>
      <c r="N6" s="241"/>
      <c r="O6" s="241" t="s">
        <v>49</v>
      </c>
      <c r="P6" s="241" t="s">
        <v>84</v>
      </c>
      <c r="Q6" s="241" t="s">
        <v>200</v>
      </c>
      <c r="R6" s="243"/>
      <c r="S6" s="241" t="s">
        <v>201</v>
      </c>
      <c r="T6" s="241" t="s">
        <v>161</v>
      </c>
      <c r="U6" s="241" t="s">
        <v>202</v>
      </c>
    </row>
    <row r="7" spans="1:21" ht="14.25" customHeight="1">
      <c r="D7" s="240" t="s">
        <v>203</v>
      </c>
      <c r="E7" s="237"/>
      <c r="F7" s="242" t="s">
        <v>204</v>
      </c>
      <c r="G7" s="237"/>
      <c r="H7" s="237" t="s">
        <v>205</v>
      </c>
      <c r="I7" s="244" t="s">
        <v>258</v>
      </c>
      <c r="J7" s="245" t="s">
        <v>259</v>
      </c>
      <c r="K7" s="237"/>
      <c r="L7" s="241" t="s">
        <v>206</v>
      </c>
      <c r="M7" s="245" t="s">
        <v>259</v>
      </c>
      <c r="N7" s="241"/>
      <c r="O7" s="245" t="s">
        <v>259</v>
      </c>
      <c r="P7" s="245" t="s">
        <v>259</v>
      </c>
      <c r="Q7" s="245" t="s">
        <v>259</v>
      </c>
      <c r="R7" s="243"/>
      <c r="S7" s="243" t="s">
        <v>207</v>
      </c>
      <c r="T7" s="243" t="s">
        <v>207</v>
      </c>
      <c r="U7" s="243" t="s">
        <v>207</v>
      </c>
    </row>
    <row r="8" spans="1:21" ht="21" customHeight="1">
      <c r="D8" s="136" t="str">
        <f>'Comps Data'!D8</f>
        <v>UltraTech Cement</v>
      </c>
      <c r="F8" s="66" t="str">
        <f>'Comps Data'!H8</f>
        <v>ULTRACEMCO</v>
      </c>
      <c r="H8" s="67">
        <f>'Comps Data'!I8</f>
        <v>12299</v>
      </c>
      <c r="I8" s="141">
        <f>'Comps Data'!J8</f>
        <v>29.47</v>
      </c>
      <c r="J8" s="68">
        <f>PRODUCT(H8:I8)</f>
        <v>362451.52999999997</v>
      </c>
      <c r="K8" s="137">
        <f>'Comps Data'!K8</f>
        <v>24102</v>
      </c>
      <c r="L8" s="137">
        <f>'Comps Data'!L8</f>
        <v>1673</v>
      </c>
      <c r="M8" s="69">
        <f>SUM(J8,K8)-L8</f>
        <v>384880.52999999997</v>
      </c>
      <c r="N8" s="70"/>
      <c r="O8" s="137">
        <f>'Comps Data'!M8</f>
        <v>75955</v>
      </c>
      <c r="P8" s="137">
        <f>'Comps Data'!N8</f>
        <v>12547</v>
      </c>
      <c r="Q8" s="137">
        <f>'Comps Data'!O8</f>
        <v>6040</v>
      </c>
      <c r="R8" s="71"/>
      <c r="S8" s="72">
        <f>M8/O8</f>
        <v>5.067217826344546</v>
      </c>
      <c r="T8" s="72">
        <f>M8/P8</f>
        <v>30.675104008926436</v>
      </c>
      <c r="U8" s="72">
        <f>J8/Q8</f>
        <v>60.008531456953641</v>
      </c>
    </row>
    <row r="9" spans="1:21" ht="21" customHeight="1">
      <c r="D9" s="136" t="str">
        <f>'Comps Data'!D9</f>
        <v>Ambuja Cements</v>
      </c>
      <c r="F9" s="66" t="str">
        <f>'Comps Data'!H9</f>
        <v>AMBUJACEM</v>
      </c>
      <c r="H9" s="67">
        <f>'Comps Data'!I9</f>
        <v>578</v>
      </c>
      <c r="I9" s="141">
        <f>'Comps Data'!J9</f>
        <v>246.31</v>
      </c>
      <c r="J9" s="68">
        <f t="shared" ref="J9:J13" si="0">PRODUCT(H9:I9)</f>
        <v>142367.18</v>
      </c>
      <c r="K9" s="137">
        <f>'Comps Data'!K9</f>
        <v>788</v>
      </c>
      <c r="L9" s="137">
        <f>'Comps Data'!L9</f>
        <v>6172</v>
      </c>
      <c r="M9" s="69">
        <f t="shared" ref="M9:M13" si="1">SUM(J9,K9)-L9</f>
        <v>136983.18</v>
      </c>
      <c r="N9" s="70"/>
      <c r="O9" s="137">
        <f>'Comps Data'!M9</f>
        <v>35045</v>
      </c>
      <c r="P9" s="137">
        <f>'Comps Data'!N9</f>
        <v>5971</v>
      </c>
      <c r="Q9" s="137">
        <f>'Comps Data'!O9</f>
        <v>5158</v>
      </c>
      <c r="R9" s="71"/>
      <c r="S9" s="72">
        <f t="shared" ref="S9:S13" si="2">M9/O9</f>
        <v>3.9087795691254099</v>
      </c>
      <c r="T9" s="72">
        <f t="shared" ref="T9:T13" si="3">M9/P9</f>
        <v>22.941413498576452</v>
      </c>
      <c r="U9" s="72">
        <f t="shared" ref="U9:U13" si="4">J9/Q9</f>
        <v>27.601236913532375</v>
      </c>
    </row>
    <row r="10" spans="1:21" ht="21" customHeight="1">
      <c r="D10" s="136" t="str">
        <f>'Comps Data'!D10</f>
        <v>JK Cement</v>
      </c>
      <c r="F10" s="66" t="str">
        <f>'Comps Data'!H10</f>
        <v>JKCEMENT</v>
      </c>
      <c r="H10" s="67">
        <f>'Comps Data'!I10</f>
        <v>7000</v>
      </c>
      <c r="I10" s="141">
        <f>'Comps Data'!J10</f>
        <v>7.73</v>
      </c>
      <c r="J10" s="68">
        <f t="shared" si="0"/>
        <v>54110</v>
      </c>
      <c r="K10" s="137">
        <f>'Comps Data'!K10</f>
        <v>6028</v>
      </c>
      <c r="L10" s="137">
        <f>'Comps Data'!L10</f>
        <v>1370</v>
      </c>
      <c r="M10" s="69">
        <f t="shared" si="1"/>
        <v>58768</v>
      </c>
      <c r="N10" s="70"/>
      <c r="O10" s="137">
        <f>'Comps Data'!M10</f>
        <v>11879</v>
      </c>
      <c r="P10" s="137">
        <f>'Comps Data'!N10</f>
        <v>2034</v>
      </c>
      <c r="Q10" s="137">
        <f>'Comps Data'!O10</f>
        <v>872</v>
      </c>
      <c r="R10" s="71"/>
      <c r="S10" s="72">
        <f t="shared" si="2"/>
        <v>4.9472177792743501</v>
      </c>
      <c r="T10" s="72">
        <f t="shared" si="3"/>
        <v>28.892822025565387</v>
      </c>
      <c r="U10" s="72">
        <f t="shared" si="4"/>
        <v>62.052752293577981</v>
      </c>
    </row>
    <row r="11" spans="1:21" ht="21" customHeight="1">
      <c r="D11" s="136" t="str">
        <f>'Comps Data'!D11</f>
        <v>Dalmia Bharat</v>
      </c>
      <c r="F11" s="66" t="str">
        <f>'Comps Data'!H11</f>
        <v>DALBHARAT</v>
      </c>
      <c r="H11" s="67">
        <f>'Comps Data'!I11</f>
        <v>2272</v>
      </c>
      <c r="I11" s="141">
        <f>'Comps Data'!J11</f>
        <v>18.760000000000002</v>
      </c>
      <c r="J11" s="68">
        <f t="shared" si="0"/>
        <v>42622.720000000001</v>
      </c>
      <c r="K11" s="137">
        <f>'Comps Data'!K11</f>
        <v>5702</v>
      </c>
      <c r="L11" s="137">
        <f>'Comps Data'!L11</f>
        <v>158</v>
      </c>
      <c r="M11" s="69">
        <f t="shared" si="1"/>
        <v>48166.720000000001</v>
      </c>
      <c r="N11" s="70"/>
      <c r="O11" s="137">
        <f>'Comps Data'!M11</f>
        <v>13980</v>
      </c>
      <c r="P11" s="137">
        <f>'Comps Data'!N11</f>
        <v>2407</v>
      </c>
      <c r="Q11" s="137">
        <f>'Comps Data'!O11</f>
        <v>699</v>
      </c>
      <c r="R11" s="71"/>
      <c r="S11" s="72">
        <f t="shared" si="2"/>
        <v>3.4454020028612304</v>
      </c>
      <c r="T11" s="72">
        <f t="shared" si="3"/>
        <v>20.011100955546322</v>
      </c>
      <c r="U11" s="72">
        <f t="shared" si="4"/>
        <v>60.976709585121604</v>
      </c>
    </row>
    <row r="12" spans="1:21" ht="21" customHeight="1">
      <c r="D12" s="136" t="str">
        <f>'Comps Data'!D12</f>
        <v>ACC Ltd.</v>
      </c>
      <c r="F12" s="66" t="str">
        <f>'Comps Data'!H12</f>
        <v>ACC</v>
      </c>
      <c r="H12" s="67">
        <f>'Comps Data'!I12</f>
        <v>1781.4</v>
      </c>
      <c r="I12" s="141">
        <f>'Comps Data'!J12</f>
        <v>18.78</v>
      </c>
      <c r="J12" s="68">
        <f t="shared" si="0"/>
        <v>33454.692000000003</v>
      </c>
      <c r="K12" s="137">
        <f>'Comps Data'!K12</f>
        <v>430</v>
      </c>
      <c r="L12" s="137">
        <f>'Comps Data'!L12</f>
        <v>1649</v>
      </c>
      <c r="M12" s="69">
        <f t="shared" si="1"/>
        <v>32235.692000000003</v>
      </c>
      <c r="N12" s="70"/>
      <c r="O12" s="137">
        <f>'Comps Data'!M12</f>
        <v>21762</v>
      </c>
      <c r="P12" s="137">
        <f>'Comps Data'!N12</f>
        <v>3061</v>
      </c>
      <c r="Q12" s="137">
        <f>'Comps Data'!O12</f>
        <v>2402</v>
      </c>
      <c r="R12" s="71"/>
      <c r="S12" s="72">
        <f t="shared" si="2"/>
        <v>1.4812835217351348</v>
      </c>
      <c r="T12" s="72">
        <f t="shared" si="3"/>
        <v>10.531098333877818</v>
      </c>
      <c r="U12" s="72">
        <f t="shared" si="4"/>
        <v>13.927848459616987</v>
      </c>
    </row>
    <row r="13" spans="1:21" ht="21" customHeight="1">
      <c r="D13" s="136" t="str">
        <f>'Comps Data'!D13</f>
        <v>The Ramco Cements</v>
      </c>
      <c r="F13" s="66" t="str">
        <f>'Comps Data'!H13</f>
        <v>RAMCOCEM</v>
      </c>
      <c r="H13" s="67">
        <f>'Comps Data'!I13</f>
        <v>1066.7</v>
      </c>
      <c r="I13" s="141">
        <f>'Comps Data'!J13</f>
        <v>23.63</v>
      </c>
      <c r="J13" s="68">
        <f t="shared" si="0"/>
        <v>25206.120999999999</v>
      </c>
      <c r="K13" s="137">
        <f>'Comps Data'!K13</f>
        <v>4675</v>
      </c>
      <c r="L13" s="137">
        <f>'Comps Data'!L13</f>
        <v>209</v>
      </c>
      <c r="M13" s="69">
        <f t="shared" si="1"/>
        <v>29672.120999999999</v>
      </c>
      <c r="N13" s="70"/>
      <c r="O13" s="137">
        <f>'Comps Data'!M13</f>
        <v>8518</v>
      </c>
      <c r="P13" s="137">
        <f>'Comps Data'!N13</f>
        <v>1234</v>
      </c>
      <c r="Q13" s="137">
        <f>'Comps Data'!O13</f>
        <v>270</v>
      </c>
      <c r="R13" s="71"/>
      <c r="S13" s="72">
        <f t="shared" si="2"/>
        <v>3.483461023714487</v>
      </c>
      <c r="T13" s="72">
        <f t="shared" si="3"/>
        <v>24.04547893030794</v>
      </c>
      <c r="U13" s="72">
        <f t="shared" si="4"/>
        <v>93.356003703703706</v>
      </c>
    </row>
    <row r="14" spans="1:21" ht="21" customHeight="1">
      <c r="D14" s="136"/>
      <c r="F14" s="66"/>
      <c r="H14" s="67"/>
      <c r="I14" s="141"/>
      <c r="J14" s="68"/>
      <c r="K14" s="137"/>
      <c r="L14" s="137"/>
      <c r="M14" s="69"/>
      <c r="N14" s="70"/>
      <c r="O14" s="137"/>
      <c r="P14" s="137"/>
      <c r="Q14" s="137"/>
      <c r="R14" s="71"/>
      <c r="S14" s="72"/>
      <c r="T14" s="72"/>
      <c r="U14" s="72"/>
    </row>
    <row r="15" spans="1:21" ht="21" customHeight="1">
      <c r="D15" s="236" t="s">
        <v>165</v>
      </c>
      <c r="E15" s="236"/>
      <c r="F15" s="236"/>
      <c r="G15" s="236"/>
      <c r="H15" s="236"/>
      <c r="I15" s="236"/>
      <c r="J15" s="236"/>
      <c r="K15" s="236"/>
      <c r="L15" s="236"/>
      <c r="M15" s="236"/>
      <c r="N15" s="236"/>
      <c r="O15" s="236"/>
      <c r="P15" s="236"/>
      <c r="Q15" s="236"/>
      <c r="R15" s="236"/>
      <c r="S15" s="246">
        <f>AVERAGE(S8:S13)</f>
        <v>3.7222269538425263</v>
      </c>
      <c r="T15" s="246">
        <f>AVERAGE(T8:T13)</f>
        <v>22.849502958800059</v>
      </c>
      <c r="U15" s="246">
        <f>AVERAGE(U8:U13)</f>
        <v>52.987180402084384</v>
      </c>
    </row>
    <row r="16" spans="1:21" ht="21" customHeight="1">
      <c r="D16" s="236" t="s">
        <v>208</v>
      </c>
      <c r="E16" s="236"/>
      <c r="F16" s="236"/>
      <c r="G16" s="236"/>
      <c r="H16" s="236"/>
      <c r="I16" s="236"/>
      <c r="J16" s="236"/>
      <c r="K16" s="236"/>
      <c r="L16" s="236"/>
      <c r="M16" s="236"/>
      <c r="N16" s="236"/>
      <c r="O16" s="236"/>
      <c r="P16" s="236"/>
      <c r="Q16" s="236"/>
      <c r="R16" s="236"/>
      <c r="S16" s="246">
        <f>MEDIAN(S8:S13)</f>
        <v>3.6961202964199487</v>
      </c>
      <c r="T16" s="246">
        <f>MEDIAN(T8:T13)</f>
        <v>23.493446214442194</v>
      </c>
      <c r="U16" s="246">
        <f>MEDIAN(U8:U13)</f>
        <v>60.492620521037622</v>
      </c>
    </row>
    <row r="18" spans="3:21">
      <c r="D18" s="136" t="str">
        <f>'Comps Data'!D6</f>
        <v>Shree Cement</v>
      </c>
      <c r="F18" s="64" t="str">
        <f>'Comps Data'!H6</f>
        <v>SHREECEM</v>
      </c>
      <c r="H18" s="67">
        <f>'Comps Data'!I6</f>
        <v>30450</v>
      </c>
      <c r="I18" s="141">
        <f>'Comps Data'!J6</f>
        <v>3.61</v>
      </c>
      <c r="J18" s="69">
        <f>PRODUCT(H18:I18)</f>
        <v>109924.5</v>
      </c>
      <c r="K18" s="137">
        <f>'Comps Data'!K6</f>
        <v>1656</v>
      </c>
      <c r="L18" s="137">
        <f>'Comps Data'!L6</f>
        <v>294</v>
      </c>
      <c r="M18" s="69">
        <f t="shared" ref="M18" si="5">SUM(J18,K18)-L18</f>
        <v>111286.5</v>
      </c>
      <c r="N18" s="70"/>
      <c r="O18" s="137">
        <f>'Comps Data'!M6</f>
        <v>19283</v>
      </c>
      <c r="P18" s="137">
        <f>'Comps Data'!N6</f>
        <v>3934</v>
      </c>
      <c r="Q18" s="137">
        <f>'Comps Data'!O6</f>
        <v>1124</v>
      </c>
      <c r="R18" s="71"/>
      <c r="S18" s="72">
        <f>M18/O18</f>
        <v>5.7712233573614062</v>
      </c>
      <c r="T18" s="72">
        <f>M18/P18</f>
        <v>28.288383324860192</v>
      </c>
      <c r="U18" s="72">
        <f>J18/Q18</f>
        <v>97.79759786476869</v>
      </c>
    </row>
    <row r="20" spans="3:21">
      <c r="C20" s="74"/>
      <c r="D20" s="247" t="s">
        <v>209</v>
      </c>
      <c r="E20" s="248" t="s">
        <v>210</v>
      </c>
      <c r="F20" s="247"/>
      <c r="G20" s="247"/>
      <c r="H20" s="249" t="s">
        <v>199</v>
      </c>
      <c r="I20" s="249" t="s">
        <v>211</v>
      </c>
      <c r="J20" s="249" t="s">
        <v>185</v>
      </c>
      <c r="K20" s="249" t="s">
        <v>198</v>
      </c>
      <c r="L20" s="249" t="s">
        <v>212</v>
      </c>
    </row>
    <row r="21" spans="3:21">
      <c r="D21" s="64" t="s">
        <v>213</v>
      </c>
      <c r="E21" s="142">
        <f>S15</f>
        <v>3.7222269538425263</v>
      </c>
      <c r="F21" s="75"/>
      <c r="H21" s="76">
        <f>E21*O18</f>
        <v>71775.70235094543</v>
      </c>
      <c r="I21" s="76">
        <f>$K$18-$L$18</f>
        <v>1362</v>
      </c>
      <c r="J21" s="76">
        <f>H21-I21</f>
        <v>70413.70235094543</v>
      </c>
      <c r="K21" s="369">
        <f t="shared" ref="K21:K23" si="6">$I$18</f>
        <v>3.61</v>
      </c>
      <c r="L21" s="77">
        <f>J21/K21</f>
        <v>19505.180706633084</v>
      </c>
    </row>
    <row r="22" spans="3:21">
      <c r="D22" s="64" t="s">
        <v>161</v>
      </c>
      <c r="E22" s="142">
        <f>T15</f>
        <v>22.849502958800059</v>
      </c>
      <c r="F22" s="75"/>
      <c r="H22" s="76">
        <f>E22*P18</f>
        <v>89889.944639919428</v>
      </c>
      <c r="I22" s="76">
        <f>$K$18-$L$18</f>
        <v>1362</v>
      </c>
      <c r="J22" s="76">
        <f>H22-I22</f>
        <v>88527.944639919428</v>
      </c>
      <c r="K22" s="369">
        <f t="shared" si="6"/>
        <v>3.61</v>
      </c>
      <c r="L22" s="77">
        <f>J22/K22</f>
        <v>24522.976354548318</v>
      </c>
    </row>
    <row r="23" spans="3:21">
      <c r="D23" s="64" t="s">
        <v>202</v>
      </c>
      <c r="E23" s="142">
        <f>U15</f>
        <v>52.987180402084384</v>
      </c>
      <c r="F23" s="75"/>
      <c r="H23" s="76">
        <f>J23+I23</f>
        <v>60919.590771942851</v>
      </c>
      <c r="I23" s="76">
        <f>$K$18-$L$18</f>
        <v>1362</v>
      </c>
      <c r="J23" s="76">
        <f>E23*Q18</f>
        <v>59557.590771942851</v>
      </c>
      <c r="K23" s="369">
        <f t="shared" si="6"/>
        <v>3.61</v>
      </c>
      <c r="L23" s="77">
        <f>J23/K23</f>
        <v>16497.947582255638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F4E10-3436-FD42-B1F6-BBA6DEA58536}">
  <dimension ref="A1:P29"/>
  <sheetViews>
    <sheetView showGridLines="0" zoomScale="125" workbookViewId="0">
      <selection activeCell="I14" sqref="I14"/>
    </sheetView>
  </sheetViews>
  <sheetFormatPr baseColWidth="10" defaultColWidth="9" defaultRowHeight="15"/>
  <cols>
    <col min="1" max="2" width="1.1640625" style="1" customWidth="1"/>
    <col min="3" max="3" width="1.1640625" style="78" customWidth="1"/>
    <col min="4" max="4" width="40.6640625" style="79" customWidth="1"/>
    <col min="5" max="6" width="12.6640625" style="79" customWidth="1"/>
    <col min="7" max="7" width="2.6640625" style="79" customWidth="1"/>
    <col min="8" max="8" width="19.33203125" style="133" customWidth="1"/>
    <col min="9" max="11" width="11.6640625" style="79" customWidth="1"/>
    <col min="12" max="16" width="11.6640625" style="1" customWidth="1"/>
    <col min="17" max="16384" width="9" style="1"/>
  </cols>
  <sheetData>
    <row r="1" spans="1:16" ht="33">
      <c r="A1" s="216" t="str">
        <f>Historical!A1</f>
        <v>Shree Cement Limited</v>
      </c>
      <c r="B1" s="215"/>
      <c r="C1" s="215"/>
      <c r="D1" s="215"/>
      <c r="E1" s="215"/>
      <c r="F1" s="231"/>
      <c r="G1" s="215"/>
      <c r="H1" s="232"/>
      <c r="I1" s="215"/>
      <c r="J1" s="215"/>
      <c r="K1" s="215"/>
      <c r="L1" s="215"/>
      <c r="M1" s="215"/>
      <c r="N1" s="215"/>
      <c r="O1" s="215"/>
      <c r="P1" s="215"/>
    </row>
    <row r="2" spans="1:16" ht="16">
      <c r="A2" s="217" t="s">
        <v>214</v>
      </c>
      <c r="B2" s="215"/>
      <c r="C2" s="215"/>
      <c r="D2" s="215"/>
      <c r="E2" s="215"/>
      <c r="F2" s="231"/>
      <c r="G2" s="215"/>
      <c r="H2" s="232"/>
      <c r="I2" s="215"/>
      <c r="J2" s="215"/>
      <c r="K2" s="215"/>
      <c r="L2" s="215"/>
      <c r="M2" s="215"/>
      <c r="N2" s="215"/>
      <c r="O2" s="215"/>
      <c r="P2" s="215"/>
    </row>
    <row r="5" spans="1:16">
      <c r="C5" s="1"/>
      <c r="D5" s="218" t="s">
        <v>215</v>
      </c>
      <c r="E5" s="233"/>
      <c r="F5" s="233"/>
      <c r="G5" s="233"/>
      <c r="H5" s="234" t="s">
        <v>204</v>
      </c>
      <c r="I5" s="235" t="s">
        <v>197</v>
      </c>
      <c r="J5" s="235" t="s">
        <v>198</v>
      </c>
      <c r="K5" s="235" t="s">
        <v>106</v>
      </c>
      <c r="L5" s="235" t="s">
        <v>94</v>
      </c>
      <c r="M5" s="235" t="s">
        <v>49</v>
      </c>
      <c r="N5" s="219" t="s">
        <v>84</v>
      </c>
      <c r="O5" s="235" t="s">
        <v>216</v>
      </c>
      <c r="P5" s="235" t="s">
        <v>217</v>
      </c>
    </row>
    <row r="6" spans="1:16" s="59" customFormat="1" ht="16">
      <c r="D6" s="134" t="s">
        <v>449</v>
      </c>
      <c r="H6" s="134" t="s">
        <v>458</v>
      </c>
      <c r="I6" s="73">
        <v>30450</v>
      </c>
      <c r="J6" s="348">
        <v>3.61</v>
      </c>
      <c r="K6" s="348">
        <v>1656</v>
      </c>
      <c r="L6" s="348">
        <v>294</v>
      </c>
      <c r="M6" s="348">
        <v>19283</v>
      </c>
      <c r="N6" s="348">
        <v>3934</v>
      </c>
      <c r="O6" s="348">
        <v>1124</v>
      </c>
      <c r="P6" s="135">
        <v>0.14000000000000001</v>
      </c>
    </row>
    <row r="7" spans="1:16" s="59" customFormat="1" ht="16">
      <c r="D7" s="345"/>
      <c r="E7" s="344"/>
      <c r="F7" s="344"/>
      <c r="G7" s="344"/>
      <c r="H7" s="345"/>
      <c r="I7" s="346"/>
      <c r="J7" s="349"/>
      <c r="K7" s="349"/>
      <c r="L7" s="349"/>
      <c r="M7" s="349"/>
      <c r="N7" s="349"/>
      <c r="O7" s="349"/>
      <c r="P7" s="347"/>
    </row>
    <row r="8" spans="1:16" s="59" customFormat="1" ht="17">
      <c r="D8" s="134" t="s">
        <v>447</v>
      </c>
      <c r="H8" s="150" t="s">
        <v>456</v>
      </c>
      <c r="I8" s="73">
        <v>12299</v>
      </c>
      <c r="J8" s="348">
        <v>29.47</v>
      </c>
      <c r="K8" s="348">
        <v>24102</v>
      </c>
      <c r="L8" s="348">
        <v>1673</v>
      </c>
      <c r="M8" s="348">
        <v>75955</v>
      </c>
      <c r="N8" s="348">
        <v>12547</v>
      </c>
      <c r="O8" s="348">
        <v>6040</v>
      </c>
      <c r="P8" s="135">
        <v>0.2</v>
      </c>
    </row>
    <row r="9" spans="1:16" s="59" customFormat="1" ht="16">
      <c r="D9" s="134" t="s">
        <v>448</v>
      </c>
      <c r="H9" s="134" t="s">
        <v>457</v>
      </c>
      <c r="I9" s="73">
        <v>578</v>
      </c>
      <c r="J9" s="348">
        <v>246.31</v>
      </c>
      <c r="K9" s="348">
        <v>788</v>
      </c>
      <c r="L9" s="348">
        <v>6172</v>
      </c>
      <c r="M9" s="348">
        <v>35045</v>
      </c>
      <c r="N9" s="348">
        <v>5971</v>
      </c>
      <c r="O9" s="348">
        <v>5158</v>
      </c>
      <c r="P9" s="135">
        <v>0.13</v>
      </c>
    </row>
    <row r="10" spans="1:16" s="59" customFormat="1" ht="16">
      <c r="D10" s="134" t="s">
        <v>450</v>
      </c>
      <c r="H10" s="134" t="s">
        <v>459</v>
      </c>
      <c r="I10" s="73">
        <v>7000</v>
      </c>
      <c r="J10" s="348">
        <v>7.73</v>
      </c>
      <c r="K10" s="348">
        <v>6028</v>
      </c>
      <c r="L10" s="348">
        <v>1370</v>
      </c>
      <c r="M10" s="348">
        <v>11879</v>
      </c>
      <c r="N10" s="348">
        <v>2034</v>
      </c>
      <c r="O10" s="348">
        <v>872</v>
      </c>
      <c r="P10" s="135">
        <v>0.3</v>
      </c>
    </row>
    <row r="11" spans="1:16" s="59" customFormat="1" ht="16">
      <c r="D11" s="134" t="s">
        <v>451</v>
      </c>
      <c r="H11" s="134" t="s">
        <v>460</v>
      </c>
      <c r="I11" s="73">
        <v>2272</v>
      </c>
      <c r="J11" s="348">
        <v>18.760000000000002</v>
      </c>
      <c r="K11" s="348">
        <v>5702</v>
      </c>
      <c r="L11" s="348">
        <v>158</v>
      </c>
      <c r="M11" s="348">
        <v>13980</v>
      </c>
      <c r="N11" s="348">
        <v>2407</v>
      </c>
      <c r="O11" s="348">
        <v>699</v>
      </c>
      <c r="P11" s="135">
        <v>0.14000000000000001</v>
      </c>
    </row>
    <row r="12" spans="1:16" s="59" customFormat="1" ht="16">
      <c r="D12" s="134" t="s">
        <v>452</v>
      </c>
      <c r="H12" s="134" t="s">
        <v>461</v>
      </c>
      <c r="I12" s="73">
        <v>1781.4</v>
      </c>
      <c r="J12" s="348">
        <v>18.78</v>
      </c>
      <c r="K12" s="348">
        <v>430</v>
      </c>
      <c r="L12" s="348">
        <v>1649</v>
      </c>
      <c r="M12" s="348">
        <v>21762</v>
      </c>
      <c r="N12" s="348">
        <v>3061</v>
      </c>
      <c r="O12" s="348">
        <v>2402</v>
      </c>
      <c r="P12" s="135">
        <v>0.23</v>
      </c>
    </row>
    <row r="13" spans="1:16" s="59" customFormat="1" ht="16">
      <c r="D13" s="134" t="s">
        <v>453</v>
      </c>
      <c r="H13" s="134" t="s">
        <v>462</v>
      </c>
      <c r="I13" s="73">
        <v>1066.7</v>
      </c>
      <c r="J13" s="348">
        <v>23.63</v>
      </c>
      <c r="K13" s="348">
        <v>4675</v>
      </c>
      <c r="L13" s="348">
        <v>209</v>
      </c>
      <c r="M13" s="348">
        <v>8518</v>
      </c>
      <c r="N13" s="348">
        <v>1234</v>
      </c>
      <c r="O13" s="348">
        <v>270</v>
      </c>
      <c r="P13" s="135">
        <v>0.16</v>
      </c>
    </row>
    <row r="14" spans="1:16" s="59" customFormat="1" ht="16">
      <c r="D14" s="8"/>
      <c r="H14" s="132"/>
      <c r="I14" s="8"/>
      <c r="J14" s="8"/>
      <c r="M14" s="149"/>
      <c r="N14" s="149"/>
      <c r="O14" s="8"/>
      <c r="P14" s="131"/>
    </row>
    <row r="15" spans="1:16" ht="16">
      <c r="B15" s="209" t="s">
        <v>261</v>
      </c>
      <c r="C15" s="134"/>
      <c r="J15" s="134"/>
      <c r="L15" s="8"/>
    </row>
    <row r="16" spans="1:16" ht="16">
      <c r="J16" s="134"/>
      <c r="L16" s="79"/>
      <c r="M16" s="79"/>
      <c r="O16" s="79"/>
      <c r="P16" s="79"/>
    </row>
    <row r="17" spans="1:16" ht="16">
      <c r="I17" s="134"/>
      <c r="J17" s="134"/>
      <c r="K17" s="139"/>
      <c r="M17" s="140"/>
    </row>
    <row r="18" spans="1:16" ht="16">
      <c r="A18" s="3"/>
      <c r="B18" s="3"/>
      <c r="C18" s="170"/>
      <c r="D18" s="337"/>
      <c r="F18"/>
      <c r="G18"/>
      <c r="H18" s="342"/>
      <c r="I18" s="68"/>
      <c r="J18" s="340"/>
      <c r="K18" s="340"/>
      <c r="L18" s="340"/>
      <c r="M18" s="340"/>
      <c r="N18" s="340"/>
      <c r="O18" s="340"/>
      <c r="P18" s="341"/>
    </row>
    <row r="20" spans="1:16" ht="16">
      <c r="A20" s="3"/>
      <c r="B20" s="3"/>
      <c r="C20" s="170"/>
      <c r="D20" s="337"/>
      <c r="F20"/>
      <c r="G20" s="338"/>
      <c r="H20" s="339"/>
      <c r="I20" s="68"/>
      <c r="J20" s="340"/>
      <c r="K20" s="340"/>
      <c r="L20" s="340"/>
      <c r="M20" s="340"/>
      <c r="N20" s="340"/>
      <c r="O20" s="340"/>
      <c r="P20" s="341"/>
    </row>
    <row r="21" spans="1:16" ht="16">
      <c r="A21" s="3"/>
      <c r="B21" s="3"/>
      <c r="C21" s="170"/>
      <c r="D21" s="337"/>
      <c r="F21"/>
      <c r="G21"/>
      <c r="H21" s="342"/>
      <c r="I21" s="68"/>
      <c r="J21" s="343"/>
      <c r="K21" s="343"/>
      <c r="L21" s="343"/>
      <c r="M21" s="343"/>
      <c r="N21" s="343"/>
      <c r="O21" s="343"/>
      <c r="P21" s="341"/>
    </row>
    <row r="22" spans="1:16" ht="16">
      <c r="A22" s="3"/>
      <c r="B22" s="3"/>
      <c r="C22" s="170"/>
      <c r="D22" s="337"/>
      <c r="F22"/>
      <c r="G22"/>
      <c r="H22" s="339"/>
      <c r="I22" s="68"/>
      <c r="J22" s="340"/>
      <c r="K22" s="340"/>
      <c r="L22" s="340"/>
      <c r="M22" s="340"/>
      <c r="N22" s="340"/>
      <c r="O22" s="340"/>
      <c r="P22" s="341"/>
    </row>
    <row r="23" spans="1:16" ht="16">
      <c r="A23" s="3"/>
      <c r="B23" s="3"/>
      <c r="C23" s="170"/>
      <c r="D23" s="337"/>
      <c r="F23"/>
      <c r="G23"/>
      <c r="H23" s="339"/>
      <c r="I23" s="68"/>
      <c r="J23" s="340"/>
      <c r="K23" s="340"/>
      <c r="L23" s="340"/>
      <c r="M23" s="340"/>
      <c r="N23" s="340"/>
      <c r="O23" s="340"/>
      <c r="P23" s="341"/>
    </row>
    <row r="24" spans="1:16" ht="16">
      <c r="A24" s="3"/>
      <c r="B24" s="3"/>
      <c r="C24" s="170"/>
      <c r="D24" s="337"/>
      <c r="F24"/>
      <c r="G24"/>
      <c r="H24" s="339"/>
      <c r="I24" s="68"/>
      <c r="J24" s="340"/>
      <c r="K24" s="340"/>
      <c r="L24" s="340"/>
      <c r="M24" s="340"/>
      <c r="N24" s="340"/>
      <c r="O24" s="340"/>
      <c r="P24" s="341"/>
    </row>
    <row r="25" spans="1:16" ht="16">
      <c r="A25" s="3"/>
      <c r="B25" s="3"/>
      <c r="C25" s="170"/>
      <c r="D25" s="337"/>
      <c r="F25"/>
      <c r="G25"/>
      <c r="H25" s="339"/>
      <c r="I25" s="68"/>
      <c r="J25" s="340"/>
      <c r="K25" s="340"/>
      <c r="L25" s="340"/>
      <c r="M25" s="340"/>
      <c r="N25" s="340"/>
      <c r="O25" s="340"/>
      <c r="P25" s="341"/>
    </row>
    <row r="26" spans="1:16" ht="16">
      <c r="A26" s="3"/>
      <c r="B26" s="3"/>
      <c r="C26" s="170"/>
      <c r="D26" s="337"/>
      <c r="F26"/>
      <c r="G26"/>
      <c r="H26" s="339"/>
      <c r="I26" s="68"/>
      <c r="J26" s="340"/>
      <c r="K26" s="340"/>
      <c r="L26" s="340"/>
      <c r="M26" s="340"/>
      <c r="N26" s="340"/>
      <c r="O26" s="340"/>
      <c r="P26" s="341"/>
    </row>
    <row r="27" spans="1:16" ht="16">
      <c r="A27" s="3"/>
      <c r="B27" s="3"/>
      <c r="C27" s="170"/>
      <c r="D27" s="337"/>
      <c r="F27"/>
      <c r="G27"/>
      <c r="H27" s="339"/>
      <c r="I27" s="68"/>
      <c r="J27" s="340"/>
      <c r="K27" s="340"/>
      <c r="L27" s="340"/>
      <c r="M27" s="340"/>
      <c r="N27" s="340"/>
      <c r="O27" s="340"/>
      <c r="P27" s="341"/>
    </row>
    <row r="28" spans="1:16" ht="16">
      <c r="D28" s="8"/>
      <c r="E28" s="7"/>
      <c r="F28" s="8"/>
      <c r="G28" s="8"/>
    </row>
    <row r="29" spans="1:16" ht="16">
      <c r="D29" s="8"/>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7728-A5B1-0146-9696-2E6B9F82547A}">
  <dimension ref="A1:G2484"/>
  <sheetViews>
    <sheetView showGridLines="0" topLeftCell="A2" zoomScale="159" workbookViewId="0">
      <selection activeCell="H16" sqref="H16"/>
    </sheetView>
  </sheetViews>
  <sheetFormatPr baseColWidth="10" defaultColWidth="11.6640625" defaultRowHeight="15"/>
  <cols>
    <col min="1" max="1" width="11.1640625" style="80" customWidth="1"/>
    <col min="2" max="2" width="11" style="80" bestFit="1" customWidth="1"/>
    <col min="3" max="3" width="10.1640625" style="80" bestFit="1" customWidth="1"/>
    <col min="4" max="4" width="16" style="80" customWidth="1"/>
    <col min="5" max="5" width="10.83203125" style="80" customWidth="1"/>
    <col min="6" max="6" width="19" style="80" customWidth="1"/>
    <col min="7" max="7" width="2.6640625" style="80" customWidth="1"/>
    <col min="8" max="16384" width="11.6640625" style="80"/>
  </cols>
  <sheetData>
    <row r="1" spans="1:6" ht="33">
      <c r="A1" s="221" t="str">
        <f>Historical!A1</f>
        <v>Shree Cement Limited</v>
      </c>
      <c r="B1" s="222"/>
      <c r="C1" s="222"/>
      <c r="D1" s="222"/>
      <c r="E1" s="222"/>
      <c r="F1" s="222"/>
    </row>
    <row r="2" spans="1:6" ht="19">
      <c r="A2" s="224" t="s">
        <v>218</v>
      </c>
      <c r="B2" s="224"/>
      <c r="C2" s="224"/>
      <c r="D2" s="224"/>
      <c r="E2" s="224"/>
      <c r="F2" s="224"/>
    </row>
    <row r="4" spans="1:6" ht="16">
      <c r="A4" s="220"/>
      <c r="B4" s="220" t="s">
        <v>219</v>
      </c>
      <c r="C4"/>
    </row>
    <row r="5" spans="1:6" ht="16">
      <c r="A5" s="220" t="s">
        <v>160</v>
      </c>
      <c r="B5" s="220" t="s">
        <v>220</v>
      </c>
      <c r="C5"/>
    </row>
    <row r="6" spans="1:6" ht="16">
      <c r="A6" s="82">
        <v>45883</v>
      </c>
      <c r="B6" s="83">
        <v>24631.3</v>
      </c>
      <c r="C6"/>
      <c r="D6" s="84"/>
    </row>
    <row r="7" spans="1:6" ht="16">
      <c r="A7" s="82">
        <v>45882</v>
      </c>
      <c r="B7" s="83">
        <v>24619.35</v>
      </c>
      <c r="C7"/>
      <c r="D7" s="81" t="s">
        <v>219</v>
      </c>
      <c r="E7" s="80" t="s">
        <v>221</v>
      </c>
    </row>
    <row r="8" spans="1:6" ht="16">
      <c r="A8" s="82">
        <v>45881</v>
      </c>
      <c r="B8" s="83">
        <v>24487.4</v>
      </c>
      <c r="C8"/>
      <c r="D8" s="81"/>
    </row>
    <row r="9" spans="1:6" ht="16">
      <c r="A9" s="82">
        <v>45880</v>
      </c>
      <c r="B9" s="83">
        <v>24585.05</v>
      </c>
      <c r="C9"/>
      <c r="D9" s="81" t="s">
        <v>222</v>
      </c>
      <c r="E9" s="277">
        <f>YEARFRAC(A6,A2483)</f>
        <v>10</v>
      </c>
    </row>
    <row r="10" spans="1:6" ht="16">
      <c r="A10" s="82">
        <v>45877</v>
      </c>
      <c r="B10" s="83">
        <v>24363.3</v>
      </c>
      <c r="C10"/>
      <c r="D10" s="81"/>
      <c r="E10" s="84"/>
    </row>
    <row r="11" spans="1:6" ht="16">
      <c r="A11" s="82">
        <v>45876</v>
      </c>
      <c r="B11" s="83">
        <v>24596.15</v>
      </c>
      <c r="C11"/>
      <c r="D11" s="81" t="s">
        <v>223</v>
      </c>
      <c r="E11" s="278">
        <f>_xlfn.RRI(E9,B2483,B6)</f>
        <v>0.11201889249034003</v>
      </c>
    </row>
    <row r="12" spans="1:6" ht="16">
      <c r="A12" s="82">
        <v>45875</v>
      </c>
      <c r="B12" s="83">
        <v>24574.2</v>
      </c>
      <c r="C12"/>
    </row>
    <row r="13" spans="1:6" ht="16">
      <c r="A13" s="82">
        <v>45874</v>
      </c>
      <c r="B13" s="83">
        <v>24649.55</v>
      </c>
      <c r="C13"/>
    </row>
    <row r="14" spans="1:6" ht="16">
      <c r="A14" s="82">
        <v>45873</v>
      </c>
      <c r="B14" s="83">
        <v>24722.75</v>
      </c>
      <c r="C14"/>
    </row>
    <row r="15" spans="1:6">
      <c r="A15" s="82">
        <v>45870</v>
      </c>
      <c r="B15" s="83">
        <v>24565.35</v>
      </c>
    </row>
    <row r="16" spans="1:6">
      <c r="A16" s="82">
        <v>45869</v>
      </c>
      <c r="B16" s="83">
        <v>24768.35</v>
      </c>
      <c r="F16" s="84"/>
    </row>
    <row r="17" spans="1:7">
      <c r="A17" s="82">
        <v>45868</v>
      </c>
      <c r="B17" s="83">
        <v>24855.05</v>
      </c>
      <c r="F17" s="84"/>
    </row>
    <row r="18" spans="1:7" ht="16">
      <c r="A18" s="82">
        <v>45867</v>
      </c>
      <c r="B18" s="83">
        <v>24821.1</v>
      </c>
      <c r="C18"/>
      <c r="F18" s="84"/>
    </row>
    <row r="19" spans="1:7" ht="16">
      <c r="A19" s="82">
        <v>45866</v>
      </c>
      <c r="B19" s="83">
        <v>24680.9</v>
      </c>
      <c r="C19"/>
      <c r="D19" s="84"/>
      <c r="F19" s="85"/>
    </row>
    <row r="20" spans="1:7" ht="16">
      <c r="A20" s="82">
        <v>45863</v>
      </c>
      <c r="B20" s="83">
        <v>24837</v>
      </c>
      <c r="C20"/>
      <c r="D20" s="84"/>
      <c r="G20" s="86"/>
    </row>
    <row r="21" spans="1:7" ht="16">
      <c r="A21" s="82">
        <v>45862</v>
      </c>
      <c r="B21" s="83">
        <v>25062.1</v>
      </c>
      <c r="C21"/>
      <c r="D21" s="84"/>
      <c r="G21" s="86"/>
    </row>
    <row r="22" spans="1:7" ht="16">
      <c r="A22" s="82">
        <v>45861</v>
      </c>
      <c r="B22" s="83">
        <v>25219.9</v>
      </c>
      <c r="C22"/>
      <c r="G22" s="87"/>
    </row>
    <row r="23" spans="1:7" ht="16">
      <c r="A23" s="82">
        <v>45860</v>
      </c>
      <c r="B23" s="83">
        <v>25060.9</v>
      </c>
      <c r="C23"/>
    </row>
    <row r="24" spans="1:7" ht="16">
      <c r="A24" s="82">
        <v>45859</v>
      </c>
      <c r="B24" s="83">
        <v>25090.7</v>
      </c>
      <c r="C24"/>
    </row>
    <row r="25" spans="1:7" ht="16">
      <c r="A25" s="82">
        <v>45856</v>
      </c>
      <c r="B25" s="83">
        <v>24968.400000000001</v>
      </c>
      <c r="C25"/>
    </row>
    <row r="26" spans="1:7" ht="16">
      <c r="A26" s="82">
        <v>45855</v>
      </c>
      <c r="B26" s="83">
        <v>25111.45</v>
      </c>
      <c r="C26"/>
    </row>
    <row r="27" spans="1:7" ht="16">
      <c r="A27" s="82">
        <v>45854</v>
      </c>
      <c r="B27" s="83">
        <v>25212.05</v>
      </c>
      <c r="C27"/>
    </row>
    <row r="28" spans="1:7" ht="16">
      <c r="A28" s="82">
        <v>45853</v>
      </c>
      <c r="B28" s="83">
        <v>25195.8</v>
      </c>
      <c r="C28"/>
      <c r="D28" s="84"/>
    </row>
    <row r="29" spans="1:7" ht="16">
      <c r="A29" s="82">
        <v>45852</v>
      </c>
      <c r="B29" s="83">
        <v>25082.3</v>
      </c>
      <c r="C29"/>
      <c r="D29" s="84"/>
    </row>
    <row r="30" spans="1:7" ht="16">
      <c r="A30" s="82">
        <v>45849</v>
      </c>
      <c r="B30" s="83">
        <v>25149.85</v>
      </c>
      <c r="C30"/>
      <c r="D30" s="84"/>
    </row>
    <row r="31" spans="1:7" ht="16">
      <c r="A31" s="82">
        <v>45848</v>
      </c>
      <c r="B31" s="83">
        <v>25355.25</v>
      </c>
      <c r="C31"/>
      <c r="D31" s="84"/>
    </row>
    <row r="32" spans="1:7" ht="16">
      <c r="A32" s="82">
        <v>45847</v>
      </c>
      <c r="B32" s="83">
        <v>25476.1</v>
      </c>
      <c r="C32"/>
      <c r="D32" s="84"/>
    </row>
    <row r="33" spans="1:4" ht="16">
      <c r="A33" s="82">
        <v>45846</v>
      </c>
      <c r="B33" s="83">
        <v>25522.5</v>
      </c>
      <c r="C33"/>
      <c r="D33" s="84"/>
    </row>
    <row r="34" spans="1:4" ht="16">
      <c r="A34" s="82">
        <v>45845</v>
      </c>
      <c r="B34" s="83">
        <v>25461.3</v>
      </c>
      <c r="C34"/>
      <c r="D34" s="84"/>
    </row>
    <row r="35" spans="1:4" ht="16">
      <c r="A35" s="82">
        <v>45842</v>
      </c>
      <c r="B35" s="83">
        <v>25461</v>
      </c>
      <c r="C35"/>
      <c r="D35" s="84"/>
    </row>
    <row r="36" spans="1:4" ht="16">
      <c r="A36" s="82">
        <v>45841</v>
      </c>
      <c r="B36" s="83">
        <v>25405.3</v>
      </c>
      <c r="C36"/>
      <c r="D36" s="84"/>
    </row>
    <row r="37" spans="1:4" ht="16">
      <c r="A37" s="82">
        <v>45840</v>
      </c>
      <c r="B37" s="83">
        <v>25453.4</v>
      </c>
      <c r="C37"/>
      <c r="D37" s="84"/>
    </row>
    <row r="38" spans="1:4" ht="16">
      <c r="A38" s="82">
        <v>45839</v>
      </c>
      <c r="B38" s="83">
        <v>25541.8</v>
      </c>
      <c r="C38"/>
      <c r="D38" s="84"/>
    </row>
    <row r="39" spans="1:4" ht="16">
      <c r="A39" s="82">
        <v>45838</v>
      </c>
      <c r="B39" s="83">
        <v>25517.05</v>
      </c>
      <c r="C39"/>
      <c r="D39" s="84"/>
    </row>
    <row r="40" spans="1:4" ht="16">
      <c r="A40" s="82">
        <v>45835</v>
      </c>
      <c r="B40" s="83">
        <v>25637.8</v>
      </c>
      <c r="C40"/>
      <c r="D40" s="84"/>
    </row>
    <row r="41" spans="1:4" ht="16">
      <c r="A41" s="82">
        <v>45834</v>
      </c>
      <c r="B41" s="83">
        <v>25549</v>
      </c>
      <c r="C41"/>
      <c r="D41" s="84"/>
    </row>
    <row r="42" spans="1:4" ht="16">
      <c r="A42" s="82">
        <v>45833</v>
      </c>
      <c r="B42" s="83">
        <v>25244.75</v>
      </c>
      <c r="C42"/>
      <c r="D42" s="84"/>
    </row>
    <row r="43" spans="1:4" ht="16">
      <c r="A43" s="82">
        <v>45832</v>
      </c>
      <c r="B43" s="83">
        <v>25044.35</v>
      </c>
      <c r="C43"/>
      <c r="D43" s="84"/>
    </row>
    <row r="44" spans="1:4" ht="16">
      <c r="A44" s="82">
        <v>45831</v>
      </c>
      <c r="B44" s="83">
        <v>24971.9</v>
      </c>
      <c r="C44"/>
      <c r="D44" s="84"/>
    </row>
    <row r="45" spans="1:4" ht="16">
      <c r="A45" s="82">
        <v>45828</v>
      </c>
      <c r="B45" s="83">
        <v>25112.400000000001</v>
      </c>
      <c r="C45"/>
      <c r="D45" s="84"/>
    </row>
    <row r="46" spans="1:4" ht="16">
      <c r="A46" s="82">
        <v>45827</v>
      </c>
      <c r="B46" s="83">
        <v>24793.25</v>
      </c>
      <c r="C46"/>
      <c r="D46" s="84"/>
    </row>
    <row r="47" spans="1:4" ht="16">
      <c r="A47" s="82">
        <v>45826</v>
      </c>
      <c r="B47" s="83">
        <v>24812.05</v>
      </c>
      <c r="C47"/>
      <c r="D47" s="84"/>
    </row>
    <row r="48" spans="1:4" ht="16">
      <c r="A48" s="82">
        <v>45825</v>
      </c>
      <c r="B48" s="83">
        <v>24853.4</v>
      </c>
      <c r="C48"/>
      <c r="D48" s="84"/>
    </row>
    <row r="49" spans="1:4" ht="16">
      <c r="A49" s="82">
        <v>45824</v>
      </c>
      <c r="B49" s="83">
        <v>24946.5</v>
      </c>
      <c r="C49"/>
      <c r="D49" s="84"/>
    </row>
    <row r="50" spans="1:4" ht="16">
      <c r="A50" s="82">
        <v>45821</v>
      </c>
      <c r="B50" s="83">
        <v>24718.6</v>
      </c>
      <c r="C50"/>
      <c r="D50" s="84"/>
    </row>
    <row r="51" spans="1:4" ht="16">
      <c r="A51" s="82">
        <v>45820</v>
      </c>
      <c r="B51" s="83">
        <v>24888.2</v>
      </c>
      <c r="C51"/>
      <c r="D51" s="84"/>
    </row>
    <row r="52" spans="1:4" ht="16">
      <c r="A52" s="82">
        <v>45819</v>
      </c>
      <c r="B52" s="83">
        <v>25141.4</v>
      </c>
      <c r="C52"/>
      <c r="D52" s="84"/>
    </row>
    <row r="53" spans="1:4" ht="16">
      <c r="A53" s="82">
        <v>45818</v>
      </c>
      <c r="B53" s="83">
        <v>25104.25</v>
      </c>
      <c r="C53"/>
      <c r="D53" s="84"/>
    </row>
    <row r="54" spans="1:4" ht="16">
      <c r="A54" s="82">
        <v>45817</v>
      </c>
      <c r="B54" s="83">
        <v>25103.200000000001</v>
      </c>
      <c r="C54"/>
      <c r="D54" s="84"/>
    </row>
    <row r="55" spans="1:4" ht="16">
      <c r="A55" s="82">
        <v>45814</v>
      </c>
      <c r="B55" s="83">
        <v>25003.05</v>
      </c>
      <c r="C55"/>
      <c r="D55" s="84"/>
    </row>
    <row r="56" spans="1:4" ht="16">
      <c r="A56" s="82">
        <v>45813</v>
      </c>
      <c r="B56" s="83">
        <v>24750.9</v>
      </c>
      <c r="C56"/>
      <c r="D56" s="84"/>
    </row>
    <row r="57" spans="1:4" ht="16">
      <c r="A57" s="82">
        <v>45812</v>
      </c>
      <c r="B57" s="83">
        <v>24620.2</v>
      </c>
      <c r="C57"/>
      <c r="D57" s="84"/>
    </row>
    <row r="58" spans="1:4" ht="16">
      <c r="A58" s="82">
        <v>45811</v>
      </c>
      <c r="B58" s="83">
        <v>24542.5</v>
      </c>
      <c r="C58"/>
      <c r="D58" s="84"/>
    </row>
    <row r="59" spans="1:4" ht="16">
      <c r="A59" s="82">
        <v>45810</v>
      </c>
      <c r="B59" s="83">
        <v>24716.6</v>
      </c>
      <c r="C59"/>
      <c r="D59" s="84"/>
    </row>
    <row r="60" spans="1:4" ht="16">
      <c r="A60" s="82">
        <v>45807</v>
      </c>
      <c r="B60" s="83">
        <v>24750.7</v>
      </c>
      <c r="C60"/>
      <c r="D60" s="84"/>
    </row>
    <row r="61" spans="1:4" ht="16">
      <c r="A61" s="82">
        <v>45806</v>
      </c>
      <c r="B61" s="83">
        <v>24833.599999999999</v>
      </c>
      <c r="C61"/>
      <c r="D61" s="84"/>
    </row>
    <row r="62" spans="1:4" ht="16">
      <c r="A62" s="82">
        <v>45805</v>
      </c>
      <c r="B62" s="83">
        <v>24752.45</v>
      </c>
      <c r="C62"/>
      <c r="D62" s="84"/>
    </row>
    <row r="63" spans="1:4" ht="16">
      <c r="A63" s="82">
        <v>45804</v>
      </c>
      <c r="B63" s="83">
        <v>24826.2</v>
      </c>
      <c r="C63"/>
      <c r="D63" s="84"/>
    </row>
    <row r="64" spans="1:4" ht="16">
      <c r="A64" s="82">
        <v>45803</v>
      </c>
      <c r="B64" s="83">
        <v>25001.15</v>
      </c>
      <c r="C64"/>
      <c r="D64" s="84"/>
    </row>
    <row r="65" spans="1:4" ht="16">
      <c r="A65" s="82">
        <v>45800</v>
      </c>
      <c r="B65" s="83">
        <v>24853.15</v>
      </c>
      <c r="C65"/>
      <c r="D65" s="84"/>
    </row>
    <row r="66" spans="1:4" ht="16">
      <c r="A66" s="82">
        <v>45799</v>
      </c>
      <c r="B66" s="83">
        <v>24609.7</v>
      </c>
      <c r="C66"/>
      <c r="D66" s="84"/>
    </row>
    <row r="67" spans="1:4" ht="16">
      <c r="A67" s="82">
        <v>45798</v>
      </c>
      <c r="B67" s="83">
        <v>24813.45</v>
      </c>
      <c r="C67"/>
      <c r="D67" s="84"/>
    </row>
    <row r="68" spans="1:4" ht="16">
      <c r="A68" s="82">
        <v>45797</v>
      </c>
      <c r="B68" s="83">
        <v>24683.9</v>
      </c>
      <c r="C68"/>
      <c r="D68" s="84"/>
    </row>
    <row r="69" spans="1:4" ht="16">
      <c r="A69" s="82">
        <v>45796</v>
      </c>
      <c r="B69" s="83">
        <v>24945.45</v>
      </c>
      <c r="C69"/>
      <c r="D69" s="84"/>
    </row>
    <row r="70" spans="1:4" ht="16">
      <c r="A70" s="82">
        <v>45793</v>
      </c>
      <c r="B70" s="83">
        <v>25019.8</v>
      </c>
      <c r="C70"/>
      <c r="D70" s="84"/>
    </row>
    <row r="71" spans="1:4" ht="16">
      <c r="A71" s="82">
        <v>45792</v>
      </c>
      <c r="B71" s="83">
        <v>25062.1</v>
      </c>
      <c r="C71"/>
      <c r="D71" s="84"/>
    </row>
    <row r="72" spans="1:4" ht="16">
      <c r="A72" s="82">
        <v>45791</v>
      </c>
      <c r="B72" s="83">
        <v>24666.9</v>
      </c>
      <c r="C72"/>
      <c r="D72" s="84"/>
    </row>
    <row r="73" spans="1:4" ht="16">
      <c r="A73" s="82">
        <v>45790</v>
      </c>
      <c r="B73" s="83">
        <v>24578.35</v>
      </c>
      <c r="C73"/>
      <c r="D73" s="84"/>
    </row>
    <row r="74" spans="1:4" ht="16">
      <c r="A74" s="82">
        <v>45789</v>
      </c>
      <c r="B74" s="83">
        <v>24924.7</v>
      </c>
      <c r="C74"/>
      <c r="D74" s="84"/>
    </row>
    <row r="75" spans="1:4" ht="16">
      <c r="A75" s="82">
        <v>45786</v>
      </c>
      <c r="B75" s="83">
        <v>24008</v>
      </c>
      <c r="C75"/>
      <c r="D75" s="84"/>
    </row>
    <row r="76" spans="1:4" ht="16">
      <c r="A76" s="82">
        <v>45785</v>
      </c>
      <c r="B76" s="83">
        <v>24273.8</v>
      </c>
      <c r="C76"/>
      <c r="D76" s="84"/>
    </row>
    <row r="77" spans="1:4" ht="16">
      <c r="A77" s="82">
        <v>45784</v>
      </c>
      <c r="B77" s="83">
        <v>24414.400000000001</v>
      </c>
      <c r="C77"/>
      <c r="D77" s="84"/>
    </row>
    <row r="78" spans="1:4" ht="16">
      <c r="A78" s="82">
        <v>45783</v>
      </c>
      <c r="B78" s="83">
        <v>24379.599999999999</v>
      </c>
      <c r="C78"/>
      <c r="D78" s="84"/>
    </row>
    <row r="79" spans="1:4" ht="16">
      <c r="A79" s="82">
        <v>45782</v>
      </c>
      <c r="B79" s="83">
        <v>24461.15</v>
      </c>
      <c r="C79"/>
      <c r="D79" s="84"/>
    </row>
    <row r="80" spans="1:4" ht="16">
      <c r="A80" s="82">
        <v>45779</v>
      </c>
      <c r="B80" s="83">
        <v>24346.7</v>
      </c>
      <c r="C80"/>
      <c r="D80" s="84"/>
    </row>
    <row r="81" spans="1:4" ht="16">
      <c r="A81" s="82">
        <v>45777</v>
      </c>
      <c r="B81" s="83">
        <v>24334.2</v>
      </c>
      <c r="C81"/>
      <c r="D81" s="84"/>
    </row>
    <row r="82" spans="1:4" ht="16">
      <c r="A82" s="82">
        <v>45776</v>
      </c>
      <c r="B82" s="83">
        <v>24335.95</v>
      </c>
      <c r="C82"/>
      <c r="D82" s="84"/>
    </row>
    <row r="83" spans="1:4" ht="16">
      <c r="A83" s="82">
        <v>45775</v>
      </c>
      <c r="B83" s="83">
        <v>24328.5</v>
      </c>
      <c r="C83"/>
      <c r="D83" s="84"/>
    </row>
    <row r="84" spans="1:4" ht="16">
      <c r="A84" s="82">
        <v>45772</v>
      </c>
      <c r="B84" s="83">
        <v>24039.35</v>
      </c>
      <c r="C84"/>
      <c r="D84" s="84"/>
    </row>
    <row r="85" spans="1:4" ht="16">
      <c r="A85" s="82">
        <v>45771</v>
      </c>
      <c r="B85" s="83">
        <v>24246.7</v>
      </c>
      <c r="C85"/>
      <c r="D85" s="84"/>
    </row>
    <row r="86" spans="1:4" ht="16">
      <c r="A86" s="82">
        <v>45770</v>
      </c>
      <c r="B86" s="83">
        <v>24328.95</v>
      </c>
      <c r="C86"/>
      <c r="D86" s="84"/>
    </row>
    <row r="87" spans="1:4" ht="16">
      <c r="A87" s="82">
        <v>45769</v>
      </c>
      <c r="B87" s="83">
        <v>24167.25</v>
      </c>
      <c r="C87"/>
      <c r="D87" s="84"/>
    </row>
    <row r="88" spans="1:4" ht="16">
      <c r="A88" s="82">
        <v>45768</v>
      </c>
      <c r="B88" s="83">
        <v>24125.55</v>
      </c>
      <c r="C88"/>
      <c r="D88" s="84"/>
    </row>
    <row r="89" spans="1:4" ht="16">
      <c r="A89" s="82">
        <v>45764</v>
      </c>
      <c r="B89" s="83">
        <v>23851.65</v>
      </c>
      <c r="C89"/>
      <c r="D89" s="84"/>
    </row>
    <row r="90" spans="1:4" ht="16">
      <c r="A90" s="82">
        <v>45763</v>
      </c>
      <c r="B90" s="83">
        <v>23437.200000000001</v>
      </c>
      <c r="C90"/>
      <c r="D90" s="84"/>
    </row>
    <row r="91" spans="1:4" ht="16">
      <c r="A91" s="82">
        <v>45762</v>
      </c>
      <c r="B91" s="83">
        <v>23328.55</v>
      </c>
      <c r="C91"/>
      <c r="D91" s="84"/>
    </row>
    <row r="92" spans="1:4" ht="16">
      <c r="A92" s="82">
        <v>45758</v>
      </c>
      <c r="B92" s="83">
        <v>22828.55</v>
      </c>
      <c r="C92"/>
      <c r="D92" s="84"/>
    </row>
    <row r="93" spans="1:4" ht="16">
      <c r="A93" s="82">
        <v>45756</v>
      </c>
      <c r="B93" s="83">
        <v>22399.15</v>
      </c>
      <c r="C93"/>
      <c r="D93" s="84"/>
    </row>
    <row r="94" spans="1:4" ht="16">
      <c r="A94" s="82">
        <v>45755</v>
      </c>
      <c r="B94" s="83">
        <v>22535.85</v>
      </c>
      <c r="C94"/>
      <c r="D94" s="84"/>
    </row>
    <row r="95" spans="1:4" ht="16">
      <c r="A95" s="82">
        <v>45754</v>
      </c>
      <c r="B95" s="83">
        <v>22161.599999999999</v>
      </c>
      <c r="C95"/>
      <c r="D95" s="84"/>
    </row>
    <row r="96" spans="1:4" ht="16">
      <c r="A96" s="82">
        <v>45751</v>
      </c>
      <c r="B96" s="83">
        <v>22904.45</v>
      </c>
      <c r="C96"/>
      <c r="D96" s="84"/>
    </row>
    <row r="97" spans="1:4" ht="16">
      <c r="A97" s="82">
        <v>45750</v>
      </c>
      <c r="B97" s="83">
        <v>23250.1</v>
      </c>
      <c r="C97"/>
      <c r="D97" s="84"/>
    </row>
    <row r="98" spans="1:4" ht="16">
      <c r="A98" s="82">
        <v>45749</v>
      </c>
      <c r="B98" s="83">
        <v>23332.35</v>
      </c>
      <c r="C98"/>
      <c r="D98" s="84"/>
    </row>
    <row r="99" spans="1:4" ht="16">
      <c r="A99" s="82">
        <v>45748</v>
      </c>
      <c r="B99" s="83">
        <v>23165.7</v>
      </c>
      <c r="C99"/>
      <c r="D99" s="84"/>
    </row>
    <row r="100" spans="1:4" ht="16">
      <c r="A100" s="82">
        <v>45744</v>
      </c>
      <c r="B100" s="83">
        <v>23519.35</v>
      </c>
      <c r="C100"/>
      <c r="D100" s="84"/>
    </row>
    <row r="101" spans="1:4" ht="16">
      <c r="A101" s="82">
        <v>45743</v>
      </c>
      <c r="B101" s="83">
        <v>23591.95</v>
      </c>
      <c r="C101"/>
      <c r="D101" s="84"/>
    </row>
    <row r="102" spans="1:4" ht="16">
      <c r="A102" s="82">
        <v>45742</v>
      </c>
      <c r="B102" s="83">
        <v>23486.85</v>
      </c>
      <c r="C102"/>
      <c r="D102" s="84"/>
    </row>
    <row r="103" spans="1:4" ht="16">
      <c r="A103" s="82">
        <v>45741</v>
      </c>
      <c r="B103" s="83">
        <v>23668.65</v>
      </c>
      <c r="C103"/>
      <c r="D103" s="84"/>
    </row>
    <row r="104" spans="1:4" ht="16">
      <c r="A104" s="82">
        <v>45740</v>
      </c>
      <c r="B104" s="83">
        <v>23658.35</v>
      </c>
      <c r="C104"/>
      <c r="D104" s="84"/>
    </row>
    <row r="105" spans="1:4" ht="16">
      <c r="A105" s="82">
        <v>45737</v>
      </c>
      <c r="B105" s="83">
        <v>23350.400000000001</v>
      </c>
      <c r="C105"/>
      <c r="D105" s="84"/>
    </row>
    <row r="106" spans="1:4" ht="16">
      <c r="A106" s="82">
        <v>45736</v>
      </c>
      <c r="B106" s="83">
        <v>23190.65</v>
      </c>
      <c r="C106"/>
      <c r="D106" s="84"/>
    </row>
    <row r="107" spans="1:4" ht="16">
      <c r="A107" s="82">
        <v>45735</v>
      </c>
      <c r="B107" s="83">
        <v>22907.599999999999</v>
      </c>
      <c r="C107"/>
      <c r="D107" s="84"/>
    </row>
    <row r="108" spans="1:4" ht="16">
      <c r="A108" s="82">
        <v>45734</v>
      </c>
      <c r="B108" s="83">
        <v>22834.3</v>
      </c>
      <c r="C108"/>
      <c r="D108" s="84"/>
    </row>
    <row r="109" spans="1:4" ht="16">
      <c r="A109" s="82">
        <v>45733</v>
      </c>
      <c r="B109" s="83">
        <v>22508.75</v>
      </c>
      <c r="C109"/>
      <c r="D109" s="84"/>
    </row>
    <row r="110" spans="1:4" ht="16">
      <c r="A110" s="82">
        <v>45729</v>
      </c>
      <c r="B110" s="83">
        <v>22397.200000000001</v>
      </c>
      <c r="C110"/>
      <c r="D110" s="84"/>
    </row>
    <row r="111" spans="1:4" ht="16">
      <c r="A111" s="82">
        <v>45728</v>
      </c>
      <c r="B111" s="83">
        <v>22470.5</v>
      </c>
      <c r="C111"/>
      <c r="D111" s="84"/>
    </row>
    <row r="112" spans="1:4" ht="16">
      <c r="A112" s="82">
        <v>45727</v>
      </c>
      <c r="B112" s="83">
        <v>22497.9</v>
      </c>
      <c r="C112"/>
      <c r="D112" s="84"/>
    </row>
    <row r="113" spans="1:4" ht="16">
      <c r="A113" s="82">
        <v>45726</v>
      </c>
      <c r="B113" s="83">
        <v>22460.3</v>
      </c>
      <c r="C113"/>
      <c r="D113" s="84"/>
    </row>
    <row r="114" spans="1:4" ht="16">
      <c r="A114" s="82">
        <v>45723</v>
      </c>
      <c r="B114" s="83">
        <v>22552.5</v>
      </c>
      <c r="C114"/>
      <c r="D114" s="84"/>
    </row>
    <row r="115" spans="1:4" ht="16">
      <c r="A115" s="82">
        <v>45722</v>
      </c>
      <c r="B115" s="83">
        <v>22544.7</v>
      </c>
      <c r="C115"/>
      <c r="D115" s="84"/>
    </row>
    <row r="116" spans="1:4" ht="16">
      <c r="A116" s="82">
        <v>45721</v>
      </c>
      <c r="B116" s="83">
        <v>22337.3</v>
      </c>
      <c r="C116"/>
      <c r="D116" s="84"/>
    </row>
    <row r="117" spans="1:4" ht="16">
      <c r="A117" s="82">
        <v>45720</v>
      </c>
      <c r="B117" s="83">
        <v>22082.65</v>
      </c>
      <c r="C117"/>
      <c r="D117" s="84"/>
    </row>
    <row r="118" spans="1:4" ht="16">
      <c r="A118" s="82">
        <v>45719</v>
      </c>
      <c r="B118" s="83">
        <v>22119.3</v>
      </c>
      <c r="C118"/>
      <c r="D118" s="84"/>
    </row>
    <row r="119" spans="1:4" ht="16">
      <c r="A119" s="82">
        <v>45716</v>
      </c>
      <c r="B119" s="83">
        <v>22124.7</v>
      </c>
      <c r="C119"/>
      <c r="D119" s="84"/>
    </row>
    <row r="120" spans="1:4" ht="16">
      <c r="A120" s="82">
        <v>45715</v>
      </c>
      <c r="B120" s="83">
        <v>22545.05</v>
      </c>
      <c r="C120"/>
      <c r="D120" s="84"/>
    </row>
    <row r="121" spans="1:4" ht="16">
      <c r="A121" s="82">
        <v>45713</v>
      </c>
      <c r="B121" s="83">
        <v>22547.55</v>
      </c>
      <c r="C121"/>
      <c r="D121" s="84"/>
    </row>
    <row r="122" spans="1:4" ht="16">
      <c r="A122" s="82">
        <v>45712</v>
      </c>
      <c r="B122" s="83">
        <v>22553.35</v>
      </c>
      <c r="C122"/>
      <c r="D122" s="84"/>
    </row>
    <row r="123" spans="1:4" ht="16">
      <c r="A123" s="82">
        <v>45709</v>
      </c>
      <c r="B123" s="83">
        <v>22795.9</v>
      </c>
      <c r="C123"/>
      <c r="D123" s="84"/>
    </row>
    <row r="124" spans="1:4" ht="16">
      <c r="A124" s="82">
        <v>45708</v>
      </c>
      <c r="B124" s="83">
        <v>22913.15</v>
      </c>
      <c r="C124"/>
      <c r="D124" s="84"/>
    </row>
    <row r="125" spans="1:4" ht="16">
      <c r="A125" s="82">
        <v>45707</v>
      </c>
      <c r="B125" s="83">
        <v>22932.9</v>
      </c>
      <c r="C125"/>
      <c r="D125" s="84"/>
    </row>
    <row r="126" spans="1:4" ht="16">
      <c r="A126" s="82">
        <v>45706</v>
      </c>
      <c r="B126" s="83">
        <v>22945.3</v>
      </c>
      <c r="C126"/>
      <c r="D126" s="84"/>
    </row>
    <row r="127" spans="1:4" ht="16">
      <c r="A127" s="82">
        <v>45705</v>
      </c>
      <c r="B127" s="83">
        <v>22959.5</v>
      </c>
      <c r="C127"/>
      <c r="D127" s="84"/>
    </row>
    <row r="128" spans="1:4" ht="16">
      <c r="A128" s="82">
        <v>45702</v>
      </c>
      <c r="B128" s="83">
        <v>22929.25</v>
      </c>
      <c r="C128"/>
      <c r="D128" s="84"/>
    </row>
    <row r="129" spans="1:4" ht="16">
      <c r="A129" s="82">
        <v>45701</v>
      </c>
      <c r="B129" s="83">
        <v>23031.4</v>
      </c>
      <c r="C129"/>
      <c r="D129" s="84"/>
    </row>
    <row r="130" spans="1:4" ht="16">
      <c r="A130" s="82">
        <v>45700</v>
      </c>
      <c r="B130" s="83">
        <v>23045.25</v>
      </c>
      <c r="C130"/>
      <c r="D130" s="84"/>
    </row>
    <row r="131" spans="1:4" ht="16">
      <c r="A131" s="82">
        <v>45699</v>
      </c>
      <c r="B131" s="83">
        <v>23071.8</v>
      </c>
      <c r="C131"/>
      <c r="D131" s="84"/>
    </row>
    <row r="132" spans="1:4" ht="16">
      <c r="A132" s="82">
        <v>45698</v>
      </c>
      <c r="B132" s="83">
        <v>23381.599999999999</v>
      </c>
      <c r="C132"/>
      <c r="D132" s="84"/>
    </row>
    <row r="133" spans="1:4" ht="16">
      <c r="A133" s="82">
        <v>45695</v>
      </c>
      <c r="B133" s="83">
        <v>23559.95</v>
      </c>
      <c r="C133"/>
      <c r="D133" s="84"/>
    </row>
    <row r="134" spans="1:4" ht="16">
      <c r="A134" s="82">
        <v>45694</v>
      </c>
      <c r="B134" s="83">
        <v>23603.35</v>
      </c>
      <c r="C134"/>
      <c r="D134" s="84"/>
    </row>
    <row r="135" spans="1:4" ht="16">
      <c r="A135" s="82">
        <v>45693</v>
      </c>
      <c r="B135" s="83">
        <v>23696.3</v>
      </c>
      <c r="C135"/>
      <c r="D135" s="84"/>
    </row>
    <row r="136" spans="1:4" ht="16">
      <c r="A136" s="82">
        <v>45692</v>
      </c>
      <c r="B136" s="83">
        <v>23739.25</v>
      </c>
      <c r="C136"/>
      <c r="D136" s="84"/>
    </row>
    <row r="137" spans="1:4" ht="16">
      <c r="A137" s="82">
        <v>45691</v>
      </c>
      <c r="B137" s="83">
        <v>23361.05</v>
      </c>
      <c r="C137"/>
      <c r="D137" s="84"/>
    </row>
    <row r="138" spans="1:4" ht="16">
      <c r="A138" s="82">
        <v>45689</v>
      </c>
      <c r="B138" s="83">
        <v>23482.15</v>
      </c>
      <c r="C138"/>
      <c r="D138" s="84"/>
    </row>
    <row r="139" spans="1:4" ht="16">
      <c r="A139" s="82">
        <v>45688</v>
      </c>
      <c r="B139" s="83">
        <v>23508.400000000001</v>
      </c>
      <c r="C139"/>
      <c r="D139" s="84"/>
    </row>
    <row r="140" spans="1:4" ht="16">
      <c r="A140" s="82">
        <v>45687</v>
      </c>
      <c r="B140" s="83">
        <v>23249.5</v>
      </c>
      <c r="C140"/>
      <c r="D140" s="84"/>
    </row>
    <row r="141" spans="1:4" ht="16">
      <c r="A141" s="82">
        <v>45686</v>
      </c>
      <c r="B141" s="83">
        <v>23163.1</v>
      </c>
      <c r="C141"/>
      <c r="D141" s="84"/>
    </row>
    <row r="142" spans="1:4" ht="16">
      <c r="A142" s="82">
        <v>45685</v>
      </c>
      <c r="B142" s="83">
        <v>22957.25</v>
      </c>
      <c r="C142"/>
      <c r="D142" s="84"/>
    </row>
    <row r="143" spans="1:4" ht="16">
      <c r="A143" s="82">
        <v>45684</v>
      </c>
      <c r="B143" s="83">
        <v>22829.15</v>
      </c>
      <c r="C143"/>
      <c r="D143" s="84"/>
    </row>
    <row r="144" spans="1:4" ht="16">
      <c r="A144" s="82">
        <v>45681</v>
      </c>
      <c r="B144" s="83">
        <v>23092.2</v>
      </c>
      <c r="C144"/>
      <c r="D144" s="84"/>
    </row>
    <row r="145" spans="1:4" ht="16">
      <c r="A145" s="82">
        <v>45680</v>
      </c>
      <c r="B145" s="83">
        <v>23205.35</v>
      </c>
      <c r="C145"/>
      <c r="D145" s="84"/>
    </row>
    <row r="146" spans="1:4" ht="16">
      <c r="A146" s="82">
        <v>45679</v>
      </c>
      <c r="B146" s="83">
        <v>23155.35</v>
      </c>
      <c r="C146"/>
      <c r="D146" s="84"/>
    </row>
    <row r="147" spans="1:4" ht="16">
      <c r="A147" s="82">
        <v>45678</v>
      </c>
      <c r="B147" s="83">
        <v>23024.65</v>
      </c>
      <c r="C147"/>
      <c r="D147" s="84"/>
    </row>
    <row r="148" spans="1:4" ht="16">
      <c r="A148" s="82">
        <v>45677</v>
      </c>
      <c r="B148" s="83">
        <v>23344.75</v>
      </c>
      <c r="C148"/>
      <c r="D148" s="84"/>
    </row>
    <row r="149" spans="1:4" ht="16">
      <c r="A149" s="82">
        <v>45674</v>
      </c>
      <c r="B149" s="83">
        <v>23203.200000000001</v>
      </c>
      <c r="C149"/>
      <c r="D149" s="84"/>
    </row>
    <row r="150" spans="1:4" ht="16">
      <c r="A150" s="82">
        <v>45673</v>
      </c>
      <c r="B150" s="83">
        <v>23311.8</v>
      </c>
      <c r="C150"/>
      <c r="D150" s="84"/>
    </row>
    <row r="151" spans="1:4" ht="16">
      <c r="A151" s="82">
        <v>45672</v>
      </c>
      <c r="B151" s="83">
        <v>23213.200000000001</v>
      </c>
      <c r="C151"/>
      <c r="D151" s="84"/>
    </row>
    <row r="152" spans="1:4" ht="16">
      <c r="A152" s="82">
        <v>45671</v>
      </c>
      <c r="B152" s="83">
        <v>23176.05</v>
      </c>
      <c r="C152"/>
      <c r="D152" s="84"/>
    </row>
    <row r="153" spans="1:4" ht="16">
      <c r="A153" s="82">
        <v>45670</v>
      </c>
      <c r="B153" s="83">
        <v>23085.95</v>
      </c>
      <c r="C153"/>
      <c r="D153" s="84"/>
    </row>
    <row r="154" spans="1:4" ht="16">
      <c r="A154" s="82">
        <v>45667</v>
      </c>
      <c r="B154" s="83">
        <v>23431.5</v>
      </c>
      <c r="C154"/>
      <c r="D154" s="84"/>
    </row>
    <row r="155" spans="1:4" ht="16">
      <c r="A155" s="82">
        <v>45666</v>
      </c>
      <c r="B155" s="83">
        <v>23526.5</v>
      </c>
      <c r="C155"/>
      <c r="D155" s="84"/>
    </row>
    <row r="156" spans="1:4" ht="16">
      <c r="A156" s="82">
        <v>45665</v>
      </c>
      <c r="B156" s="83">
        <v>23688.95</v>
      </c>
      <c r="C156"/>
      <c r="D156" s="84"/>
    </row>
    <row r="157" spans="1:4" ht="16">
      <c r="A157" s="82">
        <v>45664</v>
      </c>
      <c r="B157" s="83">
        <v>23707.9</v>
      </c>
      <c r="C157"/>
      <c r="D157" s="84"/>
    </row>
    <row r="158" spans="1:4" ht="16">
      <c r="A158" s="82">
        <v>45663</v>
      </c>
      <c r="B158" s="83">
        <v>23616.05</v>
      </c>
      <c r="C158"/>
      <c r="D158" s="84"/>
    </row>
    <row r="159" spans="1:4" ht="16">
      <c r="A159" s="82">
        <v>45660</v>
      </c>
      <c r="B159" s="83">
        <v>24004.75</v>
      </c>
      <c r="C159"/>
      <c r="D159" s="84"/>
    </row>
    <row r="160" spans="1:4" ht="16">
      <c r="A160" s="82">
        <v>45659</v>
      </c>
      <c r="B160" s="83">
        <v>24188.65</v>
      </c>
      <c r="C160"/>
      <c r="D160" s="84"/>
    </row>
    <row r="161" spans="1:4" ht="16">
      <c r="A161" s="82">
        <v>45658</v>
      </c>
      <c r="B161" s="83">
        <v>23742.9</v>
      </c>
      <c r="C161"/>
      <c r="D161" s="84"/>
    </row>
    <row r="162" spans="1:4" ht="16">
      <c r="A162" s="82">
        <v>45657</v>
      </c>
      <c r="B162" s="83">
        <v>23644.799999999999</v>
      </c>
      <c r="C162"/>
      <c r="D162" s="84"/>
    </row>
    <row r="163" spans="1:4" ht="16">
      <c r="A163" s="82">
        <v>45656</v>
      </c>
      <c r="B163" s="83">
        <v>23644.9</v>
      </c>
      <c r="C163"/>
      <c r="D163" s="84"/>
    </row>
    <row r="164" spans="1:4" ht="16">
      <c r="A164" s="82">
        <v>45653</v>
      </c>
      <c r="B164" s="83">
        <v>23813.4</v>
      </c>
      <c r="C164"/>
      <c r="D164" s="84"/>
    </row>
    <row r="165" spans="1:4" ht="16">
      <c r="A165" s="82">
        <v>45652</v>
      </c>
      <c r="B165" s="83">
        <v>23750.2</v>
      </c>
      <c r="C165"/>
      <c r="D165" s="84"/>
    </row>
    <row r="166" spans="1:4" ht="16">
      <c r="A166" s="82">
        <v>45650</v>
      </c>
      <c r="B166" s="83">
        <v>23727.65</v>
      </c>
      <c r="C166"/>
      <c r="D166" s="84"/>
    </row>
    <row r="167" spans="1:4" ht="16">
      <c r="A167" s="82">
        <v>45649</v>
      </c>
      <c r="B167" s="83">
        <v>23753.45</v>
      </c>
      <c r="C167"/>
      <c r="D167" s="84"/>
    </row>
    <row r="168" spans="1:4" ht="16">
      <c r="A168" s="82">
        <v>45646</v>
      </c>
      <c r="B168" s="83">
        <v>23587.5</v>
      </c>
      <c r="C168"/>
      <c r="D168" s="84"/>
    </row>
    <row r="169" spans="1:4" ht="16">
      <c r="A169" s="82">
        <v>45645</v>
      </c>
      <c r="B169" s="83">
        <v>23951.7</v>
      </c>
      <c r="C169"/>
      <c r="D169" s="84"/>
    </row>
    <row r="170" spans="1:4" ht="16">
      <c r="A170" s="82">
        <v>45644</v>
      </c>
      <c r="B170" s="83">
        <v>24198.85</v>
      </c>
      <c r="C170"/>
      <c r="D170" s="84"/>
    </row>
    <row r="171" spans="1:4" ht="16">
      <c r="A171" s="82">
        <v>45643</v>
      </c>
      <c r="B171" s="83">
        <v>24336</v>
      </c>
      <c r="C171"/>
      <c r="D171" s="84"/>
    </row>
    <row r="172" spans="1:4" ht="16">
      <c r="A172" s="82">
        <v>45642</v>
      </c>
      <c r="B172" s="83">
        <v>24668.25</v>
      </c>
      <c r="C172"/>
      <c r="D172" s="84"/>
    </row>
    <row r="173" spans="1:4" ht="16">
      <c r="A173" s="82">
        <v>45639</v>
      </c>
      <c r="B173" s="83">
        <v>24768.3</v>
      </c>
      <c r="C173"/>
      <c r="D173" s="84"/>
    </row>
    <row r="174" spans="1:4" ht="16">
      <c r="A174" s="82">
        <v>45638</v>
      </c>
      <c r="B174" s="83">
        <v>24548.7</v>
      </c>
      <c r="C174"/>
      <c r="D174" s="84"/>
    </row>
    <row r="175" spans="1:4" ht="16">
      <c r="A175" s="82">
        <v>45637</v>
      </c>
      <c r="B175" s="83">
        <v>24641.8</v>
      </c>
      <c r="C175"/>
      <c r="D175" s="84"/>
    </row>
    <row r="176" spans="1:4" ht="16">
      <c r="A176" s="82">
        <v>45636</v>
      </c>
      <c r="B176" s="83">
        <v>24610.05</v>
      </c>
      <c r="C176"/>
      <c r="D176" s="84"/>
    </row>
    <row r="177" spans="1:4" ht="16">
      <c r="A177" s="82">
        <v>45635</v>
      </c>
      <c r="B177" s="83">
        <v>24619</v>
      </c>
      <c r="C177"/>
      <c r="D177" s="84"/>
    </row>
    <row r="178" spans="1:4" ht="16">
      <c r="A178" s="82">
        <v>45632</v>
      </c>
      <c r="B178" s="83">
        <v>24677.8</v>
      </c>
      <c r="C178"/>
      <c r="D178" s="84"/>
    </row>
    <row r="179" spans="1:4" ht="16">
      <c r="A179" s="82">
        <v>45631</v>
      </c>
      <c r="B179" s="83">
        <v>24708.400000000001</v>
      </c>
      <c r="C179"/>
      <c r="D179" s="84"/>
    </row>
    <row r="180" spans="1:4" ht="16">
      <c r="A180" s="82">
        <v>45630</v>
      </c>
      <c r="B180" s="83">
        <v>24467.45</v>
      </c>
      <c r="C180"/>
      <c r="D180" s="84"/>
    </row>
    <row r="181" spans="1:4" ht="16">
      <c r="A181" s="82">
        <v>45629</v>
      </c>
      <c r="B181" s="83">
        <v>24457.15</v>
      </c>
      <c r="C181"/>
      <c r="D181" s="84"/>
    </row>
    <row r="182" spans="1:4" ht="16">
      <c r="A182" s="82">
        <v>45628</v>
      </c>
      <c r="B182" s="83">
        <v>24276.05</v>
      </c>
      <c r="C182"/>
      <c r="D182" s="84"/>
    </row>
    <row r="183" spans="1:4" ht="16">
      <c r="A183" s="82">
        <v>45625</v>
      </c>
      <c r="B183" s="83">
        <v>24131.1</v>
      </c>
      <c r="C183"/>
      <c r="D183" s="84"/>
    </row>
    <row r="184" spans="1:4" ht="16">
      <c r="A184" s="82">
        <v>45624</v>
      </c>
      <c r="B184" s="83">
        <v>23914.15</v>
      </c>
      <c r="C184"/>
      <c r="D184" s="84"/>
    </row>
    <row r="185" spans="1:4" ht="16">
      <c r="A185" s="82">
        <v>45623</v>
      </c>
      <c r="B185" s="83">
        <v>24274.9</v>
      </c>
      <c r="C185"/>
      <c r="D185" s="84"/>
    </row>
    <row r="186" spans="1:4" ht="16">
      <c r="A186" s="82">
        <v>45622</v>
      </c>
      <c r="B186" s="83">
        <v>24194.5</v>
      </c>
      <c r="C186"/>
      <c r="D186" s="84"/>
    </row>
    <row r="187" spans="1:4" ht="16">
      <c r="A187" s="82">
        <v>45621</v>
      </c>
      <c r="B187" s="83">
        <v>24221.9</v>
      </c>
      <c r="C187"/>
      <c r="D187" s="84"/>
    </row>
    <row r="188" spans="1:4" ht="16">
      <c r="A188" s="82">
        <v>45618</v>
      </c>
      <c r="B188" s="83">
        <v>23907.25</v>
      </c>
      <c r="C188"/>
      <c r="D188" s="84"/>
    </row>
    <row r="189" spans="1:4" ht="16">
      <c r="A189" s="82">
        <v>45617</v>
      </c>
      <c r="B189" s="83">
        <v>23349.9</v>
      </c>
      <c r="C189"/>
      <c r="D189" s="84"/>
    </row>
    <row r="190" spans="1:4" ht="16">
      <c r="A190" s="82">
        <v>45615</v>
      </c>
      <c r="B190" s="83">
        <v>23518.5</v>
      </c>
      <c r="C190"/>
      <c r="D190" s="84"/>
    </row>
    <row r="191" spans="1:4" ht="16">
      <c r="A191" s="82">
        <v>45614</v>
      </c>
      <c r="B191" s="83">
        <v>23453.8</v>
      </c>
      <c r="C191"/>
      <c r="D191" s="84"/>
    </row>
    <row r="192" spans="1:4" ht="16">
      <c r="A192" s="82">
        <v>45610</v>
      </c>
      <c r="B192" s="83">
        <v>23532.7</v>
      </c>
      <c r="C192"/>
      <c r="D192" s="84"/>
    </row>
    <row r="193" spans="1:4" ht="16">
      <c r="A193" s="82">
        <v>45609</v>
      </c>
      <c r="B193" s="83">
        <v>23559.05</v>
      </c>
      <c r="C193"/>
      <c r="D193" s="84"/>
    </row>
    <row r="194" spans="1:4" ht="16">
      <c r="A194" s="82">
        <v>45608</v>
      </c>
      <c r="B194" s="83">
        <v>23883.45</v>
      </c>
      <c r="C194"/>
      <c r="D194" s="84"/>
    </row>
    <row r="195" spans="1:4" ht="16">
      <c r="A195" s="82">
        <v>45607</v>
      </c>
      <c r="B195" s="83">
        <v>24141.3</v>
      </c>
      <c r="C195"/>
      <c r="D195" s="84"/>
    </row>
    <row r="196" spans="1:4" ht="16">
      <c r="A196" s="82">
        <v>45604</v>
      </c>
      <c r="B196" s="83">
        <v>24148.2</v>
      </c>
      <c r="C196"/>
      <c r="D196" s="84"/>
    </row>
    <row r="197" spans="1:4" ht="16">
      <c r="A197" s="82">
        <v>45603</v>
      </c>
      <c r="B197" s="83">
        <v>24199.35</v>
      </c>
      <c r="C197"/>
      <c r="D197" s="84"/>
    </row>
    <row r="198" spans="1:4" ht="16">
      <c r="A198" s="82">
        <v>45602</v>
      </c>
      <c r="B198" s="83">
        <v>24484.05</v>
      </c>
      <c r="C198"/>
      <c r="D198" s="84"/>
    </row>
    <row r="199" spans="1:4" ht="16">
      <c r="A199" s="82">
        <v>45601</v>
      </c>
      <c r="B199" s="83">
        <v>24213.3</v>
      </c>
      <c r="C199"/>
      <c r="D199" s="84"/>
    </row>
    <row r="200" spans="1:4" ht="16">
      <c r="A200" s="82">
        <v>45600</v>
      </c>
      <c r="B200" s="83">
        <v>23995.35</v>
      </c>
      <c r="C200"/>
      <c r="D200" s="84"/>
    </row>
    <row r="201" spans="1:4" ht="16">
      <c r="A201" s="82">
        <v>45597</v>
      </c>
      <c r="B201" s="83">
        <v>24304.35</v>
      </c>
      <c r="C201"/>
      <c r="D201" s="84"/>
    </row>
    <row r="202" spans="1:4" ht="16">
      <c r="A202" s="82">
        <v>45596</v>
      </c>
      <c r="B202" s="83">
        <v>24205.35</v>
      </c>
      <c r="C202"/>
      <c r="D202" s="84"/>
    </row>
    <row r="203" spans="1:4" ht="16">
      <c r="A203" s="82">
        <v>45595</v>
      </c>
      <c r="B203" s="83">
        <v>24340.85</v>
      </c>
      <c r="C203"/>
      <c r="D203" s="84"/>
    </row>
    <row r="204" spans="1:4" ht="16">
      <c r="A204" s="82">
        <v>45594</v>
      </c>
      <c r="B204" s="83">
        <v>24466.85</v>
      </c>
      <c r="C204"/>
      <c r="D204" s="84"/>
    </row>
    <row r="205" spans="1:4" ht="16">
      <c r="A205" s="82">
        <v>45593</v>
      </c>
      <c r="B205" s="83">
        <v>24339.15</v>
      </c>
      <c r="C205"/>
      <c r="D205" s="84"/>
    </row>
    <row r="206" spans="1:4" ht="16">
      <c r="A206" s="82">
        <v>45590</v>
      </c>
      <c r="B206" s="83">
        <v>24180.799999999999</v>
      </c>
      <c r="C206"/>
      <c r="D206" s="84"/>
    </row>
    <row r="207" spans="1:4" ht="16">
      <c r="A207" s="82">
        <v>45589</v>
      </c>
      <c r="B207" s="83">
        <v>24399.4</v>
      </c>
      <c r="C207"/>
      <c r="D207" s="84"/>
    </row>
    <row r="208" spans="1:4" ht="16">
      <c r="A208" s="82">
        <v>45588</v>
      </c>
      <c r="B208" s="83">
        <v>24435.5</v>
      </c>
      <c r="C208"/>
      <c r="D208" s="84"/>
    </row>
    <row r="209" spans="1:4" ht="16">
      <c r="A209" s="82">
        <v>45587</v>
      </c>
      <c r="B209" s="83">
        <v>24472.1</v>
      </c>
      <c r="C209"/>
      <c r="D209" s="84"/>
    </row>
    <row r="210" spans="1:4" ht="16">
      <c r="A210" s="82">
        <v>45586</v>
      </c>
      <c r="B210" s="83">
        <v>24781.1</v>
      </c>
      <c r="C210"/>
      <c r="D210" s="84"/>
    </row>
    <row r="211" spans="1:4" ht="16">
      <c r="A211" s="82">
        <v>45583</v>
      </c>
      <c r="B211" s="83">
        <v>24854.05</v>
      </c>
      <c r="C211"/>
      <c r="D211" s="84"/>
    </row>
    <row r="212" spans="1:4" ht="16">
      <c r="A212" s="82">
        <v>45582</v>
      </c>
      <c r="B212" s="83">
        <v>24749.85</v>
      </c>
      <c r="C212"/>
      <c r="D212" s="84"/>
    </row>
    <row r="213" spans="1:4" ht="16">
      <c r="A213" s="82">
        <v>45581</v>
      </c>
      <c r="B213" s="83">
        <v>24971.3</v>
      </c>
      <c r="C213"/>
      <c r="D213" s="84"/>
    </row>
    <row r="214" spans="1:4" ht="16">
      <c r="A214" s="82">
        <v>45580</v>
      </c>
      <c r="B214" s="83">
        <v>25057.35</v>
      </c>
      <c r="C214"/>
      <c r="D214" s="84"/>
    </row>
    <row r="215" spans="1:4" ht="16">
      <c r="A215" s="82">
        <v>45579</v>
      </c>
      <c r="B215" s="83">
        <v>25127.95</v>
      </c>
      <c r="C215"/>
      <c r="D215" s="84"/>
    </row>
    <row r="216" spans="1:4" ht="16">
      <c r="A216" s="82">
        <v>45576</v>
      </c>
      <c r="B216" s="83">
        <v>24964.25</v>
      </c>
      <c r="C216"/>
      <c r="D216" s="84"/>
    </row>
    <row r="217" spans="1:4" ht="16">
      <c r="A217" s="82">
        <v>45575</v>
      </c>
      <c r="B217" s="83">
        <v>24998.45</v>
      </c>
      <c r="C217"/>
      <c r="D217" s="84"/>
    </row>
    <row r="218" spans="1:4" ht="16">
      <c r="A218" s="82">
        <v>45574</v>
      </c>
      <c r="B218" s="83">
        <v>24981.95</v>
      </c>
      <c r="C218"/>
      <c r="D218" s="84"/>
    </row>
    <row r="219" spans="1:4" ht="16">
      <c r="A219" s="82">
        <v>45573</v>
      </c>
      <c r="B219" s="83">
        <v>25013.15</v>
      </c>
      <c r="C219"/>
      <c r="D219" s="84"/>
    </row>
    <row r="220" spans="1:4" ht="16">
      <c r="A220" s="82">
        <v>45572</v>
      </c>
      <c r="B220" s="83">
        <v>24795.75</v>
      </c>
      <c r="C220"/>
      <c r="D220" s="84"/>
    </row>
    <row r="221" spans="1:4" ht="16">
      <c r="A221" s="82">
        <v>45569</v>
      </c>
      <c r="B221" s="83">
        <v>25014.6</v>
      </c>
      <c r="C221"/>
      <c r="D221" s="84"/>
    </row>
    <row r="222" spans="1:4" ht="16">
      <c r="A222" s="82">
        <v>45568</v>
      </c>
      <c r="B222" s="83">
        <v>25250.1</v>
      </c>
      <c r="C222"/>
      <c r="D222" s="84"/>
    </row>
    <row r="223" spans="1:4" ht="16">
      <c r="A223" s="82">
        <v>45566</v>
      </c>
      <c r="B223" s="83">
        <v>25796.9</v>
      </c>
      <c r="C223"/>
      <c r="D223" s="84"/>
    </row>
    <row r="224" spans="1:4" ht="16">
      <c r="A224" s="82">
        <v>45565</v>
      </c>
      <c r="B224" s="83">
        <v>25810.85</v>
      </c>
      <c r="C224"/>
      <c r="D224" s="84"/>
    </row>
    <row r="225" spans="1:4" ht="16">
      <c r="A225" s="82">
        <v>45562</v>
      </c>
      <c r="B225" s="83">
        <v>26178.95</v>
      </c>
      <c r="C225"/>
      <c r="D225" s="84"/>
    </row>
    <row r="226" spans="1:4" ht="16">
      <c r="A226" s="82">
        <v>45561</v>
      </c>
      <c r="B226" s="83">
        <v>26216.05</v>
      </c>
      <c r="C226"/>
      <c r="D226" s="84"/>
    </row>
    <row r="227" spans="1:4" ht="16">
      <c r="A227" s="82">
        <v>45560</v>
      </c>
      <c r="B227" s="83">
        <v>26004.15</v>
      </c>
      <c r="C227"/>
      <c r="D227" s="84"/>
    </row>
    <row r="228" spans="1:4" ht="16">
      <c r="A228" s="82">
        <v>45559</v>
      </c>
      <c r="B228" s="83">
        <v>25940.400000000001</v>
      </c>
      <c r="C228"/>
      <c r="D228" s="84"/>
    </row>
    <row r="229" spans="1:4" ht="16">
      <c r="A229" s="82">
        <v>45558</v>
      </c>
      <c r="B229" s="83">
        <v>25939.05</v>
      </c>
      <c r="C229"/>
      <c r="D229" s="84"/>
    </row>
    <row r="230" spans="1:4" ht="16">
      <c r="A230" s="82">
        <v>45555</v>
      </c>
      <c r="B230" s="83">
        <v>25790.95</v>
      </c>
      <c r="C230"/>
      <c r="D230" s="84"/>
    </row>
    <row r="231" spans="1:4" ht="16">
      <c r="A231" s="82">
        <v>45554</v>
      </c>
      <c r="B231" s="83">
        <v>25415.8</v>
      </c>
      <c r="C231"/>
      <c r="D231" s="84"/>
    </row>
    <row r="232" spans="1:4" ht="16">
      <c r="A232" s="82">
        <v>45553</v>
      </c>
      <c r="B232" s="83">
        <v>25377.55</v>
      </c>
      <c r="C232"/>
      <c r="D232" s="84"/>
    </row>
    <row r="233" spans="1:4" ht="16">
      <c r="A233" s="82">
        <v>45552</v>
      </c>
      <c r="B233" s="83">
        <v>25418.55</v>
      </c>
      <c r="C233"/>
      <c r="D233" s="84"/>
    </row>
    <row r="234" spans="1:4" ht="16">
      <c r="A234" s="82">
        <v>45551</v>
      </c>
      <c r="B234" s="83">
        <v>25383.75</v>
      </c>
      <c r="C234"/>
      <c r="D234" s="84"/>
    </row>
    <row r="235" spans="1:4" ht="16">
      <c r="A235" s="82">
        <v>45548</v>
      </c>
      <c r="B235" s="83">
        <v>25356.5</v>
      </c>
      <c r="C235"/>
      <c r="D235" s="84"/>
    </row>
    <row r="236" spans="1:4" ht="16">
      <c r="A236" s="82">
        <v>45547</v>
      </c>
      <c r="B236" s="83">
        <v>25388.9</v>
      </c>
      <c r="C236"/>
      <c r="D236" s="84"/>
    </row>
    <row r="237" spans="1:4" ht="16">
      <c r="A237" s="82">
        <v>45546</v>
      </c>
      <c r="B237" s="83">
        <v>24918.45</v>
      </c>
      <c r="C237"/>
      <c r="D237" s="84"/>
    </row>
    <row r="238" spans="1:4" ht="16">
      <c r="A238" s="82">
        <v>45545</v>
      </c>
      <c r="B238" s="83">
        <v>25041.1</v>
      </c>
      <c r="C238"/>
      <c r="D238" s="84"/>
    </row>
    <row r="239" spans="1:4" ht="16">
      <c r="A239" s="82">
        <v>45544</v>
      </c>
      <c r="B239" s="83">
        <v>24936.400000000001</v>
      </c>
      <c r="C239"/>
      <c r="D239" s="84"/>
    </row>
    <row r="240" spans="1:4" ht="16">
      <c r="A240" s="82">
        <v>45541</v>
      </c>
      <c r="B240" s="83">
        <v>24852.15</v>
      </c>
      <c r="C240"/>
      <c r="D240" s="84"/>
    </row>
    <row r="241" spans="1:4" ht="16">
      <c r="A241" s="82">
        <v>45540</v>
      </c>
      <c r="B241" s="83">
        <v>25145.1</v>
      </c>
      <c r="C241"/>
      <c r="D241" s="84"/>
    </row>
    <row r="242" spans="1:4" ht="16">
      <c r="A242" s="82">
        <v>45539</v>
      </c>
      <c r="B242" s="83">
        <v>25198.7</v>
      </c>
      <c r="C242"/>
      <c r="D242" s="84"/>
    </row>
    <row r="243" spans="1:4" ht="16">
      <c r="A243" s="82">
        <v>45538</v>
      </c>
      <c r="B243" s="83">
        <v>25279.85</v>
      </c>
      <c r="C243"/>
      <c r="D243" s="84"/>
    </row>
    <row r="244" spans="1:4" ht="16">
      <c r="A244" s="82">
        <v>45537</v>
      </c>
      <c r="B244" s="83">
        <v>25278.7</v>
      </c>
      <c r="C244"/>
      <c r="D244" s="84"/>
    </row>
    <row r="245" spans="1:4" ht="16">
      <c r="A245" s="82">
        <v>45534</v>
      </c>
      <c r="B245" s="83">
        <v>25235.9</v>
      </c>
      <c r="C245"/>
      <c r="D245" s="84"/>
    </row>
    <row r="246" spans="1:4" ht="16">
      <c r="A246" s="82">
        <v>45533</v>
      </c>
      <c r="B246" s="83">
        <v>25151.95</v>
      </c>
      <c r="C246"/>
      <c r="D246" s="84"/>
    </row>
    <row r="247" spans="1:4" ht="16">
      <c r="A247" s="82">
        <v>45532</v>
      </c>
      <c r="B247" s="83">
        <v>25052.35</v>
      </c>
      <c r="C247"/>
      <c r="D247" s="84"/>
    </row>
    <row r="248" spans="1:4" ht="16">
      <c r="A248" s="82">
        <v>45531</v>
      </c>
      <c r="B248" s="83">
        <v>25017.75</v>
      </c>
      <c r="C248"/>
      <c r="D248" s="84"/>
    </row>
    <row r="249" spans="1:4" ht="16">
      <c r="A249" s="82">
        <v>45530</v>
      </c>
      <c r="B249" s="83">
        <v>25010.6</v>
      </c>
      <c r="C249"/>
      <c r="D249" s="84"/>
    </row>
    <row r="250" spans="1:4" ht="16">
      <c r="A250" s="82">
        <v>45527</v>
      </c>
      <c r="B250" s="83">
        <v>24823.15</v>
      </c>
      <c r="C250"/>
      <c r="D250" s="84"/>
    </row>
    <row r="251" spans="1:4" ht="16">
      <c r="A251" s="82">
        <v>45526</v>
      </c>
      <c r="B251" s="83">
        <v>24811.5</v>
      </c>
      <c r="C251"/>
      <c r="D251" s="84"/>
    </row>
    <row r="252" spans="1:4" ht="16">
      <c r="A252" s="82">
        <v>45525</v>
      </c>
      <c r="B252" s="83">
        <v>24770.2</v>
      </c>
      <c r="C252"/>
      <c r="D252" s="84"/>
    </row>
    <row r="253" spans="1:4" ht="16">
      <c r="A253" s="82">
        <v>45524</v>
      </c>
      <c r="B253" s="83">
        <v>24698.85</v>
      </c>
      <c r="C253"/>
      <c r="D253" s="84"/>
    </row>
    <row r="254" spans="1:4" ht="16">
      <c r="A254" s="82">
        <v>45523</v>
      </c>
      <c r="B254" s="83">
        <v>24572.65</v>
      </c>
      <c r="C254"/>
      <c r="D254" s="84"/>
    </row>
    <row r="255" spans="1:4" ht="16">
      <c r="A255" s="82">
        <v>45520</v>
      </c>
      <c r="B255" s="83">
        <v>24541.15</v>
      </c>
      <c r="C255"/>
      <c r="D255" s="84"/>
    </row>
    <row r="256" spans="1:4" ht="16">
      <c r="A256" s="82">
        <v>45518</v>
      </c>
      <c r="B256" s="83">
        <v>24143.75</v>
      </c>
      <c r="C256"/>
      <c r="D256" s="84"/>
    </row>
    <row r="257" spans="1:4" ht="16">
      <c r="A257" s="82">
        <v>45517</v>
      </c>
      <c r="B257" s="83">
        <v>24139</v>
      </c>
      <c r="C257"/>
      <c r="D257" s="84"/>
    </row>
    <row r="258" spans="1:4" ht="16">
      <c r="A258" s="82">
        <v>45516</v>
      </c>
      <c r="B258" s="83">
        <v>24347</v>
      </c>
      <c r="C258"/>
      <c r="D258" s="84"/>
    </row>
    <row r="259" spans="1:4" ht="16">
      <c r="A259" s="82">
        <v>45513</v>
      </c>
      <c r="B259" s="83">
        <v>24367.5</v>
      </c>
      <c r="C259"/>
      <c r="D259" s="84"/>
    </row>
    <row r="260" spans="1:4" ht="16">
      <c r="A260" s="82">
        <v>45512</v>
      </c>
      <c r="B260" s="83">
        <v>24117</v>
      </c>
      <c r="C260"/>
      <c r="D260" s="84"/>
    </row>
    <row r="261" spans="1:4" ht="16">
      <c r="A261" s="82">
        <v>45511</v>
      </c>
      <c r="B261" s="83">
        <v>24297.5</v>
      </c>
      <c r="C261"/>
      <c r="D261" s="84"/>
    </row>
    <row r="262" spans="1:4" ht="16">
      <c r="A262" s="82">
        <v>45510</v>
      </c>
      <c r="B262" s="83">
        <v>23992.55</v>
      </c>
      <c r="C262"/>
      <c r="D262" s="84"/>
    </row>
    <row r="263" spans="1:4" ht="16">
      <c r="A263" s="82">
        <v>45509</v>
      </c>
      <c r="B263" s="83">
        <v>24055.599999999999</v>
      </c>
      <c r="C263"/>
      <c r="D263" s="84"/>
    </row>
    <row r="264" spans="1:4" ht="16">
      <c r="A264" s="82">
        <v>45506</v>
      </c>
      <c r="B264" s="83">
        <v>24717.7</v>
      </c>
      <c r="C264"/>
      <c r="D264" s="84"/>
    </row>
    <row r="265" spans="1:4" ht="16">
      <c r="A265" s="82">
        <v>45505</v>
      </c>
      <c r="B265" s="83">
        <v>25010.9</v>
      </c>
      <c r="C265"/>
      <c r="D265" s="84"/>
    </row>
    <row r="266" spans="1:4" ht="16">
      <c r="A266" s="82">
        <v>45504</v>
      </c>
      <c r="B266" s="83">
        <v>24951.15</v>
      </c>
      <c r="C266"/>
      <c r="D266" s="84"/>
    </row>
    <row r="267" spans="1:4" ht="16">
      <c r="A267" s="82">
        <v>45503</v>
      </c>
      <c r="B267" s="83">
        <v>24857.3</v>
      </c>
      <c r="C267"/>
      <c r="D267" s="84"/>
    </row>
    <row r="268" spans="1:4" ht="16">
      <c r="A268" s="82">
        <v>45502</v>
      </c>
      <c r="B268" s="83">
        <v>24836.1</v>
      </c>
      <c r="C268"/>
      <c r="D268" s="84"/>
    </row>
    <row r="269" spans="1:4" ht="16">
      <c r="A269" s="82">
        <v>45499</v>
      </c>
      <c r="B269" s="83">
        <v>24834.85</v>
      </c>
      <c r="C269"/>
      <c r="D269" s="84"/>
    </row>
    <row r="270" spans="1:4" ht="16">
      <c r="A270" s="82">
        <v>45498</v>
      </c>
      <c r="B270" s="83">
        <v>24406.1</v>
      </c>
      <c r="C270"/>
      <c r="D270" s="84"/>
    </row>
    <row r="271" spans="1:4" ht="16">
      <c r="A271" s="82">
        <v>45497</v>
      </c>
      <c r="B271" s="83">
        <v>24413.5</v>
      </c>
      <c r="C271"/>
      <c r="D271" s="84"/>
    </row>
    <row r="272" spans="1:4" ht="16">
      <c r="A272" s="82">
        <v>45496</v>
      </c>
      <c r="B272" s="83">
        <v>24479.05</v>
      </c>
      <c r="C272"/>
      <c r="D272" s="84"/>
    </row>
    <row r="273" spans="1:4" ht="16">
      <c r="A273" s="82">
        <v>45495</v>
      </c>
      <c r="B273" s="83">
        <v>24509.25</v>
      </c>
      <c r="C273"/>
      <c r="D273" s="84"/>
    </row>
    <row r="274" spans="1:4" ht="16">
      <c r="A274" s="82">
        <v>45492</v>
      </c>
      <c r="B274" s="83">
        <v>24530.9</v>
      </c>
      <c r="C274"/>
      <c r="D274" s="84"/>
    </row>
    <row r="275" spans="1:4" ht="16">
      <c r="A275" s="82">
        <v>45491</v>
      </c>
      <c r="B275" s="83">
        <v>24800.85</v>
      </c>
      <c r="C275"/>
      <c r="D275" s="84"/>
    </row>
    <row r="276" spans="1:4" ht="16">
      <c r="A276" s="82">
        <v>45489</v>
      </c>
      <c r="B276" s="83">
        <v>24613</v>
      </c>
      <c r="C276"/>
      <c r="D276" s="84"/>
    </row>
    <row r="277" spans="1:4" ht="16">
      <c r="A277" s="82">
        <v>45488</v>
      </c>
      <c r="B277" s="83">
        <v>24586.7</v>
      </c>
      <c r="C277"/>
      <c r="D277" s="84"/>
    </row>
    <row r="278" spans="1:4" ht="16">
      <c r="A278" s="82">
        <v>45485</v>
      </c>
      <c r="B278" s="83">
        <v>24502.15</v>
      </c>
      <c r="C278"/>
      <c r="D278" s="84"/>
    </row>
    <row r="279" spans="1:4" ht="16">
      <c r="A279" s="82">
        <v>45484</v>
      </c>
      <c r="B279" s="83">
        <v>24315.95</v>
      </c>
      <c r="C279"/>
      <c r="D279" s="84"/>
    </row>
    <row r="280" spans="1:4" ht="16">
      <c r="A280" s="82">
        <v>45483</v>
      </c>
      <c r="B280" s="83">
        <v>24324.45</v>
      </c>
      <c r="C280"/>
      <c r="D280" s="84"/>
    </row>
    <row r="281" spans="1:4" ht="16">
      <c r="A281" s="82">
        <v>45482</v>
      </c>
      <c r="B281" s="83">
        <v>24433.200000000001</v>
      </c>
      <c r="C281"/>
      <c r="D281" s="84"/>
    </row>
    <row r="282" spans="1:4" ht="16">
      <c r="A282" s="82">
        <v>45481</v>
      </c>
      <c r="B282" s="83">
        <v>24320.55</v>
      </c>
      <c r="C282"/>
      <c r="D282" s="84"/>
    </row>
    <row r="283" spans="1:4" ht="16">
      <c r="A283" s="82">
        <v>45478</v>
      </c>
      <c r="B283" s="83">
        <v>24323.85</v>
      </c>
      <c r="C283"/>
      <c r="D283" s="84"/>
    </row>
    <row r="284" spans="1:4" ht="16">
      <c r="A284" s="82">
        <v>45477</v>
      </c>
      <c r="B284" s="83">
        <v>24302.15</v>
      </c>
      <c r="C284"/>
      <c r="D284" s="84"/>
    </row>
    <row r="285" spans="1:4" ht="16">
      <c r="A285" s="82">
        <v>45476</v>
      </c>
      <c r="B285" s="83">
        <v>24286.5</v>
      </c>
      <c r="C285"/>
      <c r="D285" s="84"/>
    </row>
    <row r="286" spans="1:4" ht="16">
      <c r="A286" s="82">
        <v>45475</v>
      </c>
      <c r="B286" s="83">
        <v>24123.85</v>
      </c>
      <c r="C286"/>
      <c r="D286" s="84"/>
    </row>
    <row r="287" spans="1:4" ht="16">
      <c r="A287" s="82">
        <v>45474</v>
      </c>
      <c r="B287" s="83">
        <v>24141.95</v>
      </c>
      <c r="C287"/>
      <c r="D287" s="84"/>
    </row>
    <row r="288" spans="1:4" ht="16">
      <c r="A288" s="82">
        <v>45471</v>
      </c>
      <c r="B288" s="83">
        <v>24010.6</v>
      </c>
      <c r="C288"/>
      <c r="D288" s="84"/>
    </row>
    <row r="289" spans="1:4" ht="16">
      <c r="A289" s="82">
        <v>45470</v>
      </c>
      <c r="B289" s="83">
        <v>24044.5</v>
      </c>
      <c r="C289"/>
      <c r="D289" s="84"/>
    </row>
    <row r="290" spans="1:4" ht="16">
      <c r="A290" s="82">
        <v>45469</v>
      </c>
      <c r="B290" s="83">
        <v>23868.799999999999</v>
      </c>
      <c r="C290"/>
      <c r="D290" s="84"/>
    </row>
    <row r="291" spans="1:4" ht="16">
      <c r="A291" s="82">
        <v>45468</v>
      </c>
      <c r="B291" s="83">
        <v>23721.3</v>
      </c>
      <c r="C291"/>
      <c r="D291" s="84"/>
    </row>
    <row r="292" spans="1:4" ht="16">
      <c r="A292" s="82">
        <v>45467</v>
      </c>
      <c r="B292" s="83">
        <v>23537.85</v>
      </c>
      <c r="C292"/>
      <c r="D292" s="84"/>
    </row>
    <row r="293" spans="1:4" ht="16">
      <c r="A293" s="82">
        <v>45464</v>
      </c>
      <c r="B293" s="83">
        <v>23501.1</v>
      </c>
      <c r="C293"/>
      <c r="D293" s="84"/>
    </row>
    <row r="294" spans="1:4" ht="16">
      <c r="A294" s="82">
        <v>45463</v>
      </c>
      <c r="B294" s="83">
        <v>23567</v>
      </c>
      <c r="C294"/>
      <c r="D294" s="84"/>
    </row>
    <row r="295" spans="1:4" ht="16">
      <c r="A295" s="82">
        <v>45462</v>
      </c>
      <c r="B295" s="83">
        <v>23516</v>
      </c>
      <c r="C295"/>
      <c r="D295" s="84"/>
    </row>
    <row r="296" spans="1:4" ht="16">
      <c r="A296" s="82">
        <v>45461</v>
      </c>
      <c r="B296" s="83">
        <v>23557.9</v>
      </c>
      <c r="C296"/>
      <c r="D296" s="84"/>
    </row>
    <row r="297" spans="1:4" ht="16">
      <c r="A297" s="82">
        <v>45457</v>
      </c>
      <c r="B297" s="83">
        <v>23465.599999999999</v>
      </c>
      <c r="C297"/>
      <c r="D297" s="84"/>
    </row>
    <row r="298" spans="1:4" ht="16">
      <c r="A298" s="82">
        <v>45456</v>
      </c>
      <c r="B298" s="83">
        <v>23398.9</v>
      </c>
      <c r="C298"/>
      <c r="D298" s="84"/>
    </row>
    <row r="299" spans="1:4" ht="16">
      <c r="A299" s="82">
        <v>45455</v>
      </c>
      <c r="B299" s="83">
        <v>23322.95</v>
      </c>
      <c r="C299"/>
      <c r="D299" s="84"/>
    </row>
    <row r="300" spans="1:4" ht="16">
      <c r="A300" s="82">
        <v>45454</v>
      </c>
      <c r="B300" s="83">
        <v>23264.85</v>
      </c>
      <c r="C300"/>
      <c r="D300" s="84"/>
    </row>
    <row r="301" spans="1:4" ht="16">
      <c r="A301" s="82">
        <v>45453</v>
      </c>
      <c r="B301" s="83">
        <v>23259.200000000001</v>
      </c>
      <c r="C301"/>
      <c r="D301" s="84"/>
    </row>
    <row r="302" spans="1:4" ht="16">
      <c r="A302" s="82">
        <v>45450</v>
      </c>
      <c r="B302" s="83">
        <v>23290.15</v>
      </c>
      <c r="C302"/>
      <c r="D302" s="84"/>
    </row>
    <row r="303" spans="1:4" ht="16">
      <c r="A303" s="82">
        <v>45449</v>
      </c>
      <c r="B303" s="83">
        <v>22821.4</v>
      </c>
      <c r="C303"/>
      <c r="D303" s="84"/>
    </row>
    <row r="304" spans="1:4" ht="16">
      <c r="A304" s="82">
        <v>45448</v>
      </c>
      <c r="B304" s="83">
        <v>22620.35</v>
      </c>
      <c r="C304"/>
      <c r="D304" s="84"/>
    </row>
    <row r="305" spans="1:4" ht="16">
      <c r="A305" s="82">
        <v>45447</v>
      </c>
      <c r="B305" s="83">
        <v>21884.5</v>
      </c>
      <c r="C305"/>
      <c r="D305" s="84"/>
    </row>
    <row r="306" spans="1:4" ht="16">
      <c r="A306" s="82">
        <v>45446</v>
      </c>
      <c r="B306" s="83">
        <v>23263.9</v>
      </c>
      <c r="C306"/>
      <c r="D306" s="84"/>
    </row>
    <row r="307" spans="1:4" ht="16">
      <c r="A307" s="82">
        <v>45443</v>
      </c>
      <c r="B307" s="83">
        <v>22530.7</v>
      </c>
      <c r="C307"/>
      <c r="D307" s="84"/>
    </row>
    <row r="308" spans="1:4" ht="16">
      <c r="A308" s="82">
        <v>45442</v>
      </c>
      <c r="B308" s="83">
        <v>22488.65</v>
      </c>
      <c r="C308"/>
      <c r="D308" s="84"/>
    </row>
    <row r="309" spans="1:4" ht="16">
      <c r="A309" s="82">
        <v>45441</v>
      </c>
      <c r="B309" s="83">
        <v>22704.7</v>
      </c>
      <c r="C309"/>
      <c r="D309" s="84"/>
    </row>
    <row r="310" spans="1:4" ht="16">
      <c r="A310" s="82">
        <v>45440</v>
      </c>
      <c r="B310" s="83">
        <v>22888.15</v>
      </c>
      <c r="C310"/>
      <c r="D310" s="84"/>
    </row>
    <row r="311" spans="1:4" ht="16">
      <c r="A311" s="82">
        <v>45439</v>
      </c>
      <c r="B311" s="83">
        <v>22932.45</v>
      </c>
      <c r="C311"/>
      <c r="D311" s="84"/>
    </row>
    <row r="312" spans="1:4" ht="16">
      <c r="A312" s="82">
        <v>45436</v>
      </c>
      <c r="B312" s="83">
        <v>22957.1</v>
      </c>
      <c r="C312"/>
      <c r="D312" s="84"/>
    </row>
    <row r="313" spans="1:4" ht="16">
      <c r="A313" s="82">
        <v>45435</v>
      </c>
      <c r="B313" s="83">
        <v>22967.65</v>
      </c>
      <c r="C313"/>
      <c r="D313" s="84"/>
    </row>
    <row r="314" spans="1:4" ht="16">
      <c r="A314" s="82">
        <v>45434</v>
      </c>
      <c r="B314" s="83">
        <v>22597.8</v>
      </c>
      <c r="C314"/>
      <c r="D314" s="84"/>
    </row>
    <row r="315" spans="1:4" ht="16">
      <c r="A315" s="82">
        <v>45433</v>
      </c>
      <c r="B315" s="83">
        <v>22529.05</v>
      </c>
      <c r="C315"/>
      <c r="D315" s="84"/>
    </row>
    <row r="316" spans="1:4" ht="16">
      <c r="A316" s="82">
        <v>45430</v>
      </c>
      <c r="B316" s="83">
        <v>22502</v>
      </c>
      <c r="C316"/>
      <c r="D316" s="84"/>
    </row>
    <row r="317" spans="1:4" ht="16">
      <c r="A317" s="82">
        <v>45429</v>
      </c>
      <c r="B317" s="83">
        <v>22466.1</v>
      </c>
      <c r="C317"/>
      <c r="D317" s="84"/>
    </row>
    <row r="318" spans="1:4" ht="16">
      <c r="A318" s="82">
        <v>45428</v>
      </c>
      <c r="B318" s="83">
        <v>22403.85</v>
      </c>
      <c r="C318"/>
      <c r="D318" s="84"/>
    </row>
    <row r="319" spans="1:4" ht="16">
      <c r="A319" s="82">
        <v>45427</v>
      </c>
      <c r="B319" s="83">
        <v>22200.55</v>
      </c>
      <c r="C319"/>
      <c r="D319" s="84"/>
    </row>
    <row r="320" spans="1:4" ht="16">
      <c r="A320" s="82">
        <v>45426</v>
      </c>
      <c r="B320" s="83">
        <v>22217.85</v>
      </c>
      <c r="C320"/>
      <c r="D320" s="84"/>
    </row>
    <row r="321" spans="1:5" ht="16">
      <c r="A321" s="82">
        <v>45425</v>
      </c>
      <c r="B321" s="83">
        <v>22104.05</v>
      </c>
      <c r="C321"/>
      <c r="D321" s="84"/>
    </row>
    <row r="322" spans="1:5" ht="16">
      <c r="A322" s="82">
        <v>45422</v>
      </c>
      <c r="B322" s="83">
        <v>22055.200000000001</v>
      </c>
      <c r="C322"/>
      <c r="D322" s="84"/>
    </row>
    <row r="323" spans="1:5" ht="16">
      <c r="A323" s="82">
        <v>45421</v>
      </c>
      <c r="B323" s="83">
        <v>21957.5</v>
      </c>
      <c r="C323"/>
      <c r="D323" s="84"/>
    </row>
    <row r="324" spans="1:5" ht="16">
      <c r="A324" s="82">
        <v>45420</v>
      </c>
      <c r="B324" s="83">
        <v>22302.5</v>
      </c>
      <c r="C324"/>
      <c r="D324" s="84"/>
    </row>
    <row r="325" spans="1:5" ht="16">
      <c r="A325" s="82">
        <v>45419</v>
      </c>
      <c r="B325" s="83">
        <v>22302.5</v>
      </c>
      <c r="C325"/>
      <c r="D325" s="84"/>
    </row>
    <row r="326" spans="1:5" ht="16">
      <c r="A326" s="82">
        <v>45418</v>
      </c>
      <c r="B326" s="83">
        <v>22442.7</v>
      </c>
      <c r="C326"/>
      <c r="D326" s="84"/>
    </row>
    <row r="327" spans="1:5" ht="16">
      <c r="A327" s="82">
        <v>45415</v>
      </c>
      <c r="B327" s="83">
        <v>22475.85</v>
      </c>
      <c r="C327"/>
      <c r="D327" s="84"/>
      <c r="E327" s="88"/>
    </row>
    <row r="328" spans="1:5" ht="16">
      <c r="A328" s="82">
        <v>45414</v>
      </c>
      <c r="B328" s="83">
        <v>22648.2</v>
      </c>
      <c r="C328"/>
      <c r="D328" s="84"/>
      <c r="E328" s="88"/>
    </row>
    <row r="329" spans="1:5" ht="16">
      <c r="A329" s="82">
        <v>45412</v>
      </c>
      <c r="B329" s="83">
        <v>22604.85</v>
      </c>
      <c r="C329"/>
      <c r="D329" s="84"/>
      <c r="E329" s="88"/>
    </row>
    <row r="330" spans="1:5" ht="16">
      <c r="A330" s="82">
        <v>45411</v>
      </c>
      <c r="B330" s="83">
        <v>22643.4</v>
      </c>
      <c r="C330"/>
      <c r="D330" s="84"/>
      <c r="E330" s="88"/>
    </row>
    <row r="331" spans="1:5" ht="16">
      <c r="A331" s="82">
        <v>45408</v>
      </c>
      <c r="B331" s="83">
        <v>22419.95</v>
      </c>
      <c r="C331"/>
      <c r="D331" s="84"/>
      <c r="E331" s="88"/>
    </row>
    <row r="332" spans="1:5" ht="16">
      <c r="A332" s="82">
        <v>45407</v>
      </c>
      <c r="B332" s="83">
        <v>22570.35</v>
      </c>
      <c r="C332"/>
      <c r="D332" s="84"/>
      <c r="E332" s="88"/>
    </row>
    <row r="333" spans="1:5" ht="16">
      <c r="A333" s="82">
        <v>45406</v>
      </c>
      <c r="B333" s="83">
        <v>22402.400000000001</v>
      </c>
      <c r="C333"/>
      <c r="D333" s="84"/>
      <c r="E333" s="88"/>
    </row>
    <row r="334" spans="1:5" ht="16">
      <c r="A334" s="82">
        <v>45405</v>
      </c>
      <c r="B334" s="83">
        <v>22368</v>
      </c>
      <c r="C334"/>
      <c r="D334" s="84"/>
      <c r="E334" s="88"/>
    </row>
    <row r="335" spans="1:5" ht="16">
      <c r="A335" s="82">
        <v>45404</v>
      </c>
      <c r="B335" s="83">
        <v>22336.400000000001</v>
      </c>
      <c r="C335"/>
      <c r="D335" s="84"/>
      <c r="E335" s="88"/>
    </row>
    <row r="336" spans="1:5" ht="16">
      <c r="A336" s="82">
        <v>45401</v>
      </c>
      <c r="B336" s="83">
        <v>22147</v>
      </c>
      <c r="C336"/>
      <c r="D336" s="84"/>
      <c r="E336" s="88"/>
    </row>
    <row r="337" spans="1:5" ht="16">
      <c r="A337" s="82">
        <v>45400</v>
      </c>
      <c r="B337" s="83">
        <v>21995.85</v>
      </c>
      <c r="C337"/>
      <c r="D337" s="84"/>
      <c r="E337" s="88"/>
    </row>
    <row r="338" spans="1:5" ht="16">
      <c r="A338" s="82">
        <v>45398</v>
      </c>
      <c r="B338" s="83">
        <v>22147.9</v>
      </c>
      <c r="C338"/>
      <c r="D338" s="84"/>
      <c r="E338" s="88"/>
    </row>
    <row r="339" spans="1:5" ht="16">
      <c r="A339" s="82">
        <v>45397</v>
      </c>
      <c r="B339" s="83">
        <v>22272.5</v>
      </c>
      <c r="C339"/>
      <c r="D339" s="84"/>
      <c r="E339" s="88"/>
    </row>
    <row r="340" spans="1:5" ht="16">
      <c r="A340" s="82">
        <v>45394</v>
      </c>
      <c r="B340" s="83">
        <v>22519.4</v>
      </c>
      <c r="C340"/>
      <c r="D340" s="84"/>
      <c r="E340" s="88"/>
    </row>
    <row r="341" spans="1:5" ht="16">
      <c r="A341" s="82">
        <v>45392</v>
      </c>
      <c r="B341" s="83">
        <v>22753.8</v>
      </c>
      <c r="C341"/>
      <c r="D341" s="84"/>
      <c r="E341" s="88"/>
    </row>
    <row r="342" spans="1:5" ht="16">
      <c r="A342" s="82">
        <v>45391</v>
      </c>
      <c r="B342" s="83">
        <v>22642.75</v>
      </c>
      <c r="C342"/>
      <c r="D342" s="84"/>
      <c r="E342" s="88"/>
    </row>
    <row r="343" spans="1:5" ht="16">
      <c r="A343" s="82">
        <v>45390</v>
      </c>
      <c r="B343" s="83">
        <v>22666.3</v>
      </c>
      <c r="C343"/>
      <c r="D343" s="84"/>
      <c r="E343" s="88"/>
    </row>
    <row r="344" spans="1:5" ht="16">
      <c r="A344" s="82">
        <v>45387</v>
      </c>
      <c r="B344" s="83">
        <v>22513.7</v>
      </c>
      <c r="C344"/>
      <c r="D344" s="84"/>
      <c r="E344" s="88"/>
    </row>
    <row r="345" spans="1:5" ht="16">
      <c r="A345" s="82">
        <v>45386</v>
      </c>
      <c r="B345" s="83">
        <v>22514.65</v>
      </c>
      <c r="C345"/>
      <c r="D345" s="84"/>
      <c r="E345" s="88"/>
    </row>
    <row r="346" spans="1:5" ht="16">
      <c r="A346" s="82">
        <v>45385</v>
      </c>
      <c r="B346" s="83">
        <v>22434.65</v>
      </c>
      <c r="C346"/>
      <c r="D346" s="84"/>
      <c r="E346" s="88"/>
    </row>
    <row r="347" spans="1:5" ht="16">
      <c r="A347" s="82">
        <v>45384</v>
      </c>
      <c r="B347" s="83">
        <v>22453.3</v>
      </c>
      <c r="C347"/>
      <c r="D347" s="84"/>
      <c r="E347" s="88"/>
    </row>
    <row r="348" spans="1:5" ht="16">
      <c r="A348" s="82">
        <v>45383</v>
      </c>
      <c r="B348" s="83">
        <v>22462</v>
      </c>
      <c r="C348"/>
      <c r="D348" s="84"/>
      <c r="E348" s="88"/>
    </row>
    <row r="349" spans="1:5" ht="16">
      <c r="A349" s="82">
        <v>45379</v>
      </c>
      <c r="B349" s="83">
        <v>22326.9</v>
      </c>
      <c r="C349"/>
      <c r="D349" s="84"/>
      <c r="E349" s="88"/>
    </row>
    <row r="350" spans="1:5" ht="16">
      <c r="A350" s="82">
        <v>45378</v>
      </c>
      <c r="B350" s="83">
        <v>22123.65</v>
      </c>
      <c r="C350"/>
      <c r="D350" s="84"/>
      <c r="E350" s="88"/>
    </row>
    <row r="351" spans="1:5" ht="16">
      <c r="A351" s="82">
        <v>45377</v>
      </c>
      <c r="B351" s="83">
        <v>22004.7</v>
      </c>
      <c r="C351"/>
      <c r="D351" s="84"/>
      <c r="E351" s="88"/>
    </row>
    <row r="352" spans="1:5" ht="16">
      <c r="A352" s="82">
        <v>45373</v>
      </c>
      <c r="B352" s="83">
        <v>22096.75</v>
      </c>
      <c r="C352"/>
      <c r="D352" s="84"/>
      <c r="E352" s="88"/>
    </row>
    <row r="353" spans="1:5" ht="16">
      <c r="A353" s="82">
        <v>45372</v>
      </c>
      <c r="B353" s="83">
        <v>22011.95</v>
      </c>
      <c r="C353"/>
      <c r="D353" s="84"/>
      <c r="E353" s="88"/>
    </row>
    <row r="354" spans="1:5" ht="16">
      <c r="A354" s="82">
        <v>45371</v>
      </c>
      <c r="B354" s="83">
        <v>21839.1</v>
      </c>
      <c r="C354"/>
      <c r="D354" s="84"/>
      <c r="E354" s="88"/>
    </row>
    <row r="355" spans="1:5" ht="16">
      <c r="A355" s="82">
        <v>45370</v>
      </c>
      <c r="B355" s="83">
        <v>21817.45</v>
      </c>
      <c r="C355"/>
      <c r="D355" s="84"/>
      <c r="E355" s="88"/>
    </row>
    <row r="356" spans="1:5" ht="16">
      <c r="A356" s="82">
        <v>45369</v>
      </c>
      <c r="B356" s="83">
        <v>22055.7</v>
      </c>
      <c r="C356"/>
      <c r="D356" s="84"/>
      <c r="E356" s="88"/>
    </row>
    <row r="357" spans="1:5" ht="16">
      <c r="A357" s="82">
        <v>45366</v>
      </c>
      <c r="B357" s="83">
        <v>22023.35</v>
      </c>
      <c r="C357"/>
      <c r="D357" s="84"/>
      <c r="E357" s="88"/>
    </row>
    <row r="358" spans="1:5" ht="16">
      <c r="A358" s="82">
        <v>45365</v>
      </c>
      <c r="B358" s="83">
        <v>22146.65</v>
      </c>
      <c r="C358"/>
      <c r="D358" s="84"/>
      <c r="E358" s="88"/>
    </row>
    <row r="359" spans="1:5" ht="16">
      <c r="A359" s="82">
        <v>45364</v>
      </c>
      <c r="B359" s="83">
        <v>21997.7</v>
      </c>
      <c r="C359"/>
      <c r="D359" s="84"/>
      <c r="E359" s="88"/>
    </row>
    <row r="360" spans="1:5" ht="16">
      <c r="A360" s="82">
        <v>45363</v>
      </c>
      <c r="B360" s="83">
        <v>22335.7</v>
      </c>
      <c r="C360"/>
      <c r="D360" s="84"/>
      <c r="E360" s="88"/>
    </row>
    <row r="361" spans="1:5" ht="16">
      <c r="A361" s="82">
        <v>45362</v>
      </c>
      <c r="B361" s="83">
        <v>22332.65</v>
      </c>
      <c r="C361"/>
      <c r="D361" s="84"/>
      <c r="E361" s="88"/>
    </row>
    <row r="362" spans="1:5" ht="16">
      <c r="A362" s="82">
        <v>45358</v>
      </c>
      <c r="B362" s="83">
        <v>22493.55</v>
      </c>
      <c r="C362"/>
      <c r="D362" s="84"/>
      <c r="E362" s="88"/>
    </row>
    <row r="363" spans="1:5" ht="16">
      <c r="A363" s="82">
        <v>45357</v>
      </c>
      <c r="B363" s="83">
        <v>22474.05</v>
      </c>
      <c r="C363"/>
      <c r="D363" s="84"/>
      <c r="E363" s="88"/>
    </row>
    <row r="364" spans="1:5" ht="16">
      <c r="A364" s="82">
        <v>45356</v>
      </c>
      <c r="B364" s="83">
        <v>22356.3</v>
      </c>
      <c r="C364"/>
      <c r="D364" s="84"/>
      <c r="E364" s="88"/>
    </row>
    <row r="365" spans="1:5" ht="16">
      <c r="A365" s="82">
        <v>45355</v>
      </c>
      <c r="B365" s="83">
        <v>22405.599999999999</v>
      </c>
      <c r="C365"/>
      <c r="D365" s="84"/>
      <c r="E365" s="88"/>
    </row>
    <row r="366" spans="1:5" ht="16">
      <c r="A366" s="82">
        <v>45353</v>
      </c>
      <c r="B366" s="83">
        <v>22378.400000000001</v>
      </c>
      <c r="C366"/>
      <c r="D366" s="84"/>
      <c r="E366" s="88"/>
    </row>
    <row r="367" spans="1:5" ht="16">
      <c r="A367" s="82">
        <v>45352</v>
      </c>
      <c r="B367" s="83">
        <v>22338.75</v>
      </c>
      <c r="C367"/>
      <c r="D367" s="84"/>
      <c r="E367" s="88"/>
    </row>
    <row r="368" spans="1:5" ht="16">
      <c r="A368" s="82">
        <v>45351</v>
      </c>
      <c r="B368" s="83">
        <v>21982.799999999999</v>
      </c>
      <c r="C368"/>
      <c r="D368" s="84"/>
      <c r="E368" s="88"/>
    </row>
    <row r="369" spans="1:5" ht="16">
      <c r="A369" s="82">
        <v>45350</v>
      </c>
      <c r="B369" s="83">
        <v>21951.15</v>
      </c>
      <c r="C369"/>
      <c r="D369" s="84"/>
      <c r="E369" s="88"/>
    </row>
    <row r="370" spans="1:5" ht="16">
      <c r="A370" s="82">
        <v>45349</v>
      </c>
      <c r="B370" s="83">
        <v>22198.35</v>
      </c>
      <c r="C370"/>
      <c r="D370" s="84"/>
      <c r="E370" s="88"/>
    </row>
    <row r="371" spans="1:5" ht="16">
      <c r="A371" s="82">
        <v>45348</v>
      </c>
      <c r="B371" s="83">
        <v>22122.05</v>
      </c>
      <c r="C371"/>
      <c r="D371" s="84"/>
      <c r="E371" s="88"/>
    </row>
    <row r="372" spans="1:5" ht="16">
      <c r="A372" s="82">
        <v>45345</v>
      </c>
      <c r="B372" s="83">
        <v>22212.7</v>
      </c>
      <c r="C372"/>
      <c r="D372" s="84"/>
      <c r="E372" s="88"/>
    </row>
    <row r="373" spans="1:5" ht="16">
      <c r="A373" s="82">
        <v>45344</v>
      </c>
      <c r="B373" s="83">
        <v>22217.45</v>
      </c>
      <c r="C373"/>
      <c r="D373" s="84"/>
      <c r="E373" s="88"/>
    </row>
    <row r="374" spans="1:5" ht="16">
      <c r="A374" s="82">
        <v>45343</v>
      </c>
      <c r="B374" s="83">
        <v>22055.05</v>
      </c>
      <c r="C374"/>
      <c r="D374" s="84"/>
      <c r="E374" s="88"/>
    </row>
    <row r="375" spans="1:5" ht="16">
      <c r="A375" s="82">
        <v>45342</v>
      </c>
      <c r="B375" s="83">
        <v>22196.95</v>
      </c>
      <c r="C375"/>
      <c r="D375" s="84"/>
      <c r="E375" s="88"/>
    </row>
    <row r="376" spans="1:5" ht="16">
      <c r="A376" s="82">
        <v>45341</v>
      </c>
      <c r="B376" s="83">
        <v>22122.25</v>
      </c>
      <c r="C376"/>
      <c r="D376" s="84"/>
      <c r="E376" s="88"/>
    </row>
    <row r="377" spans="1:5" ht="16">
      <c r="A377" s="82">
        <v>45338</v>
      </c>
      <c r="B377" s="83">
        <v>22040.7</v>
      </c>
      <c r="C377"/>
      <c r="D377" s="84"/>
      <c r="E377" s="88"/>
    </row>
    <row r="378" spans="1:5" ht="16">
      <c r="A378" s="82">
        <v>45337</v>
      </c>
      <c r="B378" s="83">
        <v>21910.75</v>
      </c>
      <c r="C378"/>
      <c r="D378" s="84"/>
      <c r="E378" s="88"/>
    </row>
    <row r="379" spans="1:5" ht="16">
      <c r="A379" s="82">
        <v>45336</v>
      </c>
      <c r="B379" s="83">
        <v>21840.05</v>
      </c>
      <c r="C379"/>
      <c r="D379" s="84"/>
      <c r="E379" s="88"/>
    </row>
    <row r="380" spans="1:5" ht="16">
      <c r="A380" s="82">
        <v>45335</v>
      </c>
      <c r="B380" s="83">
        <v>21743.25</v>
      </c>
      <c r="C380"/>
      <c r="D380" s="84"/>
      <c r="E380" s="88"/>
    </row>
    <row r="381" spans="1:5" ht="16">
      <c r="A381" s="82">
        <v>45334</v>
      </c>
      <c r="B381" s="83">
        <v>21616.05</v>
      </c>
      <c r="C381"/>
      <c r="D381" s="84"/>
      <c r="E381" s="88"/>
    </row>
    <row r="382" spans="1:5" ht="16">
      <c r="A382" s="82">
        <v>45331</v>
      </c>
      <c r="B382" s="83">
        <v>21782.5</v>
      </c>
      <c r="C382"/>
      <c r="D382" s="84"/>
      <c r="E382" s="88"/>
    </row>
    <row r="383" spans="1:5" ht="16">
      <c r="A383" s="82">
        <v>45330</v>
      </c>
      <c r="B383" s="83">
        <v>21717.95</v>
      </c>
      <c r="C383"/>
      <c r="D383" s="84"/>
      <c r="E383" s="88"/>
    </row>
    <row r="384" spans="1:5" ht="16">
      <c r="A384" s="82">
        <v>45329</v>
      </c>
      <c r="B384" s="83">
        <v>21930.5</v>
      </c>
      <c r="C384"/>
      <c r="D384" s="84"/>
      <c r="E384" s="88"/>
    </row>
    <row r="385" spans="1:5" ht="16">
      <c r="A385" s="82">
        <v>45328</v>
      </c>
      <c r="B385" s="83">
        <v>21929.4</v>
      </c>
      <c r="C385"/>
      <c r="D385" s="84"/>
      <c r="E385" s="88"/>
    </row>
    <row r="386" spans="1:5" ht="16">
      <c r="A386" s="82">
        <v>45327</v>
      </c>
      <c r="B386" s="83">
        <v>21771.7</v>
      </c>
      <c r="C386"/>
      <c r="D386" s="84"/>
      <c r="E386" s="88"/>
    </row>
    <row r="387" spans="1:5" ht="16">
      <c r="A387" s="82">
        <v>45324</v>
      </c>
      <c r="B387" s="83">
        <v>21853.8</v>
      </c>
      <c r="C387"/>
      <c r="D387" s="84"/>
      <c r="E387" s="88"/>
    </row>
    <row r="388" spans="1:5" ht="16">
      <c r="A388" s="82">
        <v>45323</v>
      </c>
      <c r="B388" s="83">
        <v>21697.45</v>
      </c>
      <c r="C388"/>
      <c r="D388" s="84"/>
      <c r="E388" s="88"/>
    </row>
    <row r="389" spans="1:5" ht="16">
      <c r="A389" s="82">
        <v>45322</v>
      </c>
      <c r="B389" s="83">
        <v>21725.7</v>
      </c>
      <c r="C389"/>
      <c r="D389" s="84"/>
      <c r="E389" s="88"/>
    </row>
    <row r="390" spans="1:5" ht="16">
      <c r="A390" s="82">
        <v>45321</v>
      </c>
      <c r="B390" s="83">
        <v>21522.1</v>
      </c>
      <c r="C390"/>
      <c r="D390" s="84"/>
      <c r="E390" s="88"/>
    </row>
    <row r="391" spans="1:5" ht="16">
      <c r="A391" s="82">
        <v>45320</v>
      </c>
      <c r="B391" s="83">
        <v>21737.599999999999</v>
      </c>
      <c r="C391"/>
      <c r="D391" s="84"/>
      <c r="E391" s="88"/>
    </row>
    <row r="392" spans="1:5" ht="16">
      <c r="A392" s="82">
        <v>45316</v>
      </c>
      <c r="B392" s="83">
        <v>21352.6</v>
      </c>
      <c r="C392"/>
      <c r="D392" s="84"/>
      <c r="E392" s="88"/>
    </row>
    <row r="393" spans="1:5" ht="16">
      <c r="A393" s="82">
        <v>45315</v>
      </c>
      <c r="B393" s="83">
        <v>21453.95</v>
      </c>
      <c r="C393"/>
      <c r="D393" s="84"/>
      <c r="E393" s="88"/>
    </row>
    <row r="394" spans="1:5" ht="16">
      <c r="A394" s="82">
        <v>45314</v>
      </c>
      <c r="B394" s="83">
        <v>21238.799999999999</v>
      </c>
      <c r="C394"/>
      <c r="D394" s="84"/>
      <c r="E394" s="88"/>
    </row>
    <row r="395" spans="1:5" ht="16">
      <c r="A395" s="82">
        <v>45311</v>
      </c>
      <c r="B395" s="83">
        <v>21571.8</v>
      </c>
      <c r="C395"/>
      <c r="D395" s="84"/>
      <c r="E395" s="88"/>
    </row>
    <row r="396" spans="1:5" ht="16">
      <c r="A396" s="82">
        <v>45310</v>
      </c>
      <c r="B396" s="83">
        <v>21622.400000000001</v>
      </c>
      <c r="C396"/>
      <c r="D396" s="84"/>
      <c r="E396" s="88"/>
    </row>
    <row r="397" spans="1:5" ht="16">
      <c r="A397" s="82">
        <v>45309</v>
      </c>
      <c r="B397" s="83">
        <v>21462.25</v>
      </c>
      <c r="C397"/>
      <c r="D397" s="84"/>
      <c r="E397" s="88"/>
    </row>
    <row r="398" spans="1:5" ht="16">
      <c r="A398" s="82">
        <v>45308</v>
      </c>
      <c r="B398" s="83">
        <v>21571.95</v>
      </c>
      <c r="C398"/>
      <c r="D398" s="84"/>
      <c r="E398" s="88"/>
    </row>
    <row r="399" spans="1:5" ht="16">
      <c r="A399" s="82">
        <v>45307</v>
      </c>
      <c r="B399" s="83">
        <v>22032.3</v>
      </c>
      <c r="C399"/>
      <c r="D399" s="84"/>
      <c r="E399" s="88"/>
    </row>
    <row r="400" spans="1:5" ht="16">
      <c r="A400" s="82">
        <v>45306</v>
      </c>
      <c r="B400" s="83">
        <v>22097.45</v>
      </c>
      <c r="C400"/>
      <c r="D400" s="84"/>
      <c r="E400" s="88"/>
    </row>
    <row r="401" spans="1:5" ht="16">
      <c r="A401" s="82">
        <v>45303</v>
      </c>
      <c r="B401" s="83">
        <v>21894.55</v>
      </c>
      <c r="C401"/>
      <c r="D401" s="84"/>
      <c r="E401" s="88"/>
    </row>
    <row r="402" spans="1:5" ht="16">
      <c r="A402" s="82">
        <v>45302</v>
      </c>
      <c r="B402" s="83">
        <v>21647.200000000001</v>
      </c>
      <c r="C402"/>
      <c r="D402" s="84"/>
      <c r="E402" s="88"/>
    </row>
    <row r="403" spans="1:5" ht="16">
      <c r="A403" s="82">
        <v>45301</v>
      </c>
      <c r="B403" s="83">
        <v>21618.7</v>
      </c>
      <c r="C403"/>
      <c r="D403" s="84"/>
      <c r="E403" s="88"/>
    </row>
    <row r="404" spans="1:5" ht="16">
      <c r="A404" s="82">
        <v>45300</v>
      </c>
      <c r="B404" s="83">
        <v>21544.85</v>
      </c>
      <c r="C404"/>
      <c r="D404" s="84"/>
      <c r="E404" s="88"/>
    </row>
    <row r="405" spans="1:5" ht="16">
      <c r="A405" s="82">
        <v>45299</v>
      </c>
      <c r="B405" s="83">
        <v>21513</v>
      </c>
      <c r="C405"/>
      <c r="D405" s="84"/>
      <c r="E405" s="88"/>
    </row>
    <row r="406" spans="1:5" ht="16">
      <c r="A406" s="82">
        <v>45296</v>
      </c>
      <c r="B406" s="83">
        <v>21710.799999999999</v>
      </c>
      <c r="C406"/>
      <c r="D406" s="84"/>
      <c r="E406" s="88"/>
    </row>
    <row r="407" spans="1:5" ht="16">
      <c r="A407" s="82">
        <v>45295</v>
      </c>
      <c r="B407" s="83">
        <v>21658.6</v>
      </c>
      <c r="C407"/>
      <c r="D407" s="84"/>
      <c r="E407" s="88"/>
    </row>
    <row r="408" spans="1:5" ht="16">
      <c r="A408" s="82">
        <v>45294</v>
      </c>
      <c r="B408" s="83">
        <v>21517.35</v>
      </c>
      <c r="C408"/>
      <c r="D408" s="84"/>
      <c r="E408" s="88"/>
    </row>
    <row r="409" spans="1:5" ht="16">
      <c r="A409" s="82">
        <v>45293</v>
      </c>
      <c r="B409" s="83">
        <v>21665.8</v>
      </c>
      <c r="C409"/>
      <c r="D409" s="84"/>
      <c r="E409" s="88"/>
    </row>
    <row r="410" spans="1:5" ht="16">
      <c r="A410" s="82">
        <v>45292</v>
      </c>
      <c r="B410" s="83">
        <v>21741.9</v>
      </c>
      <c r="C410"/>
      <c r="D410" s="84"/>
      <c r="E410" s="88"/>
    </row>
    <row r="411" spans="1:5" ht="16">
      <c r="A411" s="82">
        <v>45289</v>
      </c>
      <c r="B411" s="83">
        <v>21731.4</v>
      </c>
      <c r="C411"/>
      <c r="D411" s="84"/>
      <c r="E411" s="88"/>
    </row>
    <row r="412" spans="1:5" ht="16">
      <c r="A412" s="82">
        <v>45288</v>
      </c>
      <c r="B412" s="83">
        <v>21778.7</v>
      </c>
      <c r="C412"/>
      <c r="D412" s="84"/>
      <c r="E412" s="88"/>
    </row>
    <row r="413" spans="1:5" ht="16">
      <c r="A413" s="82">
        <v>45287</v>
      </c>
      <c r="B413" s="83">
        <v>21654.75</v>
      </c>
      <c r="C413"/>
      <c r="D413" s="84"/>
      <c r="E413" s="88"/>
    </row>
    <row r="414" spans="1:5" ht="16">
      <c r="A414" s="82">
        <v>45286</v>
      </c>
      <c r="B414" s="83">
        <v>21441.35</v>
      </c>
      <c r="C414"/>
      <c r="D414" s="84"/>
      <c r="E414" s="88"/>
    </row>
    <row r="415" spans="1:5" ht="16">
      <c r="A415" s="82">
        <v>45282</v>
      </c>
      <c r="B415" s="83">
        <v>21349.4</v>
      </c>
      <c r="C415"/>
      <c r="D415" s="84"/>
      <c r="E415" s="88"/>
    </row>
    <row r="416" spans="1:5" ht="16">
      <c r="A416" s="82">
        <v>45281</v>
      </c>
      <c r="B416" s="83">
        <v>21255.05</v>
      </c>
      <c r="C416"/>
      <c r="D416" s="84"/>
      <c r="E416" s="88"/>
    </row>
    <row r="417" spans="1:5" ht="16">
      <c r="A417" s="82">
        <v>45280</v>
      </c>
      <c r="B417" s="83">
        <v>21150.15</v>
      </c>
      <c r="C417"/>
      <c r="D417" s="84"/>
      <c r="E417" s="88"/>
    </row>
    <row r="418" spans="1:5" ht="16">
      <c r="A418" s="82">
        <v>45279</v>
      </c>
      <c r="B418" s="83">
        <v>21453.1</v>
      </c>
      <c r="C418"/>
      <c r="D418" s="84"/>
      <c r="E418" s="88"/>
    </row>
    <row r="419" spans="1:5" ht="16">
      <c r="A419" s="82">
        <v>45278</v>
      </c>
      <c r="B419" s="83">
        <v>21418.65</v>
      </c>
      <c r="C419"/>
      <c r="D419" s="84"/>
      <c r="E419" s="88"/>
    </row>
    <row r="420" spans="1:5" ht="16">
      <c r="A420" s="82">
        <v>45275</v>
      </c>
      <c r="B420" s="83">
        <v>21456.65</v>
      </c>
      <c r="C420"/>
      <c r="D420" s="84"/>
      <c r="E420" s="88"/>
    </row>
    <row r="421" spans="1:5" ht="16">
      <c r="A421" s="82">
        <v>45274</v>
      </c>
      <c r="B421" s="83">
        <v>21182.7</v>
      </c>
      <c r="C421"/>
      <c r="D421" s="84"/>
      <c r="E421" s="88"/>
    </row>
    <row r="422" spans="1:5" ht="16">
      <c r="A422" s="82">
        <v>45273</v>
      </c>
      <c r="B422" s="83">
        <v>20926.349999999999</v>
      </c>
      <c r="C422"/>
      <c r="D422" s="84"/>
      <c r="E422" s="88"/>
    </row>
    <row r="423" spans="1:5" ht="16">
      <c r="A423" s="82">
        <v>45272</v>
      </c>
      <c r="B423" s="83">
        <v>20906.400000000001</v>
      </c>
      <c r="C423"/>
      <c r="D423" s="84"/>
      <c r="E423" s="88"/>
    </row>
    <row r="424" spans="1:5" ht="16">
      <c r="A424" s="82">
        <v>45271</v>
      </c>
      <c r="B424" s="83">
        <v>20997.1</v>
      </c>
      <c r="C424"/>
      <c r="D424" s="84"/>
      <c r="E424" s="88"/>
    </row>
    <row r="425" spans="1:5" ht="16">
      <c r="A425" s="82">
        <v>45268</v>
      </c>
      <c r="B425" s="83">
        <v>20969.400000000001</v>
      </c>
      <c r="C425"/>
      <c r="D425" s="84"/>
      <c r="E425" s="88"/>
    </row>
    <row r="426" spans="1:5" ht="16">
      <c r="A426" s="82">
        <v>45267</v>
      </c>
      <c r="B426" s="83">
        <v>20901.150000000001</v>
      </c>
      <c r="C426"/>
      <c r="D426" s="84"/>
      <c r="E426" s="88"/>
    </row>
    <row r="427" spans="1:5" ht="16">
      <c r="A427" s="82">
        <v>45266</v>
      </c>
      <c r="B427" s="83">
        <v>20937.7</v>
      </c>
      <c r="C427"/>
      <c r="D427" s="84"/>
      <c r="E427" s="88"/>
    </row>
    <row r="428" spans="1:5" ht="16">
      <c r="A428" s="82">
        <v>45265</v>
      </c>
      <c r="B428" s="83">
        <v>20855.099999999999</v>
      </c>
      <c r="C428"/>
      <c r="D428" s="84"/>
      <c r="E428" s="88"/>
    </row>
    <row r="429" spans="1:5" ht="16">
      <c r="A429" s="82">
        <v>45264</v>
      </c>
      <c r="B429" s="83">
        <v>20686.8</v>
      </c>
      <c r="C429"/>
      <c r="D429" s="84"/>
      <c r="E429" s="88"/>
    </row>
    <row r="430" spans="1:5" ht="16">
      <c r="A430" s="82">
        <v>45261</v>
      </c>
      <c r="B430" s="83">
        <v>20267.900000000001</v>
      </c>
      <c r="C430"/>
      <c r="D430" s="84"/>
      <c r="E430" s="88"/>
    </row>
    <row r="431" spans="1:5" ht="16">
      <c r="A431" s="82">
        <v>45260</v>
      </c>
      <c r="B431" s="83">
        <v>20133.150000000001</v>
      </c>
      <c r="C431"/>
      <c r="D431" s="84"/>
      <c r="E431" s="88"/>
    </row>
    <row r="432" spans="1:5" ht="16">
      <c r="A432" s="82">
        <v>45259</v>
      </c>
      <c r="B432" s="83">
        <v>20096.599999999999</v>
      </c>
      <c r="C432"/>
      <c r="D432" s="84"/>
      <c r="E432" s="88"/>
    </row>
    <row r="433" spans="1:5" ht="16">
      <c r="A433" s="82">
        <v>45258</v>
      </c>
      <c r="B433" s="83">
        <v>19889.7</v>
      </c>
      <c r="C433"/>
      <c r="D433" s="84"/>
      <c r="E433" s="88"/>
    </row>
    <row r="434" spans="1:5" ht="16">
      <c r="A434" s="82">
        <v>45254</v>
      </c>
      <c r="B434" s="83">
        <v>19794.7</v>
      </c>
      <c r="C434"/>
      <c r="D434" s="84"/>
      <c r="E434" s="88"/>
    </row>
    <row r="435" spans="1:5" ht="16">
      <c r="A435" s="82">
        <v>45253</v>
      </c>
      <c r="B435" s="83">
        <v>19802</v>
      </c>
      <c r="C435"/>
      <c r="D435" s="84"/>
      <c r="E435" s="88"/>
    </row>
    <row r="436" spans="1:5" ht="16">
      <c r="A436" s="82">
        <v>45252</v>
      </c>
      <c r="B436" s="83">
        <v>19811.849999999999</v>
      </c>
      <c r="C436"/>
      <c r="D436" s="84"/>
      <c r="E436" s="88"/>
    </row>
    <row r="437" spans="1:5" ht="16">
      <c r="A437" s="82">
        <v>45251</v>
      </c>
      <c r="B437" s="83">
        <v>19783.400000000001</v>
      </c>
      <c r="C437"/>
      <c r="D437" s="84"/>
      <c r="E437" s="88"/>
    </row>
    <row r="438" spans="1:5" ht="16">
      <c r="A438" s="82">
        <v>45250</v>
      </c>
      <c r="B438" s="83">
        <v>19694</v>
      </c>
      <c r="C438"/>
      <c r="D438" s="84"/>
      <c r="E438" s="88"/>
    </row>
    <row r="439" spans="1:5" ht="16">
      <c r="A439" s="82">
        <v>45247</v>
      </c>
      <c r="B439" s="83">
        <v>19731.8</v>
      </c>
      <c r="C439"/>
      <c r="D439" s="84"/>
      <c r="E439" s="88"/>
    </row>
    <row r="440" spans="1:5" ht="16">
      <c r="A440" s="82">
        <v>45246</v>
      </c>
      <c r="B440" s="83">
        <v>19765.2</v>
      </c>
      <c r="C440"/>
      <c r="D440" s="84"/>
      <c r="E440" s="88"/>
    </row>
    <row r="441" spans="1:5" ht="16">
      <c r="A441" s="82">
        <v>45245</v>
      </c>
      <c r="B441" s="83">
        <v>19675.45</v>
      </c>
      <c r="C441"/>
      <c r="D441" s="84"/>
      <c r="E441" s="88"/>
    </row>
    <row r="442" spans="1:5" ht="16">
      <c r="A442" s="82">
        <v>45243</v>
      </c>
      <c r="B442" s="83">
        <v>19443.55</v>
      </c>
      <c r="C442"/>
      <c r="D442" s="84"/>
      <c r="E442" s="88"/>
    </row>
    <row r="443" spans="1:5" ht="16">
      <c r="A443" s="82">
        <v>45242</v>
      </c>
      <c r="B443" s="83">
        <v>19525.55</v>
      </c>
      <c r="C443"/>
      <c r="D443" s="84"/>
      <c r="E443" s="88"/>
    </row>
    <row r="444" spans="1:5" ht="16">
      <c r="A444" s="82">
        <v>45240</v>
      </c>
      <c r="B444" s="83">
        <v>19425.349999999999</v>
      </c>
      <c r="C444"/>
      <c r="D444" s="84"/>
      <c r="E444" s="88"/>
    </row>
    <row r="445" spans="1:5" ht="16">
      <c r="A445" s="82">
        <v>45239</v>
      </c>
      <c r="B445" s="83">
        <v>19395.3</v>
      </c>
      <c r="C445"/>
      <c r="D445" s="84"/>
      <c r="E445" s="88"/>
    </row>
    <row r="446" spans="1:5" ht="16">
      <c r="A446" s="82">
        <v>45238</v>
      </c>
      <c r="B446" s="83">
        <v>19443.5</v>
      </c>
      <c r="C446"/>
      <c r="D446" s="84"/>
      <c r="E446" s="88"/>
    </row>
    <row r="447" spans="1:5" ht="16">
      <c r="A447" s="82">
        <v>45237</v>
      </c>
      <c r="B447" s="83">
        <v>19406.7</v>
      </c>
      <c r="C447"/>
      <c r="D447" s="84"/>
      <c r="E447" s="88"/>
    </row>
    <row r="448" spans="1:5" ht="16">
      <c r="A448" s="82">
        <v>45236</v>
      </c>
      <c r="B448" s="83">
        <v>19411.75</v>
      </c>
      <c r="C448"/>
      <c r="D448" s="84"/>
      <c r="E448" s="88"/>
    </row>
    <row r="449" spans="1:5" ht="16">
      <c r="A449" s="82">
        <v>45233</v>
      </c>
      <c r="B449" s="83">
        <v>19230.599999999999</v>
      </c>
      <c r="C449"/>
      <c r="D449" s="84"/>
      <c r="E449" s="88"/>
    </row>
    <row r="450" spans="1:5" ht="16">
      <c r="A450" s="82">
        <v>45232</v>
      </c>
      <c r="B450" s="83">
        <v>19133.25</v>
      </c>
      <c r="C450"/>
      <c r="D450" s="84"/>
      <c r="E450" s="88"/>
    </row>
    <row r="451" spans="1:5" ht="16">
      <c r="A451" s="82">
        <v>45231</v>
      </c>
      <c r="B451" s="83">
        <v>18989.150000000001</v>
      </c>
      <c r="C451"/>
      <c r="D451" s="84"/>
      <c r="E451" s="88"/>
    </row>
    <row r="452" spans="1:5" ht="16">
      <c r="A452" s="82">
        <v>45230</v>
      </c>
      <c r="B452" s="83">
        <v>19079.599999999999</v>
      </c>
      <c r="C452"/>
      <c r="D452" s="84"/>
      <c r="E452" s="88"/>
    </row>
    <row r="453" spans="1:5" ht="16">
      <c r="A453" s="82">
        <v>45229</v>
      </c>
      <c r="B453" s="83">
        <v>19140.900000000001</v>
      </c>
      <c r="C453"/>
      <c r="D453" s="84"/>
      <c r="E453" s="88"/>
    </row>
    <row r="454" spans="1:5" ht="16">
      <c r="A454" s="82">
        <v>45226</v>
      </c>
      <c r="B454" s="83">
        <v>19047.25</v>
      </c>
      <c r="C454"/>
      <c r="D454" s="84"/>
      <c r="E454" s="88"/>
    </row>
    <row r="455" spans="1:5" ht="16">
      <c r="A455" s="82">
        <v>45225</v>
      </c>
      <c r="B455" s="83">
        <v>18857.25</v>
      </c>
      <c r="C455"/>
      <c r="D455" s="84"/>
      <c r="E455" s="88"/>
    </row>
    <row r="456" spans="1:5" ht="16">
      <c r="A456" s="82">
        <v>45224</v>
      </c>
      <c r="B456" s="83">
        <v>19122.150000000001</v>
      </c>
      <c r="C456"/>
      <c r="D456" s="84"/>
      <c r="E456" s="88"/>
    </row>
    <row r="457" spans="1:5" ht="16">
      <c r="A457" s="82">
        <v>45222</v>
      </c>
      <c r="B457" s="83">
        <v>19281.75</v>
      </c>
      <c r="C457"/>
      <c r="D457" s="84"/>
      <c r="E457" s="88"/>
    </row>
    <row r="458" spans="1:5" ht="16">
      <c r="A458" s="82">
        <v>45219</v>
      </c>
      <c r="B458" s="83">
        <v>19542.650000000001</v>
      </c>
      <c r="C458"/>
      <c r="D458" s="84"/>
      <c r="E458" s="88"/>
    </row>
    <row r="459" spans="1:5" ht="16">
      <c r="A459" s="82">
        <v>45218</v>
      </c>
      <c r="B459" s="83">
        <v>19624.7</v>
      </c>
      <c r="C459"/>
      <c r="D459" s="84"/>
      <c r="E459" s="88"/>
    </row>
    <row r="460" spans="1:5" ht="16">
      <c r="A460" s="82">
        <v>45217</v>
      </c>
      <c r="B460" s="83">
        <v>19671.099999999999</v>
      </c>
      <c r="C460"/>
      <c r="D460" s="84"/>
      <c r="E460" s="88"/>
    </row>
    <row r="461" spans="1:5" ht="16">
      <c r="A461" s="82">
        <v>45216</v>
      </c>
      <c r="B461" s="83">
        <v>19811.5</v>
      </c>
      <c r="C461"/>
      <c r="D461" s="84"/>
      <c r="E461" s="88"/>
    </row>
    <row r="462" spans="1:5" ht="16">
      <c r="A462" s="82">
        <v>45215</v>
      </c>
      <c r="B462" s="83">
        <v>19731.75</v>
      </c>
      <c r="C462"/>
      <c r="D462" s="84"/>
      <c r="E462" s="88"/>
    </row>
    <row r="463" spans="1:5" ht="16">
      <c r="A463" s="82">
        <v>45212</v>
      </c>
      <c r="B463" s="83">
        <v>19751.05</v>
      </c>
      <c r="C463"/>
      <c r="D463" s="84"/>
      <c r="E463" s="88"/>
    </row>
    <row r="464" spans="1:5" ht="16">
      <c r="A464" s="82">
        <v>45211</v>
      </c>
      <c r="B464" s="83">
        <v>19794</v>
      </c>
      <c r="C464"/>
      <c r="D464" s="84"/>
      <c r="E464" s="88"/>
    </row>
    <row r="465" spans="1:5" ht="16">
      <c r="A465" s="82">
        <v>45210</v>
      </c>
      <c r="B465" s="83">
        <v>19811.349999999999</v>
      </c>
      <c r="C465"/>
      <c r="D465" s="84"/>
      <c r="E465" s="88"/>
    </row>
    <row r="466" spans="1:5" ht="16">
      <c r="A466" s="82">
        <v>45209</v>
      </c>
      <c r="B466" s="83">
        <v>19689.849999999999</v>
      </c>
      <c r="C466"/>
      <c r="D466" s="84"/>
      <c r="E466" s="88"/>
    </row>
    <row r="467" spans="1:5" ht="16">
      <c r="A467" s="82">
        <v>45208</v>
      </c>
      <c r="B467" s="83">
        <v>19512.349999999999</v>
      </c>
      <c r="C467"/>
      <c r="D467" s="84"/>
      <c r="E467" s="88"/>
    </row>
    <row r="468" spans="1:5" ht="16">
      <c r="A468" s="82">
        <v>45205</v>
      </c>
      <c r="B468" s="83">
        <v>19653.5</v>
      </c>
      <c r="C468"/>
      <c r="D468" s="84"/>
      <c r="E468" s="88"/>
    </row>
    <row r="469" spans="1:5" ht="16">
      <c r="A469" s="82">
        <v>45204</v>
      </c>
      <c r="B469" s="83">
        <v>19545.75</v>
      </c>
      <c r="C469"/>
      <c r="D469" s="84"/>
      <c r="E469" s="88"/>
    </row>
    <row r="470" spans="1:5" ht="16">
      <c r="A470" s="82">
        <v>45203</v>
      </c>
      <c r="B470" s="83">
        <v>19436.099999999999</v>
      </c>
      <c r="C470"/>
      <c r="D470" s="84"/>
      <c r="E470" s="88"/>
    </row>
    <row r="471" spans="1:5" ht="16">
      <c r="A471" s="82">
        <v>45202</v>
      </c>
      <c r="B471" s="83">
        <v>19528.75</v>
      </c>
      <c r="C471"/>
      <c r="D471" s="84"/>
      <c r="E471" s="88"/>
    </row>
    <row r="472" spans="1:5" ht="16">
      <c r="A472" s="82">
        <v>45198</v>
      </c>
      <c r="B472" s="83">
        <v>19638.3</v>
      </c>
      <c r="C472"/>
      <c r="D472" s="84"/>
      <c r="E472" s="88"/>
    </row>
    <row r="473" spans="1:5" ht="16">
      <c r="A473" s="82">
        <v>45197</v>
      </c>
      <c r="B473" s="83">
        <v>19523.55</v>
      </c>
      <c r="C473"/>
      <c r="D473" s="84"/>
      <c r="E473" s="88"/>
    </row>
    <row r="474" spans="1:5" ht="16">
      <c r="A474" s="82">
        <v>45196</v>
      </c>
      <c r="B474" s="83">
        <v>19716.45</v>
      </c>
      <c r="C474"/>
      <c r="D474" s="84"/>
      <c r="E474" s="88"/>
    </row>
    <row r="475" spans="1:5" ht="16">
      <c r="A475" s="82">
        <v>45195</v>
      </c>
      <c r="B475" s="83">
        <v>19664.7</v>
      </c>
      <c r="C475"/>
      <c r="D475" s="84"/>
      <c r="E475" s="88"/>
    </row>
    <row r="476" spans="1:5" ht="16">
      <c r="A476" s="82">
        <v>45194</v>
      </c>
      <c r="B476" s="83">
        <v>19674.55</v>
      </c>
      <c r="C476"/>
      <c r="D476" s="84"/>
      <c r="E476" s="88"/>
    </row>
    <row r="477" spans="1:5" ht="16">
      <c r="A477" s="82">
        <v>45191</v>
      </c>
      <c r="B477" s="83">
        <v>19674.25</v>
      </c>
      <c r="C477"/>
      <c r="D477" s="84"/>
      <c r="E477" s="88"/>
    </row>
    <row r="478" spans="1:5" ht="16">
      <c r="A478" s="82">
        <v>45190</v>
      </c>
      <c r="B478" s="83">
        <v>19742.349999999999</v>
      </c>
      <c r="C478"/>
      <c r="D478" s="84"/>
      <c r="E478" s="88"/>
    </row>
    <row r="479" spans="1:5" ht="16">
      <c r="A479" s="82">
        <v>45189</v>
      </c>
      <c r="B479" s="83">
        <v>19901.400000000001</v>
      </c>
      <c r="C479"/>
      <c r="D479" s="84"/>
      <c r="E479" s="88"/>
    </row>
    <row r="480" spans="1:5" ht="16">
      <c r="A480" s="82">
        <v>45187</v>
      </c>
      <c r="B480" s="83">
        <v>20133.3</v>
      </c>
      <c r="C480"/>
      <c r="D480" s="84"/>
      <c r="E480" s="88"/>
    </row>
    <row r="481" spans="1:5" ht="16">
      <c r="A481" s="82">
        <v>45184</v>
      </c>
      <c r="B481" s="83">
        <v>20192.349999999999</v>
      </c>
      <c r="C481"/>
      <c r="D481" s="84"/>
      <c r="E481" s="88"/>
    </row>
    <row r="482" spans="1:5" ht="16">
      <c r="A482" s="82">
        <v>45183</v>
      </c>
      <c r="B482" s="83">
        <v>20103.099999999999</v>
      </c>
      <c r="C482"/>
      <c r="D482" s="84"/>
      <c r="E482" s="88"/>
    </row>
    <row r="483" spans="1:5" ht="16">
      <c r="A483" s="82">
        <v>45182</v>
      </c>
      <c r="B483" s="83">
        <v>20070</v>
      </c>
      <c r="C483"/>
      <c r="D483" s="84"/>
      <c r="E483" s="88"/>
    </row>
    <row r="484" spans="1:5" ht="16">
      <c r="A484" s="82">
        <v>45181</v>
      </c>
      <c r="B484" s="83">
        <v>19993.2</v>
      </c>
      <c r="C484"/>
      <c r="D484" s="84"/>
      <c r="E484" s="88"/>
    </row>
    <row r="485" spans="1:5" ht="16">
      <c r="A485" s="82">
        <v>45180</v>
      </c>
      <c r="B485" s="83">
        <v>19996.349999999999</v>
      </c>
      <c r="C485"/>
      <c r="D485" s="84"/>
      <c r="E485" s="88"/>
    </row>
    <row r="486" spans="1:5" ht="16">
      <c r="A486" s="82">
        <v>45177</v>
      </c>
      <c r="B486" s="83">
        <v>19819.95</v>
      </c>
      <c r="C486"/>
      <c r="D486" s="84"/>
      <c r="E486" s="88"/>
    </row>
    <row r="487" spans="1:5" ht="16">
      <c r="A487" s="82">
        <v>45176</v>
      </c>
      <c r="B487" s="83">
        <v>19727.05</v>
      </c>
      <c r="C487"/>
      <c r="D487" s="84"/>
      <c r="E487" s="88"/>
    </row>
    <row r="488" spans="1:5" ht="16">
      <c r="A488" s="82">
        <v>45175</v>
      </c>
      <c r="B488" s="83">
        <v>19611.05</v>
      </c>
      <c r="C488"/>
      <c r="D488" s="84"/>
      <c r="E488" s="88"/>
    </row>
    <row r="489" spans="1:5" ht="16">
      <c r="A489" s="82">
        <v>45174</v>
      </c>
      <c r="B489" s="83">
        <v>19574.900000000001</v>
      </c>
      <c r="C489"/>
      <c r="D489" s="84"/>
      <c r="E489" s="88"/>
    </row>
    <row r="490" spans="1:5" ht="16">
      <c r="A490" s="82">
        <v>45173</v>
      </c>
      <c r="B490" s="83">
        <v>19528.8</v>
      </c>
      <c r="C490"/>
      <c r="D490" s="84"/>
      <c r="E490" s="88"/>
    </row>
    <row r="491" spans="1:5" ht="16">
      <c r="A491" s="82">
        <v>45170</v>
      </c>
      <c r="B491" s="83">
        <v>19435.3</v>
      </c>
      <c r="C491"/>
      <c r="D491" s="84"/>
      <c r="E491" s="88"/>
    </row>
    <row r="492" spans="1:5" ht="16">
      <c r="A492" s="82">
        <v>45169</v>
      </c>
      <c r="B492" s="83">
        <v>19253.8</v>
      </c>
      <c r="C492"/>
      <c r="D492" s="84"/>
      <c r="E492" s="88"/>
    </row>
    <row r="493" spans="1:5" ht="16">
      <c r="A493" s="82">
        <v>45168</v>
      </c>
      <c r="B493" s="83">
        <v>19347.45</v>
      </c>
      <c r="C493"/>
      <c r="D493" s="84"/>
      <c r="E493" s="88"/>
    </row>
    <row r="494" spans="1:5" ht="16">
      <c r="A494" s="82">
        <v>45167</v>
      </c>
      <c r="B494" s="83">
        <v>19342.650000000001</v>
      </c>
      <c r="C494"/>
      <c r="D494" s="84"/>
      <c r="E494" s="88"/>
    </row>
    <row r="495" spans="1:5" ht="16">
      <c r="A495" s="82">
        <v>45166</v>
      </c>
      <c r="B495" s="83">
        <v>19306.05</v>
      </c>
      <c r="C495"/>
      <c r="D495" s="84"/>
      <c r="E495" s="88"/>
    </row>
    <row r="496" spans="1:5" ht="16">
      <c r="A496" s="82">
        <v>45163</v>
      </c>
      <c r="B496" s="83">
        <v>19265.8</v>
      </c>
      <c r="C496"/>
      <c r="D496" s="84"/>
      <c r="E496" s="88"/>
    </row>
    <row r="497" spans="1:5" ht="16">
      <c r="A497" s="82">
        <v>45162</v>
      </c>
      <c r="B497" s="83">
        <v>19386.7</v>
      </c>
      <c r="C497"/>
      <c r="D497" s="84"/>
      <c r="E497" s="88"/>
    </row>
    <row r="498" spans="1:5" ht="16">
      <c r="A498" s="82">
        <v>45161</v>
      </c>
      <c r="B498" s="83">
        <v>19444</v>
      </c>
      <c r="C498"/>
      <c r="D498" s="84"/>
      <c r="E498" s="88"/>
    </row>
    <row r="499" spans="1:5" ht="16">
      <c r="A499" s="82">
        <v>45160</v>
      </c>
      <c r="B499" s="83">
        <v>19396.45</v>
      </c>
      <c r="C499"/>
      <c r="D499" s="84"/>
      <c r="E499" s="88"/>
    </row>
    <row r="500" spans="1:5" ht="16">
      <c r="A500" s="82">
        <v>45159</v>
      </c>
      <c r="B500" s="83">
        <v>19393.599999999999</v>
      </c>
      <c r="C500"/>
      <c r="D500" s="84"/>
      <c r="E500" s="88"/>
    </row>
    <row r="501" spans="1:5" ht="16">
      <c r="A501" s="82">
        <v>45156</v>
      </c>
      <c r="B501" s="83">
        <v>19310.150000000001</v>
      </c>
      <c r="C501"/>
      <c r="D501" s="84"/>
      <c r="E501" s="88"/>
    </row>
    <row r="502" spans="1:5" ht="16">
      <c r="A502" s="82">
        <v>45155</v>
      </c>
      <c r="B502" s="83">
        <v>19365.25</v>
      </c>
      <c r="C502"/>
      <c r="D502" s="84"/>
      <c r="E502" s="88"/>
    </row>
    <row r="503" spans="1:5" ht="16">
      <c r="A503" s="82">
        <v>45154</v>
      </c>
      <c r="B503" s="83">
        <v>19465</v>
      </c>
      <c r="C503"/>
      <c r="D503" s="84"/>
      <c r="E503" s="88"/>
    </row>
    <row r="504" spans="1:5" ht="16">
      <c r="A504" s="82">
        <v>45152</v>
      </c>
      <c r="B504" s="83">
        <v>19434.55</v>
      </c>
      <c r="C504"/>
      <c r="D504" s="84"/>
      <c r="E504" s="88"/>
    </row>
    <row r="505" spans="1:5" ht="16">
      <c r="A505" s="82">
        <v>45149</v>
      </c>
      <c r="B505" s="83">
        <v>19428.3</v>
      </c>
      <c r="C505"/>
      <c r="D505" s="84"/>
      <c r="E505" s="88"/>
    </row>
    <row r="506" spans="1:5" ht="16">
      <c r="A506" s="82">
        <v>45148</v>
      </c>
      <c r="B506" s="83">
        <v>19543.099999999999</v>
      </c>
      <c r="C506"/>
      <c r="D506" s="84"/>
      <c r="E506" s="88"/>
    </row>
    <row r="507" spans="1:5" ht="16">
      <c r="A507" s="82">
        <v>45147</v>
      </c>
      <c r="B507" s="83">
        <v>19632.55</v>
      </c>
      <c r="C507"/>
      <c r="D507" s="84"/>
      <c r="E507" s="88"/>
    </row>
    <row r="508" spans="1:5" ht="16">
      <c r="A508" s="82">
        <v>45146</v>
      </c>
      <c r="B508" s="83">
        <v>19570.849999999999</v>
      </c>
      <c r="C508"/>
      <c r="D508" s="84"/>
      <c r="E508" s="88"/>
    </row>
    <row r="509" spans="1:5" ht="16">
      <c r="A509" s="82">
        <v>45145</v>
      </c>
      <c r="B509" s="83">
        <v>19597.3</v>
      </c>
      <c r="C509"/>
      <c r="D509" s="84"/>
      <c r="E509" s="88"/>
    </row>
    <row r="510" spans="1:5" ht="16">
      <c r="A510" s="82">
        <v>45142</v>
      </c>
      <c r="B510" s="83">
        <v>19517</v>
      </c>
      <c r="C510"/>
      <c r="D510" s="84"/>
      <c r="E510" s="88"/>
    </row>
    <row r="511" spans="1:5" ht="16">
      <c r="A511" s="82">
        <v>45141</v>
      </c>
      <c r="B511" s="83">
        <v>19381.650000000001</v>
      </c>
      <c r="C511"/>
      <c r="D511" s="84"/>
      <c r="E511" s="88"/>
    </row>
    <row r="512" spans="1:5" ht="16">
      <c r="A512" s="82">
        <v>45140</v>
      </c>
      <c r="B512" s="83">
        <v>19526.55</v>
      </c>
      <c r="C512"/>
      <c r="D512" s="84"/>
      <c r="E512" s="88"/>
    </row>
    <row r="513" spans="1:5" ht="16">
      <c r="A513" s="82">
        <v>45139</v>
      </c>
      <c r="B513" s="83">
        <v>19733.55</v>
      </c>
      <c r="C513"/>
      <c r="D513" s="84"/>
      <c r="E513" s="88"/>
    </row>
    <row r="514" spans="1:5" ht="16">
      <c r="A514" s="82">
        <v>45138</v>
      </c>
      <c r="B514" s="83">
        <v>19753.8</v>
      </c>
      <c r="C514"/>
      <c r="D514" s="84"/>
      <c r="E514" s="88"/>
    </row>
    <row r="515" spans="1:5" ht="16">
      <c r="A515" s="82">
        <v>45135</v>
      </c>
      <c r="B515" s="83">
        <v>19646.05</v>
      </c>
      <c r="C515"/>
      <c r="D515" s="84"/>
      <c r="E515" s="88"/>
    </row>
    <row r="516" spans="1:5" ht="16">
      <c r="A516" s="82">
        <v>45134</v>
      </c>
      <c r="B516" s="83">
        <v>19659.900000000001</v>
      </c>
      <c r="C516"/>
      <c r="D516" s="84"/>
      <c r="E516" s="88"/>
    </row>
    <row r="517" spans="1:5" ht="16">
      <c r="A517" s="82">
        <v>45133</v>
      </c>
      <c r="B517" s="83">
        <v>19778.3</v>
      </c>
      <c r="C517"/>
      <c r="D517" s="84"/>
      <c r="E517" s="88"/>
    </row>
    <row r="518" spans="1:5" ht="16">
      <c r="A518" s="82">
        <v>45132</v>
      </c>
      <c r="B518" s="83">
        <v>19680.599999999999</v>
      </c>
      <c r="C518"/>
      <c r="D518" s="84"/>
      <c r="E518" s="88"/>
    </row>
    <row r="519" spans="1:5" ht="16">
      <c r="A519" s="82">
        <v>45131</v>
      </c>
      <c r="B519" s="83">
        <v>19672.349999999999</v>
      </c>
      <c r="C519"/>
      <c r="D519" s="84"/>
      <c r="E519" s="88"/>
    </row>
    <row r="520" spans="1:5" ht="16">
      <c r="A520" s="82">
        <v>45128</v>
      </c>
      <c r="B520" s="83">
        <v>19745</v>
      </c>
      <c r="C520"/>
      <c r="D520" s="84"/>
      <c r="E520" s="88"/>
    </row>
    <row r="521" spans="1:5" ht="16">
      <c r="A521" s="82">
        <v>45127</v>
      </c>
      <c r="B521" s="83">
        <v>19979.150000000001</v>
      </c>
      <c r="C521"/>
      <c r="D521" s="84"/>
      <c r="E521" s="88"/>
    </row>
    <row r="522" spans="1:5" ht="16">
      <c r="A522" s="82">
        <v>45126</v>
      </c>
      <c r="B522" s="83">
        <v>19833.150000000001</v>
      </c>
      <c r="C522"/>
      <c r="D522" s="84"/>
      <c r="E522" s="88"/>
    </row>
    <row r="523" spans="1:5" ht="16">
      <c r="A523" s="82">
        <v>45125</v>
      </c>
      <c r="B523" s="83">
        <v>19749.25</v>
      </c>
      <c r="C523"/>
      <c r="D523" s="84"/>
      <c r="E523" s="88"/>
    </row>
    <row r="524" spans="1:5" ht="16">
      <c r="A524" s="82">
        <v>45124</v>
      </c>
      <c r="B524" s="83">
        <v>19711.45</v>
      </c>
      <c r="C524"/>
      <c r="D524" s="84"/>
      <c r="E524" s="88"/>
    </row>
    <row r="525" spans="1:5" ht="16">
      <c r="A525" s="82">
        <v>45121</v>
      </c>
      <c r="B525" s="83">
        <v>19564.5</v>
      </c>
      <c r="C525"/>
      <c r="D525" s="84"/>
      <c r="E525" s="88"/>
    </row>
    <row r="526" spans="1:5" ht="16">
      <c r="A526" s="82">
        <v>45120</v>
      </c>
      <c r="B526" s="83">
        <v>19413.75</v>
      </c>
      <c r="C526"/>
      <c r="D526" s="84"/>
      <c r="E526" s="88"/>
    </row>
    <row r="527" spans="1:5" ht="16">
      <c r="A527" s="82">
        <v>45119</v>
      </c>
      <c r="B527" s="83">
        <v>19384.3</v>
      </c>
      <c r="C527"/>
      <c r="D527" s="84"/>
      <c r="E527" s="88"/>
    </row>
    <row r="528" spans="1:5" ht="16">
      <c r="A528" s="82">
        <v>45118</v>
      </c>
      <c r="B528" s="83">
        <v>19439.400000000001</v>
      </c>
      <c r="C528"/>
      <c r="D528" s="84"/>
      <c r="E528" s="88"/>
    </row>
    <row r="529" spans="1:5" ht="16">
      <c r="A529" s="82">
        <v>45117</v>
      </c>
      <c r="B529" s="83">
        <v>19355.900000000001</v>
      </c>
      <c r="C529"/>
      <c r="D529" s="84"/>
      <c r="E529" s="88"/>
    </row>
    <row r="530" spans="1:5" ht="16">
      <c r="A530" s="82">
        <v>45114</v>
      </c>
      <c r="B530" s="83">
        <v>19331.8</v>
      </c>
      <c r="C530"/>
      <c r="D530" s="84"/>
      <c r="E530" s="88"/>
    </row>
    <row r="531" spans="1:5" ht="16">
      <c r="A531" s="82">
        <v>45113</v>
      </c>
      <c r="B531" s="83">
        <v>19497.3</v>
      </c>
      <c r="C531"/>
      <c r="D531" s="84"/>
      <c r="E531" s="88"/>
    </row>
    <row r="532" spans="1:5" ht="16">
      <c r="A532" s="82">
        <v>45112</v>
      </c>
      <c r="B532" s="83">
        <v>19398.5</v>
      </c>
      <c r="C532"/>
      <c r="D532" s="84"/>
      <c r="E532" s="88"/>
    </row>
    <row r="533" spans="1:5" ht="16">
      <c r="A533" s="82">
        <v>45111</v>
      </c>
      <c r="B533" s="83">
        <v>19389</v>
      </c>
      <c r="C533"/>
      <c r="D533" s="84"/>
      <c r="E533" s="88"/>
    </row>
    <row r="534" spans="1:5" ht="16">
      <c r="A534" s="82">
        <v>45110</v>
      </c>
      <c r="B534" s="83">
        <v>19322.55</v>
      </c>
      <c r="C534"/>
      <c r="D534" s="84"/>
      <c r="E534" s="88"/>
    </row>
    <row r="535" spans="1:5" ht="16">
      <c r="A535" s="82">
        <v>45107</v>
      </c>
      <c r="B535" s="83">
        <v>19189.05</v>
      </c>
      <c r="C535"/>
      <c r="D535" s="84"/>
      <c r="E535" s="88"/>
    </row>
    <row r="536" spans="1:5" ht="16">
      <c r="A536" s="82">
        <v>45105</v>
      </c>
      <c r="B536" s="83">
        <v>18972.099999999999</v>
      </c>
      <c r="C536"/>
      <c r="D536" s="84"/>
      <c r="E536" s="88"/>
    </row>
    <row r="537" spans="1:5" ht="16">
      <c r="A537" s="82">
        <v>45104</v>
      </c>
      <c r="B537" s="83">
        <v>18817.400000000001</v>
      </c>
      <c r="C537"/>
      <c r="D537" s="84"/>
      <c r="E537" s="88"/>
    </row>
    <row r="538" spans="1:5" ht="16">
      <c r="A538" s="82">
        <v>45103</v>
      </c>
      <c r="B538" s="83">
        <v>18691.2</v>
      </c>
      <c r="C538"/>
      <c r="D538" s="84"/>
      <c r="E538" s="88"/>
    </row>
    <row r="539" spans="1:5" ht="16">
      <c r="A539" s="82">
        <v>45100</v>
      </c>
      <c r="B539" s="83">
        <v>18665.5</v>
      </c>
      <c r="C539"/>
      <c r="D539" s="84"/>
      <c r="E539" s="88"/>
    </row>
    <row r="540" spans="1:5" ht="16">
      <c r="A540" s="82">
        <v>45099</v>
      </c>
      <c r="B540" s="83">
        <v>18771.25</v>
      </c>
      <c r="C540"/>
      <c r="D540" s="84"/>
      <c r="E540" s="88"/>
    </row>
    <row r="541" spans="1:5" ht="16">
      <c r="A541" s="82">
        <v>45098</v>
      </c>
      <c r="B541" s="83">
        <v>18856.849999999999</v>
      </c>
      <c r="C541"/>
      <c r="D541" s="84"/>
      <c r="E541" s="88"/>
    </row>
    <row r="542" spans="1:5" ht="16">
      <c r="A542" s="82">
        <v>45097</v>
      </c>
      <c r="B542" s="83">
        <v>18816.7</v>
      </c>
      <c r="C542"/>
      <c r="D542" s="84"/>
      <c r="E542" s="88"/>
    </row>
    <row r="543" spans="1:5" ht="16">
      <c r="A543" s="82">
        <v>45096</v>
      </c>
      <c r="B543" s="83">
        <v>18755.45</v>
      </c>
      <c r="C543"/>
      <c r="D543" s="84"/>
      <c r="E543" s="88"/>
    </row>
    <row r="544" spans="1:5" ht="16">
      <c r="A544" s="82">
        <v>45093</v>
      </c>
      <c r="B544" s="83">
        <v>18826</v>
      </c>
      <c r="C544"/>
      <c r="D544" s="84"/>
      <c r="E544" s="88"/>
    </row>
    <row r="545" spans="1:5" ht="16">
      <c r="A545" s="82">
        <v>45092</v>
      </c>
      <c r="B545" s="83">
        <v>18688.099999999999</v>
      </c>
      <c r="C545"/>
      <c r="D545" s="84"/>
      <c r="E545" s="88"/>
    </row>
    <row r="546" spans="1:5" ht="16">
      <c r="A546" s="82">
        <v>45091</v>
      </c>
      <c r="B546" s="83">
        <v>18755.900000000001</v>
      </c>
      <c r="C546"/>
      <c r="D546" s="84"/>
      <c r="E546" s="88"/>
    </row>
    <row r="547" spans="1:5" ht="16">
      <c r="A547" s="82">
        <v>45090</v>
      </c>
      <c r="B547" s="83">
        <v>18716.150000000001</v>
      </c>
      <c r="C547"/>
      <c r="D547" s="84"/>
      <c r="E547" s="88"/>
    </row>
    <row r="548" spans="1:5" ht="16">
      <c r="A548" s="82">
        <v>45089</v>
      </c>
      <c r="B548" s="83">
        <v>18601.5</v>
      </c>
      <c r="C548"/>
      <c r="D548" s="84"/>
      <c r="E548" s="88"/>
    </row>
    <row r="549" spans="1:5" ht="16">
      <c r="A549" s="82">
        <v>45086</v>
      </c>
      <c r="B549" s="83">
        <v>18563.400000000001</v>
      </c>
      <c r="C549"/>
      <c r="D549" s="84"/>
      <c r="E549" s="88"/>
    </row>
    <row r="550" spans="1:5" ht="16">
      <c r="A550" s="82">
        <v>45085</v>
      </c>
      <c r="B550" s="83">
        <v>18634.55</v>
      </c>
      <c r="C550"/>
      <c r="D550" s="84"/>
      <c r="E550" s="88"/>
    </row>
    <row r="551" spans="1:5" ht="16">
      <c r="A551" s="82">
        <v>45084</v>
      </c>
      <c r="B551" s="83">
        <v>18726.400000000001</v>
      </c>
      <c r="C551"/>
      <c r="D551" s="84"/>
      <c r="E551" s="88"/>
    </row>
    <row r="552" spans="1:5" ht="16">
      <c r="A552" s="82">
        <v>45083</v>
      </c>
      <c r="B552" s="83">
        <v>18599</v>
      </c>
      <c r="C552"/>
      <c r="D552" s="84"/>
      <c r="E552" s="88"/>
    </row>
    <row r="553" spans="1:5" ht="16">
      <c r="A553" s="82">
        <v>45082</v>
      </c>
      <c r="B553" s="83">
        <v>18593.849999999999</v>
      </c>
      <c r="C553"/>
      <c r="D553" s="84"/>
      <c r="E553" s="88"/>
    </row>
    <row r="554" spans="1:5" ht="16">
      <c r="A554" s="82">
        <v>45079</v>
      </c>
      <c r="B554" s="83">
        <v>18534.099999999999</v>
      </c>
      <c r="C554"/>
      <c r="D554" s="84"/>
      <c r="E554" s="88"/>
    </row>
    <row r="555" spans="1:5" ht="16">
      <c r="A555" s="82">
        <v>45078</v>
      </c>
      <c r="B555" s="83">
        <v>18487.75</v>
      </c>
      <c r="C555"/>
      <c r="D555" s="84"/>
      <c r="E555" s="88"/>
    </row>
    <row r="556" spans="1:5" ht="16">
      <c r="A556" s="82">
        <v>45077</v>
      </c>
      <c r="B556" s="83">
        <v>18534.400000000001</v>
      </c>
      <c r="C556"/>
      <c r="D556" s="84"/>
      <c r="E556" s="88"/>
    </row>
    <row r="557" spans="1:5" ht="16">
      <c r="A557" s="82">
        <v>45076</v>
      </c>
      <c r="B557" s="83">
        <v>18633.849999999999</v>
      </c>
      <c r="C557"/>
      <c r="D557" s="84"/>
      <c r="E557" s="88"/>
    </row>
    <row r="558" spans="1:5" ht="16">
      <c r="A558" s="82">
        <v>45075</v>
      </c>
      <c r="B558" s="83">
        <v>18598.650000000001</v>
      </c>
      <c r="C558"/>
      <c r="D558" s="84"/>
      <c r="E558" s="88"/>
    </row>
    <row r="559" spans="1:5" ht="16">
      <c r="A559" s="82">
        <v>45072</v>
      </c>
      <c r="B559" s="83">
        <v>18499.349999999999</v>
      </c>
      <c r="C559"/>
      <c r="D559" s="84"/>
      <c r="E559" s="88"/>
    </row>
    <row r="560" spans="1:5" ht="16">
      <c r="A560" s="82">
        <v>45071</v>
      </c>
      <c r="B560" s="83">
        <v>18321.150000000001</v>
      </c>
      <c r="C560"/>
      <c r="D560" s="84"/>
      <c r="E560" s="88"/>
    </row>
    <row r="561" spans="1:5" ht="16">
      <c r="A561" s="82">
        <v>45070</v>
      </c>
      <c r="B561" s="83">
        <v>18285.400000000001</v>
      </c>
      <c r="C561"/>
      <c r="D561" s="84"/>
      <c r="E561" s="88"/>
    </row>
    <row r="562" spans="1:5" ht="16">
      <c r="A562" s="82">
        <v>45069</v>
      </c>
      <c r="B562" s="83">
        <v>18348</v>
      </c>
      <c r="C562"/>
      <c r="D562" s="84"/>
      <c r="E562" s="88"/>
    </row>
    <row r="563" spans="1:5" ht="16">
      <c r="A563" s="82">
        <v>45068</v>
      </c>
      <c r="B563" s="83">
        <v>18314.400000000001</v>
      </c>
      <c r="C563"/>
      <c r="D563" s="84"/>
      <c r="E563" s="88"/>
    </row>
    <row r="564" spans="1:5" ht="16">
      <c r="A564" s="82">
        <v>45065</v>
      </c>
      <c r="B564" s="83">
        <v>18203.400000000001</v>
      </c>
      <c r="C564"/>
      <c r="D564" s="84"/>
      <c r="E564" s="88"/>
    </row>
    <row r="565" spans="1:5" ht="16">
      <c r="A565" s="82">
        <v>45064</v>
      </c>
      <c r="B565" s="83">
        <v>18129.95</v>
      </c>
      <c r="C565"/>
      <c r="D565" s="84"/>
      <c r="E565" s="88"/>
    </row>
    <row r="566" spans="1:5" ht="16">
      <c r="A566" s="82">
        <v>45063</v>
      </c>
      <c r="B566" s="83">
        <v>18181.75</v>
      </c>
      <c r="C566"/>
      <c r="D566" s="84"/>
      <c r="E566" s="88"/>
    </row>
    <row r="567" spans="1:5" ht="16">
      <c r="A567" s="82">
        <v>45062</v>
      </c>
      <c r="B567" s="83">
        <v>18286.5</v>
      </c>
      <c r="C567"/>
      <c r="D567" s="84"/>
      <c r="E567" s="88"/>
    </row>
    <row r="568" spans="1:5" ht="16">
      <c r="A568" s="82">
        <v>45061</v>
      </c>
      <c r="B568" s="83">
        <v>18398.849999999999</v>
      </c>
      <c r="C568"/>
      <c r="D568" s="84"/>
      <c r="E568" s="88"/>
    </row>
    <row r="569" spans="1:5" ht="16">
      <c r="A569" s="82">
        <v>45058</v>
      </c>
      <c r="B569" s="83">
        <v>18314.8</v>
      </c>
      <c r="C569"/>
      <c r="D569" s="84"/>
      <c r="E569" s="88"/>
    </row>
    <row r="570" spans="1:5" ht="16">
      <c r="A570" s="82">
        <v>45057</v>
      </c>
      <c r="B570" s="83">
        <v>18297</v>
      </c>
      <c r="C570"/>
      <c r="D570" s="84"/>
      <c r="E570" s="88"/>
    </row>
    <row r="571" spans="1:5" ht="16">
      <c r="A571" s="82">
        <v>45056</v>
      </c>
      <c r="B571" s="83">
        <v>18315.099999999999</v>
      </c>
      <c r="C571"/>
      <c r="D571" s="84"/>
      <c r="E571" s="88"/>
    </row>
    <row r="572" spans="1:5" ht="16">
      <c r="A572" s="82">
        <v>45055</v>
      </c>
      <c r="B572" s="83">
        <v>18265.95</v>
      </c>
      <c r="C572"/>
      <c r="D572" s="84"/>
      <c r="E572" s="88"/>
    </row>
    <row r="573" spans="1:5" ht="16">
      <c r="A573" s="82">
        <v>45054</v>
      </c>
      <c r="B573" s="83">
        <v>18264.400000000001</v>
      </c>
      <c r="C573"/>
      <c r="D573" s="84"/>
      <c r="E573" s="88"/>
    </row>
    <row r="574" spans="1:5" ht="16">
      <c r="A574" s="82">
        <v>45051</v>
      </c>
      <c r="B574" s="83">
        <v>18069</v>
      </c>
      <c r="C574"/>
      <c r="D574" s="84"/>
      <c r="E574" s="88"/>
    </row>
    <row r="575" spans="1:5" ht="16">
      <c r="A575" s="82">
        <v>45050</v>
      </c>
      <c r="B575" s="83">
        <v>18255.8</v>
      </c>
      <c r="C575"/>
      <c r="D575" s="84"/>
      <c r="E575" s="88"/>
    </row>
    <row r="576" spans="1:5" ht="16">
      <c r="A576" s="82">
        <v>45049</v>
      </c>
      <c r="B576" s="83">
        <v>18089.849999999999</v>
      </c>
      <c r="C576"/>
      <c r="D576" s="84"/>
      <c r="E576" s="88"/>
    </row>
    <row r="577" spans="1:5" ht="16">
      <c r="A577" s="82">
        <v>45048</v>
      </c>
      <c r="B577" s="83">
        <v>18147.650000000001</v>
      </c>
      <c r="C577"/>
      <c r="D577" s="84"/>
      <c r="E577" s="88"/>
    </row>
    <row r="578" spans="1:5" ht="16">
      <c r="A578" s="82">
        <v>45044</v>
      </c>
      <c r="B578" s="83">
        <v>18065</v>
      </c>
      <c r="C578"/>
      <c r="D578" s="84"/>
      <c r="E578" s="88"/>
    </row>
    <row r="579" spans="1:5" ht="16">
      <c r="A579" s="82">
        <v>45043</v>
      </c>
      <c r="B579" s="83">
        <v>17915.05</v>
      </c>
      <c r="C579"/>
      <c r="D579" s="84"/>
      <c r="E579" s="88"/>
    </row>
    <row r="580" spans="1:5" ht="16">
      <c r="A580" s="82">
        <v>45042</v>
      </c>
      <c r="B580" s="83">
        <v>17813.599999999999</v>
      </c>
      <c r="C580"/>
      <c r="D580" s="84"/>
      <c r="E580" s="88"/>
    </row>
    <row r="581" spans="1:5" ht="16">
      <c r="A581" s="82">
        <v>45041</v>
      </c>
      <c r="B581" s="83">
        <v>17769.25</v>
      </c>
      <c r="C581"/>
      <c r="D581" s="84"/>
      <c r="E581" s="88"/>
    </row>
    <row r="582" spans="1:5" ht="16">
      <c r="A582" s="82">
        <v>45040</v>
      </c>
      <c r="B582" s="83">
        <v>17743.400000000001</v>
      </c>
      <c r="C582"/>
      <c r="D582" s="84"/>
      <c r="E582" s="88"/>
    </row>
    <row r="583" spans="1:5" ht="16">
      <c r="A583" s="82">
        <v>45037</v>
      </c>
      <c r="B583" s="83">
        <v>17624.05</v>
      </c>
      <c r="C583"/>
      <c r="D583" s="84"/>
      <c r="E583" s="88"/>
    </row>
    <row r="584" spans="1:5" ht="16">
      <c r="A584" s="82">
        <v>45036</v>
      </c>
      <c r="B584" s="83">
        <v>17624.45</v>
      </c>
      <c r="C584"/>
      <c r="D584" s="84"/>
      <c r="E584" s="88"/>
    </row>
    <row r="585" spans="1:5" ht="16">
      <c r="A585" s="82">
        <v>45035</v>
      </c>
      <c r="B585" s="83">
        <v>17618.75</v>
      </c>
      <c r="C585"/>
      <c r="D585" s="84"/>
      <c r="E585" s="88"/>
    </row>
    <row r="586" spans="1:5" ht="16">
      <c r="A586" s="82">
        <v>45034</v>
      </c>
      <c r="B586" s="83">
        <v>17660.150000000001</v>
      </c>
      <c r="C586"/>
      <c r="D586" s="84"/>
      <c r="E586" s="88"/>
    </row>
    <row r="587" spans="1:5" ht="16">
      <c r="A587" s="82">
        <v>45033</v>
      </c>
      <c r="B587" s="83">
        <v>17706.849999999999</v>
      </c>
      <c r="C587"/>
      <c r="D587" s="84"/>
      <c r="E587" s="88"/>
    </row>
    <row r="588" spans="1:5" ht="16">
      <c r="A588" s="82">
        <v>45029</v>
      </c>
      <c r="B588" s="83">
        <v>17828</v>
      </c>
      <c r="C588"/>
      <c r="D588" s="84"/>
      <c r="E588" s="88"/>
    </row>
    <row r="589" spans="1:5" ht="16">
      <c r="A589" s="82">
        <v>45028</v>
      </c>
      <c r="B589" s="83">
        <v>17812.400000000001</v>
      </c>
      <c r="C589"/>
      <c r="D589" s="84"/>
      <c r="E589" s="88"/>
    </row>
    <row r="590" spans="1:5" ht="16">
      <c r="A590" s="82">
        <v>45027</v>
      </c>
      <c r="B590" s="83">
        <v>17722.3</v>
      </c>
      <c r="C590"/>
      <c r="D590" s="84"/>
      <c r="E590" s="88"/>
    </row>
    <row r="591" spans="1:5" ht="16">
      <c r="A591" s="82">
        <v>45026</v>
      </c>
      <c r="B591" s="83">
        <v>17624.05</v>
      </c>
      <c r="C591"/>
      <c r="D591" s="84"/>
      <c r="E591" s="88"/>
    </row>
    <row r="592" spans="1:5" ht="16">
      <c r="A592" s="82">
        <v>45022</v>
      </c>
      <c r="B592" s="83">
        <v>17599.150000000001</v>
      </c>
      <c r="C592"/>
      <c r="D592" s="84"/>
      <c r="E592" s="88"/>
    </row>
    <row r="593" spans="1:5" ht="16">
      <c r="A593" s="82">
        <v>45021</v>
      </c>
      <c r="B593" s="83">
        <v>17557.05</v>
      </c>
      <c r="C593"/>
      <c r="D593" s="84"/>
      <c r="E593" s="88"/>
    </row>
    <row r="594" spans="1:5" ht="16">
      <c r="A594" s="82">
        <v>45019</v>
      </c>
      <c r="B594" s="83">
        <v>17398.05</v>
      </c>
      <c r="C594"/>
      <c r="D594" s="84"/>
      <c r="E594" s="88"/>
    </row>
    <row r="595" spans="1:5" ht="16">
      <c r="A595" s="82">
        <v>45016</v>
      </c>
      <c r="B595" s="83">
        <v>17359.75</v>
      </c>
      <c r="C595"/>
      <c r="D595" s="84"/>
      <c r="E595" s="88"/>
    </row>
    <row r="596" spans="1:5" ht="16">
      <c r="A596" s="82">
        <v>45014</v>
      </c>
      <c r="B596" s="83">
        <v>17080.7</v>
      </c>
      <c r="C596"/>
      <c r="D596" s="84"/>
      <c r="E596" s="88"/>
    </row>
    <row r="597" spans="1:5" ht="16">
      <c r="A597" s="82">
        <v>45013</v>
      </c>
      <c r="B597" s="83">
        <v>16951.7</v>
      </c>
      <c r="C597"/>
      <c r="D597" s="84"/>
      <c r="E597" s="88"/>
    </row>
    <row r="598" spans="1:5" ht="16">
      <c r="A598" s="82">
        <v>45012</v>
      </c>
      <c r="B598" s="83">
        <v>16985.7</v>
      </c>
      <c r="C598"/>
      <c r="D598" s="84"/>
      <c r="E598" s="88"/>
    </row>
    <row r="599" spans="1:5" ht="16">
      <c r="A599" s="82">
        <v>45009</v>
      </c>
      <c r="B599" s="83">
        <v>16945.05</v>
      </c>
      <c r="C599"/>
      <c r="D599" s="84"/>
      <c r="E599" s="88"/>
    </row>
    <row r="600" spans="1:5" ht="16">
      <c r="A600" s="82">
        <v>45008</v>
      </c>
      <c r="B600" s="83">
        <v>17076.900000000001</v>
      </c>
      <c r="C600"/>
      <c r="D600" s="84"/>
      <c r="E600" s="88"/>
    </row>
    <row r="601" spans="1:5" ht="16">
      <c r="A601" s="82">
        <v>45007</v>
      </c>
      <c r="B601" s="83">
        <v>17151.900000000001</v>
      </c>
      <c r="C601"/>
      <c r="D601" s="84"/>
      <c r="E601" s="88"/>
    </row>
    <row r="602" spans="1:5" ht="16">
      <c r="A602" s="82">
        <v>45006</v>
      </c>
      <c r="B602" s="83">
        <v>17107.5</v>
      </c>
      <c r="C602"/>
      <c r="D602" s="84"/>
      <c r="E602" s="88"/>
    </row>
    <row r="603" spans="1:5" ht="16">
      <c r="A603" s="82">
        <v>45005</v>
      </c>
      <c r="B603" s="83">
        <v>16988.400000000001</v>
      </c>
      <c r="C603"/>
      <c r="D603" s="84"/>
      <c r="E603" s="88"/>
    </row>
    <row r="604" spans="1:5" ht="16">
      <c r="A604" s="82">
        <v>45002</v>
      </c>
      <c r="B604" s="83">
        <v>17100.05</v>
      </c>
      <c r="C604"/>
      <c r="D604" s="84"/>
      <c r="E604" s="88"/>
    </row>
    <row r="605" spans="1:5" ht="16">
      <c r="A605" s="82">
        <v>45001</v>
      </c>
      <c r="B605" s="83">
        <v>16985.599999999999</v>
      </c>
      <c r="C605"/>
      <c r="D605" s="84"/>
      <c r="E605" s="88"/>
    </row>
    <row r="606" spans="1:5" ht="16">
      <c r="A606" s="82">
        <v>45000</v>
      </c>
      <c r="B606" s="83">
        <v>16972.150000000001</v>
      </c>
      <c r="C606"/>
      <c r="D606" s="84"/>
      <c r="E606" s="88"/>
    </row>
    <row r="607" spans="1:5" ht="16">
      <c r="A607" s="82">
        <v>44999</v>
      </c>
      <c r="B607" s="83">
        <v>17043.3</v>
      </c>
      <c r="C607"/>
      <c r="D607" s="84"/>
      <c r="E607" s="88"/>
    </row>
    <row r="608" spans="1:5" ht="16">
      <c r="A608" s="82">
        <v>44998</v>
      </c>
      <c r="B608" s="83">
        <v>17154.3</v>
      </c>
      <c r="C608"/>
      <c r="D608" s="84"/>
      <c r="E608" s="88"/>
    </row>
    <row r="609" spans="1:5" ht="16">
      <c r="A609" s="82">
        <v>44995</v>
      </c>
      <c r="B609" s="83">
        <v>17412.900000000001</v>
      </c>
      <c r="C609"/>
      <c r="D609" s="84"/>
      <c r="E609" s="88"/>
    </row>
    <row r="610" spans="1:5" ht="16">
      <c r="A610" s="82">
        <v>44994</v>
      </c>
      <c r="B610" s="83">
        <v>17589.599999999999</v>
      </c>
      <c r="C610"/>
      <c r="D610" s="84"/>
      <c r="E610" s="88"/>
    </row>
    <row r="611" spans="1:5" ht="16">
      <c r="A611" s="82">
        <v>44993</v>
      </c>
      <c r="B611" s="83">
        <v>17754.400000000001</v>
      </c>
      <c r="C611"/>
      <c r="D611" s="84"/>
      <c r="E611" s="88"/>
    </row>
    <row r="612" spans="1:5" ht="16">
      <c r="A612" s="82">
        <v>44991</v>
      </c>
      <c r="B612" s="83">
        <v>17711.45</v>
      </c>
      <c r="C612"/>
      <c r="D612" s="84"/>
      <c r="E612" s="88"/>
    </row>
    <row r="613" spans="1:5" ht="16">
      <c r="A613" s="82">
        <v>44988</v>
      </c>
      <c r="B613" s="83">
        <v>17594.349999999999</v>
      </c>
      <c r="C613"/>
      <c r="D613" s="84"/>
      <c r="E613" s="88"/>
    </row>
    <row r="614" spans="1:5" ht="16">
      <c r="A614" s="82">
        <v>44987</v>
      </c>
      <c r="B614" s="83">
        <v>17321.900000000001</v>
      </c>
      <c r="C614"/>
      <c r="D614" s="84"/>
      <c r="E614" s="88"/>
    </row>
    <row r="615" spans="1:5" ht="16">
      <c r="A615" s="82">
        <v>44986</v>
      </c>
      <c r="B615" s="83">
        <v>17450.900000000001</v>
      </c>
      <c r="C615"/>
      <c r="D615" s="84"/>
      <c r="E615" s="88"/>
    </row>
    <row r="616" spans="1:5" ht="16">
      <c r="A616" s="82">
        <v>44985</v>
      </c>
      <c r="B616" s="83">
        <v>17303.95</v>
      </c>
      <c r="C616"/>
      <c r="D616" s="84"/>
      <c r="E616" s="88"/>
    </row>
    <row r="617" spans="1:5" ht="16">
      <c r="A617" s="82">
        <v>44984</v>
      </c>
      <c r="B617" s="83">
        <v>17392.7</v>
      </c>
      <c r="C617"/>
      <c r="D617" s="84"/>
      <c r="E617" s="88"/>
    </row>
    <row r="618" spans="1:5" ht="16">
      <c r="A618" s="82">
        <v>44981</v>
      </c>
      <c r="B618" s="83">
        <v>17465.8</v>
      </c>
      <c r="C618"/>
      <c r="D618" s="84"/>
      <c r="E618" s="88"/>
    </row>
    <row r="619" spans="1:5" ht="16">
      <c r="A619" s="82">
        <v>44980</v>
      </c>
      <c r="B619" s="83">
        <v>17511.25</v>
      </c>
      <c r="C619"/>
      <c r="D619" s="84"/>
      <c r="E619" s="88"/>
    </row>
    <row r="620" spans="1:5" ht="16">
      <c r="A620" s="82">
        <v>44979</v>
      </c>
      <c r="B620" s="83">
        <v>17554.3</v>
      </c>
      <c r="C620"/>
      <c r="D620" s="84"/>
      <c r="E620" s="88"/>
    </row>
    <row r="621" spans="1:5" ht="16">
      <c r="A621" s="82">
        <v>44978</v>
      </c>
      <c r="B621" s="83">
        <v>17826.7</v>
      </c>
      <c r="C621"/>
      <c r="D621" s="84"/>
      <c r="E621" s="88"/>
    </row>
    <row r="622" spans="1:5" ht="16">
      <c r="A622" s="82">
        <v>44977</v>
      </c>
      <c r="B622" s="83">
        <v>17844.599999999999</v>
      </c>
      <c r="C622"/>
      <c r="D622" s="84"/>
      <c r="E622" s="88"/>
    </row>
    <row r="623" spans="1:5" ht="16">
      <c r="A623" s="82">
        <v>44974</v>
      </c>
      <c r="B623" s="83">
        <v>17944.2</v>
      </c>
      <c r="C623"/>
      <c r="D623" s="84"/>
      <c r="E623" s="88"/>
    </row>
    <row r="624" spans="1:5" ht="16">
      <c r="A624" s="82">
        <v>44973</v>
      </c>
      <c r="B624" s="83">
        <v>18035.849999999999</v>
      </c>
      <c r="C624"/>
      <c r="D624" s="84"/>
      <c r="E624" s="88"/>
    </row>
    <row r="625" spans="1:5" ht="16">
      <c r="A625" s="82">
        <v>44972</v>
      </c>
      <c r="B625" s="83">
        <v>18015.849999999999</v>
      </c>
      <c r="C625"/>
      <c r="D625" s="84"/>
      <c r="E625" s="88"/>
    </row>
    <row r="626" spans="1:5" ht="16">
      <c r="A626" s="82">
        <v>44971</v>
      </c>
      <c r="B626" s="83">
        <v>17929.849999999999</v>
      </c>
      <c r="C626"/>
      <c r="D626" s="84"/>
      <c r="E626" s="88"/>
    </row>
    <row r="627" spans="1:5" ht="16">
      <c r="A627" s="82">
        <v>44970</v>
      </c>
      <c r="B627" s="83">
        <v>17770.900000000001</v>
      </c>
      <c r="C627"/>
      <c r="D627" s="84"/>
      <c r="E627" s="88"/>
    </row>
    <row r="628" spans="1:5" ht="16">
      <c r="A628" s="82">
        <v>44967</v>
      </c>
      <c r="B628" s="83">
        <v>17856.5</v>
      </c>
      <c r="C628"/>
      <c r="D628" s="84"/>
      <c r="E628" s="88"/>
    </row>
    <row r="629" spans="1:5" ht="16">
      <c r="A629" s="82">
        <v>44966</v>
      </c>
      <c r="B629" s="83">
        <v>17893.45</v>
      </c>
      <c r="C629"/>
      <c r="D629" s="84"/>
      <c r="E629" s="88"/>
    </row>
    <row r="630" spans="1:5" ht="16">
      <c r="A630" s="82">
        <v>44965</v>
      </c>
      <c r="B630" s="83">
        <v>17871.7</v>
      </c>
      <c r="C630"/>
      <c r="D630" s="84"/>
      <c r="E630" s="88"/>
    </row>
    <row r="631" spans="1:5" ht="16">
      <c r="A631" s="82">
        <v>44964</v>
      </c>
      <c r="B631" s="83">
        <v>17721.5</v>
      </c>
      <c r="C631"/>
      <c r="D631" s="84"/>
      <c r="E631" s="88"/>
    </row>
    <row r="632" spans="1:5" ht="16">
      <c r="A632" s="82">
        <v>44963</v>
      </c>
      <c r="B632" s="83">
        <v>17764.599999999999</v>
      </c>
      <c r="C632"/>
      <c r="D632" s="84"/>
      <c r="E632" s="88"/>
    </row>
    <row r="633" spans="1:5" ht="16">
      <c r="A633" s="82">
        <v>44960</v>
      </c>
      <c r="B633" s="83">
        <v>17854.05</v>
      </c>
      <c r="C633"/>
      <c r="D633" s="84"/>
      <c r="E633" s="88"/>
    </row>
    <row r="634" spans="1:5" ht="16">
      <c r="A634" s="82">
        <v>44959</v>
      </c>
      <c r="B634" s="83">
        <v>17610.400000000001</v>
      </c>
      <c r="C634"/>
      <c r="D634" s="84"/>
      <c r="E634" s="88"/>
    </row>
    <row r="635" spans="1:5" ht="16">
      <c r="A635" s="82">
        <v>44958</v>
      </c>
      <c r="B635" s="83">
        <v>17616.3</v>
      </c>
      <c r="C635"/>
      <c r="D635" s="84"/>
      <c r="E635" s="88"/>
    </row>
    <row r="636" spans="1:5" ht="16">
      <c r="A636" s="82">
        <v>44957</v>
      </c>
      <c r="B636" s="83">
        <v>17662.150000000001</v>
      </c>
      <c r="C636"/>
      <c r="D636" s="84"/>
      <c r="E636" s="88"/>
    </row>
    <row r="637" spans="1:5" ht="16">
      <c r="A637" s="82">
        <v>44956</v>
      </c>
      <c r="B637" s="83">
        <v>17648.95</v>
      </c>
      <c r="C637"/>
      <c r="D637" s="84"/>
      <c r="E637" s="88"/>
    </row>
    <row r="638" spans="1:5" ht="16">
      <c r="A638" s="82">
        <v>44953</v>
      </c>
      <c r="B638" s="83">
        <v>17604.349999999999</v>
      </c>
      <c r="C638"/>
      <c r="D638" s="84"/>
      <c r="E638" s="88"/>
    </row>
    <row r="639" spans="1:5" ht="16">
      <c r="A639" s="82">
        <v>44951</v>
      </c>
      <c r="B639" s="83">
        <v>17891.95</v>
      </c>
      <c r="C639"/>
      <c r="D639" s="84"/>
      <c r="E639" s="88"/>
    </row>
    <row r="640" spans="1:5" ht="16">
      <c r="A640" s="82">
        <v>44950</v>
      </c>
      <c r="B640" s="83">
        <v>18118.3</v>
      </c>
      <c r="C640"/>
      <c r="D640" s="84"/>
      <c r="E640" s="88"/>
    </row>
    <row r="641" spans="1:5" ht="16">
      <c r="A641" s="82">
        <v>44949</v>
      </c>
      <c r="B641" s="83">
        <v>18118.55</v>
      </c>
      <c r="C641"/>
      <c r="D641" s="84"/>
      <c r="E641" s="88"/>
    </row>
    <row r="642" spans="1:5" ht="16">
      <c r="A642" s="82">
        <v>44946</v>
      </c>
      <c r="B642" s="83">
        <v>18027.650000000001</v>
      </c>
      <c r="C642"/>
      <c r="D642" s="84"/>
      <c r="E642" s="88"/>
    </row>
    <row r="643" spans="1:5" ht="16">
      <c r="A643" s="82">
        <v>44945</v>
      </c>
      <c r="B643" s="83">
        <v>18107.849999999999</v>
      </c>
      <c r="C643"/>
      <c r="D643" s="84"/>
      <c r="E643" s="88"/>
    </row>
    <row r="644" spans="1:5" ht="16">
      <c r="A644" s="82">
        <v>44944</v>
      </c>
      <c r="B644" s="83">
        <v>18165.349999999999</v>
      </c>
      <c r="C644"/>
      <c r="D644" s="84"/>
      <c r="E644" s="88"/>
    </row>
    <row r="645" spans="1:5" ht="16">
      <c r="A645" s="82">
        <v>44943</v>
      </c>
      <c r="B645" s="83">
        <v>18053.3</v>
      </c>
      <c r="C645"/>
      <c r="D645" s="84"/>
      <c r="E645" s="88"/>
    </row>
    <row r="646" spans="1:5" ht="16">
      <c r="A646" s="82">
        <v>44942</v>
      </c>
      <c r="B646" s="83">
        <v>17894.849999999999</v>
      </c>
      <c r="C646"/>
      <c r="D646" s="84"/>
      <c r="E646" s="88"/>
    </row>
    <row r="647" spans="1:5" ht="16">
      <c r="A647" s="82">
        <v>44939</v>
      </c>
      <c r="B647" s="83">
        <v>17956.599999999999</v>
      </c>
      <c r="C647"/>
      <c r="D647" s="84"/>
      <c r="E647" s="88"/>
    </row>
    <row r="648" spans="1:5" ht="16">
      <c r="A648" s="82">
        <v>44938</v>
      </c>
      <c r="B648" s="83">
        <v>17858.2</v>
      </c>
      <c r="C648"/>
      <c r="D648" s="84"/>
      <c r="E648" s="88"/>
    </row>
    <row r="649" spans="1:5" ht="16">
      <c r="A649" s="82">
        <v>44937</v>
      </c>
      <c r="B649" s="83">
        <v>17895.7</v>
      </c>
      <c r="C649"/>
      <c r="D649" s="84"/>
      <c r="E649" s="88"/>
    </row>
    <row r="650" spans="1:5" ht="16">
      <c r="A650" s="82">
        <v>44936</v>
      </c>
      <c r="B650" s="83">
        <v>17914.150000000001</v>
      </c>
      <c r="C650"/>
      <c r="D650" s="84"/>
      <c r="E650" s="88"/>
    </row>
    <row r="651" spans="1:5" ht="16">
      <c r="A651" s="82">
        <v>44935</v>
      </c>
      <c r="B651" s="83">
        <v>18101.2</v>
      </c>
      <c r="C651"/>
      <c r="D651" s="84"/>
      <c r="E651" s="88"/>
    </row>
    <row r="652" spans="1:5" ht="16">
      <c r="A652" s="82">
        <v>44932</v>
      </c>
      <c r="B652" s="83">
        <v>17859.45</v>
      </c>
      <c r="C652"/>
      <c r="D652" s="84"/>
      <c r="E652" s="88"/>
    </row>
    <row r="653" spans="1:5" ht="16">
      <c r="A653" s="82">
        <v>44931</v>
      </c>
      <c r="B653" s="83">
        <v>17992.150000000001</v>
      </c>
      <c r="C653"/>
      <c r="D653" s="84"/>
      <c r="E653" s="88"/>
    </row>
    <row r="654" spans="1:5" ht="16">
      <c r="A654" s="82">
        <v>44930</v>
      </c>
      <c r="B654" s="83">
        <v>18042.95</v>
      </c>
      <c r="C654"/>
      <c r="D654" s="84"/>
      <c r="E654" s="88"/>
    </row>
    <row r="655" spans="1:5" ht="16">
      <c r="A655" s="82">
        <v>44929</v>
      </c>
      <c r="B655" s="83">
        <v>18232.55</v>
      </c>
      <c r="C655"/>
      <c r="D655" s="84"/>
      <c r="E655" s="88"/>
    </row>
    <row r="656" spans="1:5" ht="16">
      <c r="A656" s="82">
        <v>44928</v>
      </c>
      <c r="B656" s="83">
        <v>18197.45</v>
      </c>
      <c r="C656"/>
      <c r="D656" s="84"/>
      <c r="E656" s="88"/>
    </row>
    <row r="657" spans="1:5" ht="16">
      <c r="A657" s="82">
        <v>44925</v>
      </c>
      <c r="B657" s="83">
        <v>18105.3</v>
      </c>
      <c r="C657"/>
      <c r="D657" s="84"/>
      <c r="E657" s="88"/>
    </row>
    <row r="658" spans="1:5" ht="16">
      <c r="A658" s="82">
        <v>44924</v>
      </c>
      <c r="B658" s="83">
        <v>18191</v>
      </c>
      <c r="C658"/>
      <c r="D658" s="84"/>
      <c r="E658" s="88"/>
    </row>
    <row r="659" spans="1:5" ht="16">
      <c r="A659" s="82">
        <v>44923</v>
      </c>
      <c r="B659" s="83">
        <v>18122.5</v>
      </c>
      <c r="C659"/>
      <c r="D659" s="84"/>
      <c r="E659" s="88"/>
    </row>
    <row r="660" spans="1:5" ht="16">
      <c r="A660" s="82">
        <v>44922</v>
      </c>
      <c r="B660" s="83">
        <v>18132.3</v>
      </c>
      <c r="C660"/>
      <c r="D660" s="84"/>
      <c r="E660" s="88"/>
    </row>
    <row r="661" spans="1:5" ht="16">
      <c r="A661" s="82">
        <v>44921</v>
      </c>
      <c r="B661" s="83">
        <v>18014.599999999999</v>
      </c>
      <c r="C661"/>
      <c r="D661" s="84"/>
      <c r="E661" s="88"/>
    </row>
    <row r="662" spans="1:5" ht="16">
      <c r="A662" s="82">
        <v>44918</v>
      </c>
      <c r="B662" s="83">
        <v>17806.8</v>
      </c>
      <c r="C662"/>
      <c r="D662" s="84"/>
      <c r="E662" s="88"/>
    </row>
    <row r="663" spans="1:5" ht="16">
      <c r="A663" s="82">
        <v>44917</v>
      </c>
      <c r="B663" s="83">
        <v>18127.349999999999</v>
      </c>
      <c r="C663"/>
      <c r="D663" s="84"/>
      <c r="E663" s="88"/>
    </row>
    <row r="664" spans="1:5" ht="16">
      <c r="A664" s="82">
        <v>44916</v>
      </c>
      <c r="B664" s="83">
        <v>18199.099999999999</v>
      </c>
      <c r="C664"/>
      <c r="D664" s="84"/>
      <c r="E664" s="88"/>
    </row>
    <row r="665" spans="1:5" ht="16">
      <c r="A665" s="82">
        <v>44915</v>
      </c>
      <c r="B665" s="83">
        <v>18385.3</v>
      </c>
      <c r="C665"/>
      <c r="D665" s="84"/>
      <c r="E665" s="88"/>
    </row>
    <row r="666" spans="1:5" ht="16">
      <c r="A666" s="82">
        <v>44914</v>
      </c>
      <c r="B666" s="83">
        <v>18420.45</v>
      </c>
      <c r="C666"/>
      <c r="D666" s="84"/>
      <c r="E666" s="88"/>
    </row>
    <row r="667" spans="1:5" ht="16">
      <c r="A667" s="82">
        <v>44911</v>
      </c>
      <c r="B667" s="83">
        <v>18269</v>
      </c>
      <c r="C667"/>
      <c r="D667" s="84"/>
      <c r="E667" s="88"/>
    </row>
    <row r="668" spans="1:5" ht="16">
      <c r="A668" s="82">
        <v>44910</v>
      </c>
      <c r="B668" s="83">
        <v>18414.900000000001</v>
      </c>
      <c r="C668"/>
      <c r="D668" s="84"/>
      <c r="E668" s="88"/>
    </row>
    <row r="669" spans="1:5" ht="16">
      <c r="A669" s="82">
        <v>44909</v>
      </c>
      <c r="B669" s="83">
        <v>18660.3</v>
      </c>
      <c r="C669"/>
      <c r="D669" s="84"/>
      <c r="E669" s="88"/>
    </row>
    <row r="670" spans="1:5" ht="16">
      <c r="A670" s="82">
        <v>44908</v>
      </c>
      <c r="B670" s="83">
        <v>18608</v>
      </c>
      <c r="C670"/>
      <c r="D670" s="84"/>
      <c r="E670" s="88"/>
    </row>
    <row r="671" spans="1:5" ht="16">
      <c r="A671" s="82">
        <v>44907</v>
      </c>
      <c r="B671" s="83">
        <v>18497.150000000001</v>
      </c>
      <c r="C671"/>
      <c r="D671" s="84"/>
      <c r="E671" s="88"/>
    </row>
    <row r="672" spans="1:5" ht="16">
      <c r="A672" s="82">
        <v>44904</v>
      </c>
      <c r="B672" s="83">
        <v>18496.599999999999</v>
      </c>
      <c r="C672"/>
      <c r="D672" s="84"/>
      <c r="E672" s="88"/>
    </row>
    <row r="673" spans="1:5" ht="16">
      <c r="A673" s="82">
        <v>44903</v>
      </c>
      <c r="B673" s="83">
        <v>18609.349999999999</v>
      </c>
      <c r="C673"/>
      <c r="D673" s="84"/>
      <c r="E673" s="88"/>
    </row>
    <row r="674" spans="1:5" ht="16">
      <c r="A674" s="82">
        <v>44902</v>
      </c>
      <c r="B674" s="83">
        <v>18560.5</v>
      </c>
      <c r="C674"/>
      <c r="D674" s="84"/>
      <c r="E674" s="88"/>
    </row>
    <row r="675" spans="1:5" ht="16">
      <c r="A675" s="82">
        <v>44901</v>
      </c>
      <c r="B675" s="83">
        <v>18642.75</v>
      </c>
      <c r="C675"/>
      <c r="D675" s="84"/>
      <c r="E675" s="88"/>
    </row>
    <row r="676" spans="1:5" ht="16">
      <c r="A676" s="82">
        <v>44900</v>
      </c>
      <c r="B676" s="83">
        <v>18701.05</v>
      </c>
      <c r="C676"/>
      <c r="D676" s="84"/>
      <c r="E676" s="88"/>
    </row>
    <row r="677" spans="1:5" ht="16">
      <c r="A677" s="82">
        <v>44897</v>
      </c>
      <c r="B677" s="83">
        <v>18696.099999999999</v>
      </c>
      <c r="C677"/>
      <c r="D677" s="84"/>
      <c r="E677" s="88"/>
    </row>
    <row r="678" spans="1:5" ht="16">
      <c r="A678" s="82">
        <v>44896</v>
      </c>
      <c r="B678" s="83">
        <v>18812.5</v>
      </c>
      <c r="C678"/>
      <c r="D678" s="84"/>
      <c r="E678" s="88"/>
    </row>
    <row r="679" spans="1:5" ht="16">
      <c r="A679" s="82">
        <v>44895</v>
      </c>
      <c r="B679" s="83">
        <v>18758.349999999999</v>
      </c>
      <c r="C679"/>
      <c r="D679" s="84"/>
      <c r="E679" s="88"/>
    </row>
    <row r="680" spans="1:5" ht="16">
      <c r="A680" s="82">
        <v>44894</v>
      </c>
      <c r="B680" s="83">
        <v>18618.05</v>
      </c>
      <c r="C680"/>
      <c r="D680" s="84"/>
      <c r="E680" s="88"/>
    </row>
    <row r="681" spans="1:5" ht="16">
      <c r="A681" s="82">
        <v>44893</v>
      </c>
      <c r="B681" s="83">
        <v>18562.75</v>
      </c>
      <c r="C681"/>
      <c r="D681" s="84"/>
      <c r="E681" s="88"/>
    </row>
    <row r="682" spans="1:5" ht="16">
      <c r="A682" s="82">
        <v>44890</v>
      </c>
      <c r="B682" s="83">
        <v>18512.75</v>
      </c>
      <c r="C682"/>
      <c r="D682" s="84"/>
      <c r="E682" s="88"/>
    </row>
    <row r="683" spans="1:5" ht="16">
      <c r="A683" s="82">
        <v>44889</v>
      </c>
      <c r="B683" s="83">
        <v>18484.099999999999</v>
      </c>
      <c r="C683"/>
      <c r="D683" s="84"/>
      <c r="E683" s="88"/>
    </row>
    <row r="684" spans="1:5" ht="16">
      <c r="A684" s="82">
        <v>44888</v>
      </c>
      <c r="B684" s="83">
        <v>18267.25</v>
      </c>
      <c r="C684"/>
      <c r="D684" s="84"/>
      <c r="E684" s="88"/>
    </row>
    <row r="685" spans="1:5" ht="16">
      <c r="A685" s="82">
        <v>44887</v>
      </c>
      <c r="B685" s="83">
        <v>18244.2</v>
      </c>
      <c r="C685"/>
      <c r="D685" s="84"/>
      <c r="E685" s="88"/>
    </row>
    <row r="686" spans="1:5" ht="16">
      <c r="A686" s="82">
        <v>44886</v>
      </c>
      <c r="B686" s="83">
        <v>18159.95</v>
      </c>
      <c r="C686"/>
      <c r="D686" s="84"/>
      <c r="E686" s="88"/>
    </row>
    <row r="687" spans="1:5" ht="16">
      <c r="A687" s="82">
        <v>44883</v>
      </c>
      <c r="B687" s="83">
        <v>18307.650000000001</v>
      </c>
      <c r="C687"/>
      <c r="D687" s="84"/>
      <c r="E687" s="88"/>
    </row>
    <row r="688" spans="1:5" ht="16">
      <c r="A688" s="82">
        <v>44882</v>
      </c>
      <c r="B688" s="83">
        <v>18343.900000000001</v>
      </c>
      <c r="C688"/>
      <c r="D688" s="84"/>
      <c r="E688" s="88"/>
    </row>
    <row r="689" spans="1:5" ht="16">
      <c r="A689" s="82">
        <v>44881</v>
      </c>
      <c r="B689" s="83">
        <v>18409.650000000001</v>
      </c>
      <c r="C689"/>
      <c r="D689" s="84"/>
      <c r="E689" s="88"/>
    </row>
    <row r="690" spans="1:5" ht="16">
      <c r="A690" s="82">
        <v>44880</v>
      </c>
      <c r="B690" s="83">
        <v>18403.400000000001</v>
      </c>
      <c r="C690"/>
      <c r="D690" s="84"/>
      <c r="E690" s="88"/>
    </row>
    <row r="691" spans="1:5" ht="16">
      <c r="A691" s="82">
        <v>44879</v>
      </c>
      <c r="B691" s="83">
        <v>18329.150000000001</v>
      </c>
      <c r="C691"/>
      <c r="D691" s="84"/>
      <c r="E691" s="88"/>
    </row>
    <row r="692" spans="1:5" ht="16">
      <c r="A692" s="82">
        <v>44876</v>
      </c>
      <c r="B692" s="83">
        <v>18349.7</v>
      </c>
      <c r="C692"/>
      <c r="D692" s="84"/>
      <c r="E692" s="88"/>
    </row>
    <row r="693" spans="1:5" ht="16">
      <c r="A693" s="82">
        <v>44875</v>
      </c>
      <c r="B693" s="83">
        <v>18028.2</v>
      </c>
      <c r="C693"/>
      <c r="D693" s="84"/>
      <c r="E693" s="88"/>
    </row>
    <row r="694" spans="1:5" ht="16">
      <c r="A694" s="82">
        <v>44874</v>
      </c>
      <c r="B694" s="83">
        <v>18157</v>
      </c>
      <c r="C694"/>
      <c r="D694" s="84"/>
      <c r="E694" s="88"/>
    </row>
    <row r="695" spans="1:5" ht="16">
      <c r="A695" s="82">
        <v>44872</v>
      </c>
      <c r="B695" s="83">
        <v>18202.8</v>
      </c>
      <c r="C695"/>
      <c r="D695" s="84"/>
      <c r="E695" s="88"/>
    </row>
    <row r="696" spans="1:5" ht="16">
      <c r="A696" s="82">
        <v>44869</v>
      </c>
      <c r="B696" s="83">
        <v>18117.150000000001</v>
      </c>
      <c r="C696"/>
      <c r="D696" s="84"/>
      <c r="E696" s="88"/>
    </row>
    <row r="697" spans="1:5" ht="16">
      <c r="A697" s="82">
        <v>44868</v>
      </c>
      <c r="B697" s="83">
        <v>18052.7</v>
      </c>
      <c r="C697"/>
      <c r="D697" s="84"/>
      <c r="E697" s="88"/>
    </row>
    <row r="698" spans="1:5" ht="16">
      <c r="A698" s="82">
        <v>44867</v>
      </c>
      <c r="B698" s="83">
        <v>18082.849999999999</v>
      </c>
      <c r="C698"/>
      <c r="D698" s="84"/>
      <c r="E698" s="88"/>
    </row>
    <row r="699" spans="1:5" ht="16">
      <c r="A699" s="82">
        <v>44866</v>
      </c>
      <c r="B699" s="83">
        <v>18145.400000000001</v>
      </c>
      <c r="C699"/>
      <c r="D699" s="84"/>
      <c r="E699" s="88"/>
    </row>
    <row r="700" spans="1:5" ht="16">
      <c r="A700" s="82">
        <v>44865</v>
      </c>
      <c r="B700" s="83">
        <v>18012.2</v>
      </c>
      <c r="C700"/>
      <c r="D700" s="84"/>
      <c r="E700" s="88"/>
    </row>
    <row r="701" spans="1:5" ht="16">
      <c r="A701" s="82">
        <v>44862</v>
      </c>
      <c r="B701" s="83">
        <v>17786.8</v>
      </c>
      <c r="C701"/>
      <c r="D701" s="84"/>
      <c r="E701" s="88"/>
    </row>
    <row r="702" spans="1:5" ht="16">
      <c r="A702" s="82">
        <v>44861</v>
      </c>
      <c r="B702" s="83">
        <v>17736.95</v>
      </c>
      <c r="C702"/>
      <c r="D702" s="84"/>
      <c r="E702" s="88"/>
    </row>
    <row r="703" spans="1:5" ht="16">
      <c r="A703" s="82">
        <v>44859</v>
      </c>
      <c r="B703" s="83">
        <v>17656.349999999999</v>
      </c>
      <c r="C703"/>
      <c r="D703" s="84"/>
      <c r="E703" s="88"/>
    </row>
    <row r="704" spans="1:5" ht="16">
      <c r="A704" s="82">
        <v>44858</v>
      </c>
      <c r="B704" s="83">
        <v>17730.75</v>
      </c>
      <c r="C704"/>
      <c r="D704" s="84"/>
      <c r="E704" s="88"/>
    </row>
    <row r="705" spans="1:5" ht="16">
      <c r="A705" s="82">
        <v>44855</v>
      </c>
      <c r="B705" s="83">
        <v>17576.3</v>
      </c>
      <c r="C705"/>
      <c r="D705" s="84"/>
      <c r="E705" s="88"/>
    </row>
    <row r="706" spans="1:5" ht="16">
      <c r="A706" s="82">
        <v>44854</v>
      </c>
      <c r="B706" s="83">
        <v>17563.95</v>
      </c>
      <c r="C706"/>
      <c r="D706" s="84"/>
      <c r="E706" s="88"/>
    </row>
    <row r="707" spans="1:5" ht="16">
      <c r="A707" s="82">
        <v>44853</v>
      </c>
      <c r="B707" s="83">
        <v>17512.25</v>
      </c>
      <c r="C707"/>
      <c r="D707" s="84"/>
      <c r="E707" s="88"/>
    </row>
    <row r="708" spans="1:5" ht="16">
      <c r="A708" s="82">
        <v>44852</v>
      </c>
      <c r="B708" s="83">
        <v>17486.95</v>
      </c>
      <c r="C708"/>
      <c r="D708" s="84"/>
      <c r="E708" s="88"/>
    </row>
    <row r="709" spans="1:5" ht="16">
      <c r="A709" s="82">
        <v>44851</v>
      </c>
      <c r="B709" s="83">
        <v>17311.8</v>
      </c>
      <c r="C709"/>
      <c r="D709" s="84"/>
      <c r="E709" s="88"/>
    </row>
    <row r="710" spans="1:5" ht="16">
      <c r="A710" s="82">
        <v>44848</v>
      </c>
      <c r="B710" s="83">
        <v>17185.7</v>
      </c>
      <c r="C710"/>
      <c r="D710" s="84"/>
      <c r="E710" s="88"/>
    </row>
    <row r="711" spans="1:5" ht="16">
      <c r="A711" s="82">
        <v>44847</v>
      </c>
      <c r="B711" s="83">
        <v>17014.349999999999</v>
      </c>
      <c r="C711"/>
      <c r="D711" s="84"/>
      <c r="E711" s="88"/>
    </row>
    <row r="712" spans="1:5" ht="16">
      <c r="A712" s="82">
        <v>44846</v>
      </c>
      <c r="B712" s="83">
        <v>17123.599999999999</v>
      </c>
      <c r="C712"/>
      <c r="D712" s="84"/>
      <c r="E712" s="88"/>
    </row>
    <row r="713" spans="1:5" ht="16">
      <c r="A713" s="82">
        <v>44845</v>
      </c>
      <c r="B713" s="83">
        <v>16983.55</v>
      </c>
      <c r="C713"/>
      <c r="D713" s="84"/>
      <c r="E713" s="88"/>
    </row>
    <row r="714" spans="1:5" ht="16">
      <c r="A714" s="82">
        <v>44844</v>
      </c>
      <c r="B714" s="83">
        <v>17241</v>
      </c>
      <c r="C714"/>
      <c r="D714" s="84"/>
      <c r="E714" s="88"/>
    </row>
    <row r="715" spans="1:5" ht="16">
      <c r="A715" s="82">
        <v>44841</v>
      </c>
      <c r="B715" s="83">
        <v>17314.650000000001</v>
      </c>
      <c r="C715"/>
      <c r="D715" s="84"/>
      <c r="E715" s="88"/>
    </row>
    <row r="716" spans="1:5" ht="16">
      <c r="A716" s="82">
        <v>44840</v>
      </c>
      <c r="B716" s="83">
        <v>17331.8</v>
      </c>
      <c r="C716"/>
      <c r="D716" s="84"/>
      <c r="E716" s="88"/>
    </row>
    <row r="717" spans="1:5" ht="16">
      <c r="A717" s="82">
        <v>44838</v>
      </c>
      <c r="B717" s="83">
        <v>17274.3</v>
      </c>
      <c r="C717"/>
      <c r="D717" s="84"/>
      <c r="E717" s="88"/>
    </row>
    <row r="718" spans="1:5" ht="16">
      <c r="A718" s="82">
        <v>44837</v>
      </c>
      <c r="B718" s="83">
        <v>16887.349999999999</v>
      </c>
      <c r="C718"/>
      <c r="D718" s="84"/>
      <c r="E718" s="88"/>
    </row>
    <row r="719" spans="1:5" ht="16">
      <c r="A719" s="82">
        <v>44834</v>
      </c>
      <c r="B719" s="83">
        <v>17094.349999999999</v>
      </c>
      <c r="C719"/>
      <c r="D719" s="84"/>
      <c r="E719" s="88"/>
    </row>
    <row r="720" spans="1:5" ht="16">
      <c r="A720" s="82">
        <v>44833</v>
      </c>
      <c r="B720" s="83">
        <v>16818.099999999999</v>
      </c>
      <c r="C720"/>
      <c r="D720" s="84"/>
      <c r="E720" s="88"/>
    </row>
    <row r="721" spans="1:5" ht="16">
      <c r="A721" s="82">
        <v>44832</v>
      </c>
      <c r="B721" s="83">
        <v>16858.599999999999</v>
      </c>
      <c r="C721"/>
      <c r="D721" s="84"/>
      <c r="E721" s="88"/>
    </row>
    <row r="722" spans="1:5" ht="16">
      <c r="A722" s="82">
        <v>44831</v>
      </c>
      <c r="B722" s="83">
        <v>17007.400000000001</v>
      </c>
      <c r="C722"/>
      <c r="D722" s="84"/>
      <c r="E722" s="88"/>
    </row>
    <row r="723" spans="1:5" ht="16">
      <c r="A723" s="82">
        <v>44830</v>
      </c>
      <c r="B723" s="83">
        <v>17016.3</v>
      </c>
      <c r="C723"/>
      <c r="D723" s="84"/>
      <c r="E723" s="88"/>
    </row>
    <row r="724" spans="1:5" ht="16">
      <c r="A724" s="82">
        <v>44827</v>
      </c>
      <c r="B724" s="83">
        <v>17327.349999999999</v>
      </c>
      <c r="C724"/>
      <c r="D724" s="84"/>
      <c r="E724" s="88"/>
    </row>
    <row r="725" spans="1:5" ht="16">
      <c r="A725" s="82">
        <v>44826</v>
      </c>
      <c r="B725" s="83">
        <v>17629.8</v>
      </c>
      <c r="C725"/>
      <c r="D725" s="84"/>
      <c r="E725" s="88"/>
    </row>
    <row r="726" spans="1:5" ht="16">
      <c r="A726" s="82">
        <v>44825</v>
      </c>
      <c r="B726" s="83">
        <v>17718.349999999999</v>
      </c>
      <c r="C726"/>
      <c r="D726" s="84"/>
    </row>
    <row r="727" spans="1:5" ht="16">
      <c r="A727" s="82">
        <v>44824</v>
      </c>
      <c r="B727" s="83">
        <v>17816.25</v>
      </c>
      <c r="C727"/>
      <c r="D727" s="84"/>
    </row>
    <row r="728" spans="1:5" ht="16">
      <c r="A728" s="82">
        <v>44823</v>
      </c>
      <c r="B728" s="83">
        <v>17622.25</v>
      </c>
      <c r="C728"/>
      <c r="D728" s="84"/>
    </row>
    <row r="729" spans="1:5" ht="16">
      <c r="A729" s="82">
        <v>44820</v>
      </c>
      <c r="B729" s="83">
        <v>17530.849999999999</v>
      </c>
      <c r="C729"/>
      <c r="D729" s="84"/>
    </row>
    <row r="730" spans="1:5" ht="16">
      <c r="A730" s="82">
        <v>44819</v>
      </c>
      <c r="B730" s="83">
        <v>17877.400000000001</v>
      </c>
      <c r="C730"/>
      <c r="D730" s="84"/>
    </row>
    <row r="731" spans="1:5" ht="16">
      <c r="A731" s="82">
        <v>44818</v>
      </c>
      <c r="B731" s="83">
        <v>18003.75</v>
      </c>
      <c r="C731"/>
      <c r="D731" s="84"/>
    </row>
    <row r="732" spans="1:5" ht="16">
      <c r="A732" s="82">
        <v>44817</v>
      </c>
      <c r="B732" s="83">
        <v>18070.05</v>
      </c>
      <c r="C732"/>
      <c r="D732" s="84"/>
    </row>
    <row r="733" spans="1:5" ht="16">
      <c r="A733" s="82">
        <v>44816</v>
      </c>
      <c r="B733" s="83">
        <v>17936.349999999999</v>
      </c>
      <c r="C733"/>
      <c r="D733" s="84"/>
    </row>
    <row r="734" spans="1:5" ht="16">
      <c r="A734" s="82">
        <v>44813</v>
      </c>
      <c r="B734" s="83">
        <v>17833.349999999999</v>
      </c>
      <c r="C734"/>
      <c r="D734" s="84"/>
    </row>
    <row r="735" spans="1:5" ht="16">
      <c r="A735" s="82">
        <v>44812</v>
      </c>
      <c r="B735" s="83">
        <v>17798.75</v>
      </c>
      <c r="C735"/>
      <c r="D735" s="84"/>
    </row>
    <row r="736" spans="1:5" ht="16">
      <c r="A736" s="82">
        <v>44811</v>
      </c>
      <c r="B736" s="83">
        <v>17624.400000000001</v>
      </c>
      <c r="C736"/>
      <c r="D736" s="84"/>
    </row>
    <row r="737" spans="1:4" ht="16">
      <c r="A737" s="82">
        <v>44810</v>
      </c>
      <c r="B737" s="83">
        <v>17655.599999999999</v>
      </c>
      <c r="C737"/>
      <c r="D737" s="84"/>
    </row>
    <row r="738" spans="1:4" ht="16">
      <c r="A738" s="82">
        <v>44809</v>
      </c>
      <c r="B738" s="83">
        <v>17665.8</v>
      </c>
      <c r="C738"/>
      <c r="D738" s="84"/>
    </row>
    <row r="739" spans="1:4" ht="16">
      <c r="A739" s="82">
        <v>44806</v>
      </c>
      <c r="B739" s="83">
        <v>17539.45</v>
      </c>
      <c r="C739"/>
      <c r="D739" s="84"/>
    </row>
    <row r="740" spans="1:4" ht="16">
      <c r="A740" s="82">
        <v>44805</v>
      </c>
      <c r="B740" s="83">
        <v>17542.8</v>
      </c>
      <c r="C740"/>
      <c r="D740" s="84"/>
    </row>
    <row r="741" spans="1:4" ht="16">
      <c r="A741" s="82">
        <v>44803</v>
      </c>
      <c r="B741" s="83">
        <v>17759.3</v>
      </c>
      <c r="C741"/>
      <c r="D741" s="84"/>
    </row>
    <row r="742" spans="1:4" ht="16">
      <c r="A742" s="82">
        <v>44802</v>
      </c>
      <c r="B742" s="83">
        <v>17312.900000000001</v>
      </c>
      <c r="C742"/>
      <c r="D742" s="84"/>
    </row>
    <row r="743" spans="1:4" ht="16">
      <c r="A743" s="82">
        <v>44799</v>
      </c>
      <c r="B743" s="83">
        <v>17558.900000000001</v>
      </c>
      <c r="C743"/>
      <c r="D743" s="84"/>
    </row>
    <row r="744" spans="1:4" ht="16">
      <c r="A744" s="82">
        <v>44798</v>
      </c>
      <c r="B744" s="83">
        <v>17522.45</v>
      </c>
      <c r="C744"/>
      <c r="D744" s="84"/>
    </row>
    <row r="745" spans="1:4" ht="16">
      <c r="A745" s="82">
        <v>44797</v>
      </c>
      <c r="B745" s="83">
        <v>17604.95</v>
      </c>
      <c r="C745"/>
      <c r="D745" s="84"/>
    </row>
    <row r="746" spans="1:4" ht="16">
      <c r="A746" s="82">
        <v>44796</v>
      </c>
      <c r="B746" s="83">
        <v>17577.5</v>
      </c>
      <c r="C746"/>
      <c r="D746" s="84"/>
    </row>
    <row r="747" spans="1:4" ht="16">
      <c r="A747" s="82">
        <v>44795</v>
      </c>
      <c r="B747" s="83">
        <v>17490.7</v>
      </c>
      <c r="C747"/>
      <c r="D747" s="84"/>
    </row>
    <row r="748" spans="1:4" ht="16">
      <c r="A748" s="82">
        <v>44792</v>
      </c>
      <c r="B748" s="83">
        <v>17758.45</v>
      </c>
      <c r="C748"/>
      <c r="D748" s="84"/>
    </row>
    <row r="749" spans="1:4" ht="16">
      <c r="A749" s="82">
        <v>44791</v>
      </c>
      <c r="B749" s="83">
        <v>17956.5</v>
      </c>
      <c r="C749"/>
      <c r="D749" s="84"/>
    </row>
    <row r="750" spans="1:4" ht="16">
      <c r="A750" s="82">
        <v>44790</v>
      </c>
      <c r="B750" s="83">
        <v>17944.25</v>
      </c>
      <c r="C750"/>
      <c r="D750" s="84"/>
    </row>
    <row r="751" spans="1:4" ht="16">
      <c r="A751" s="82">
        <v>44789</v>
      </c>
      <c r="B751" s="83">
        <v>17825.25</v>
      </c>
      <c r="C751"/>
      <c r="D751" s="84"/>
    </row>
    <row r="752" spans="1:4" ht="16">
      <c r="A752" s="82">
        <v>44785</v>
      </c>
      <c r="B752" s="83">
        <v>17698.150000000001</v>
      </c>
      <c r="C752"/>
      <c r="D752" s="84"/>
    </row>
    <row r="753" spans="1:4" ht="16">
      <c r="A753" s="82">
        <v>44784</v>
      </c>
      <c r="B753" s="83">
        <v>17659</v>
      </c>
      <c r="C753"/>
      <c r="D753" s="84"/>
    </row>
    <row r="754" spans="1:4" ht="16">
      <c r="A754" s="82">
        <v>44783</v>
      </c>
      <c r="B754" s="83">
        <v>17534.75</v>
      </c>
      <c r="C754"/>
      <c r="D754" s="84"/>
    </row>
    <row r="755" spans="1:4" ht="16">
      <c r="A755" s="82">
        <v>44781</v>
      </c>
      <c r="B755" s="83">
        <v>17525.099999999999</v>
      </c>
      <c r="C755"/>
      <c r="D755" s="84"/>
    </row>
    <row r="756" spans="1:4" ht="16">
      <c r="A756" s="82">
        <v>44778</v>
      </c>
      <c r="B756" s="83">
        <v>17397.5</v>
      </c>
      <c r="C756"/>
      <c r="D756" s="84"/>
    </row>
    <row r="757" spans="1:4" ht="16">
      <c r="A757" s="82">
        <v>44777</v>
      </c>
      <c r="B757" s="83">
        <v>17382</v>
      </c>
      <c r="C757"/>
      <c r="D757" s="84"/>
    </row>
    <row r="758" spans="1:4" ht="16">
      <c r="A758" s="82">
        <v>44776</v>
      </c>
      <c r="B758" s="83">
        <v>17388.150000000001</v>
      </c>
      <c r="C758"/>
      <c r="D758" s="84"/>
    </row>
    <row r="759" spans="1:4" ht="16">
      <c r="A759" s="82">
        <v>44775</v>
      </c>
      <c r="B759" s="83">
        <v>17345.45</v>
      </c>
      <c r="C759"/>
      <c r="D759" s="84"/>
    </row>
    <row r="760" spans="1:4" ht="16">
      <c r="A760" s="82">
        <v>44774</v>
      </c>
      <c r="B760" s="83">
        <v>17340.05</v>
      </c>
      <c r="C760"/>
      <c r="D760" s="84"/>
    </row>
    <row r="761" spans="1:4" ht="16">
      <c r="A761" s="82">
        <v>44771</v>
      </c>
      <c r="B761" s="83">
        <v>17158.25</v>
      </c>
      <c r="C761"/>
      <c r="D761" s="84"/>
    </row>
    <row r="762" spans="1:4" ht="16">
      <c r="A762" s="82">
        <v>44770</v>
      </c>
      <c r="B762" s="83">
        <v>16929.599999999999</v>
      </c>
      <c r="C762"/>
      <c r="D762" s="84"/>
    </row>
    <row r="763" spans="1:4" ht="16">
      <c r="A763" s="82">
        <v>44769</v>
      </c>
      <c r="B763" s="83">
        <v>16641.8</v>
      </c>
      <c r="C763"/>
      <c r="D763" s="84"/>
    </row>
    <row r="764" spans="1:4" ht="16">
      <c r="A764" s="82">
        <v>44768</v>
      </c>
      <c r="B764" s="83">
        <v>16483.849999999999</v>
      </c>
      <c r="C764"/>
      <c r="D764" s="84"/>
    </row>
    <row r="765" spans="1:4" ht="16">
      <c r="A765" s="82">
        <v>44767</v>
      </c>
      <c r="B765" s="83">
        <v>16631</v>
      </c>
      <c r="C765"/>
      <c r="D765" s="84"/>
    </row>
    <row r="766" spans="1:4" ht="16">
      <c r="A766" s="82">
        <v>44764</v>
      </c>
      <c r="B766" s="83">
        <v>16719.45</v>
      </c>
      <c r="C766"/>
      <c r="D766" s="84"/>
    </row>
    <row r="767" spans="1:4" ht="16">
      <c r="A767" s="82">
        <v>44763</v>
      </c>
      <c r="B767" s="83">
        <v>16605.25</v>
      </c>
      <c r="C767"/>
      <c r="D767" s="84"/>
    </row>
    <row r="768" spans="1:4" ht="16">
      <c r="A768" s="82">
        <v>44762</v>
      </c>
      <c r="B768" s="83">
        <v>16520.849999999999</v>
      </c>
      <c r="C768"/>
      <c r="D768" s="84"/>
    </row>
    <row r="769" spans="1:4" ht="16">
      <c r="A769" s="82">
        <v>44761</v>
      </c>
      <c r="B769" s="83">
        <v>16340.55</v>
      </c>
      <c r="C769"/>
      <c r="D769" s="84"/>
    </row>
    <row r="770" spans="1:4" ht="16">
      <c r="A770" s="82">
        <v>44760</v>
      </c>
      <c r="B770" s="83">
        <v>16278.5</v>
      </c>
      <c r="C770"/>
      <c r="D770" s="84"/>
    </row>
    <row r="771" spans="1:4" ht="16">
      <c r="A771" s="82">
        <v>44757</v>
      </c>
      <c r="B771" s="83">
        <v>16049.2</v>
      </c>
      <c r="C771"/>
      <c r="D771" s="84"/>
    </row>
    <row r="772" spans="1:4" ht="16">
      <c r="A772" s="82">
        <v>44756</v>
      </c>
      <c r="B772" s="83">
        <v>15938.65</v>
      </c>
      <c r="C772"/>
      <c r="D772" s="84"/>
    </row>
    <row r="773" spans="1:4" ht="16">
      <c r="A773" s="82">
        <v>44755</v>
      </c>
      <c r="B773" s="83">
        <v>15966.65</v>
      </c>
      <c r="C773"/>
      <c r="D773" s="84"/>
    </row>
    <row r="774" spans="1:4" ht="16">
      <c r="A774" s="82">
        <v>44754</v>
      </c>
      <c r="B774" s="83">
        <v>16058.3</v>
      </c>
      <c r="C774"/>
      <c r="D774" s="84"/>
    </row>
    <row r="775" spans="1:4" ht="16">
      <c r="A775" s="82">
        <v>44753</v>
      </c>
      <c r="B775" s="83">
        <v>16216</v>
      </c>
      <c r="C775"/>
      <c r="D775" s="84"/>
    </row>
    <row r="776" spans="1:4" ht="16">
      <c r="A776" s="82">
        <v>44750</v>
      </c>
      <c r="B776" s="83">
        <v>16220.6</v>
      </c>
      <c r="C776"/>
      <c r="D776" s="84"/>
    </row>
    <row r="777" spans="1:4" ht="16">
      <c r="A777" s="82">
        <v>44749</v>
      </c>
      <c r="B777" s="83">
        <v>16132.9</v>
      </c>
      <c r="C777"/>
      <c r="D777" s="84"/>
    </row>
    <row r="778" spans="1:4" ht="16">
      <c r="A778" s="82">
        <v>44748</v>
      </c>
      <c r="B778" s="83">
        <v>15989.8</v>
      </c>
      <c r="C778"/>
      <c r="D778" s="84"/>
    </row>
    <row r="779" spans="1:4" ht="16">
      <c r="A779" s="82">
        <v>44747</v>
      </c>
      <c r="B779" s="83">
        <v>15810.85</v>
      </c>
      <c r="C779"/>
      <c r="D779" s="84"/>
    </row>
    <row r="780" spans="1:4" ht="16">
      <c r="A780" s="82">
        <v>44746</v>
      </c>
      <c r="B780" s="83">
        <v>15835.35</v>
      </c>
      <c r="C780"/>
      <c r="D780" s="84"/>
    </row>
    <row r="781" spans="1:4" ht="16">
      <c r="A781" s="82">
        <v>44743</v>
      </c>
      <c r="B781" s="83">
        <v>15752.05</v>
      </c>
      <c r="C781"/>
      <c r="D781" s="84"/>
    </row>
    <row r="782" spans="1:4" ht="16">
      <c r="A782" s="82">
        <v>44742</v>
      </c>
      <c r="B782" s="83">
        <v>15780.25</v>
      </c>
      <c r="C782"/>
      <c r="D782" s="84"/>
    </row>
    <row r="783" spans="1:4" ht="16">
      <c r="A783" s="82">
        <v>44741</v>
      </c>
      <c r="B783" s="83">
        <v>15799.1</v>
      </c>
      <c r="C783"/>
      <c r="D783" s="84"/>
    </row>
    <row r="784" spans="1:4" ht="16">
      <c r="A784" s="82">
        <v>44740</v>
      </c>
      <c r="B784" s="83">
        <v>15850.2</v>
      </c>
      <c r="C784"/>
      <c r="D784" s="84"/>
    </row>
    <row r="785" spans="1:4" ht="16">
      <c r="A785" s="82">
        <v>44739</v>
      </c>
      <c r="B785" s="83">
        <v>15832.05</v>
      </c>
      <c r="C785"/>
      <c r="D785" s="84"/>
    </row>
    <row r="786" spans="1:4" ht="16">
      <c r="A786" s="82">
        <v>44736</v>
      </c>
      <c r="B786" s="83">
        <v>15699.25</v>
      </c>
      <c r="C786"/>
      <c r="D786" s="84"/>
    </row>
    <row r="787" spans="1:4" ht="16">
      <c r="A787" s="82">
        <v>44735</v>
      </c>
      <c r="B787" s="83">
        <v>15556.65</v>
      </c>
      <c r="C787"/>
      <c r="D787" s="84"/>
    </row>
    <row r="788" spans="1:4" ht="16">
      <c r="A788" s="82">
        <v>44734</v>
      </c>
      <c r="B788" s="83">
        <v>15413.3</v>
      </c>
      <c r="C788"/>
      <c r="D788" s="84"/>
    </row>
    <row r="789" spans="1:4" ht="16">
      <c r="A789" s="82">
        <v>44733</v>
      </c>
      <c r="B789" s="83">
        <v>15638.8</v>
      </c>
      <c r="C789"/>
      <c r="D789" s="84"/>
    </row>
    <row r="790" spans="1:4" ht="16">
      <c r="A790" s="82">
        <v>44732</v>
      </c>
      <c r="B790" s="83">
        <v>15350.15</v>
      </c>
      <c r="C790"/>
      <c r="D790" s="84"/>
    </row>
    <row r="791" spans="1:4" ht="16">
      <c r="A791" s="82">
        <v>44729</v>
      </c>
      <c r="B791" s="83">
        <v>15293.5</v>
      </c>
      <c r="C791"/>
      <c r="D791" s="84"/>
    </row>
    <row r="792" spans="1:4" ht="16">
      <c r="A792" s="82">
        <v>44728</v>
      </c>
      <c r="B792" s="83">
        <v>15360.6</v>
      </c>
      <c r="C792"/>
      <c r="D792" s="84"/>
    </row>
    <row r="793" spans="1:4" ht="16">
      <c r="A793" s="82">
        <v>44727</v>
      </c>
      <c r="B793" s="83">
        <v>15692.15</v>
      </c>
      <c r="C793"/>
      <c r="D793" s="84"/>
    </row>
    <row r="794" spans="1:4" ht="16">
      <c r="A794" s="82">
        <v>44726</v>
      </c>
      <c r="B794" s="83">
        <v>15732.1</v>
      </c>
      <c r="C794"/>
      <c r="D794" s="84"/>
    </row>
    <row r="795" spans="1:4" ht="16">
      <c r="A795" s="82">
        <v>44725</v>
      </c>
      <c r="B795" s="83">
        <v>15774.4</v>
      </c>
      <c r="C795"/>
      <c r="D795" s="84"/>
    </row>
    <row r="796" spans="1:4" ht="16">
      <c r="A796" s="82">
        <v>44722</v>
      </c>
      <c r="B796" s="83">
        <v>16201.8</v>
      </c>
      <c r="C796"/>
      <c r="D796" s="84"/>
    </row>
    <row r="797" spans="1:4" ht="16">
      <c r="A797" s="82">
        <v>44721</v>
      </c>
      <c r="B797" s="83">
        <v>16478.099999999999</v>
      </c>
      <c r="C797"/>
      <c r="D797" s="84"/>
    </row>
    <row r="798" spans="1:4" ht="16">
      <c r="A798" s="82">
        <v>44720</v>
      </c>
      <c r="B798" s="83">
        <v>16356.25</v>
      </c>
      <c r="C798"/>
      <c r="D798" s="84"/>
    </row>
    <row r="799" spans="1:4" ht="16">
      <c r="A799" s="82">
        <v>44719</v>
      </c>
      <c r="B799" s="83">
        <v>16416.349999999999</v>
      </c>
      <c r="C799"/>
      <c r="D799" s="84"/>
    </row>
    <row r="800" spans="1:4" ht="16">
      <c r="A800" s="82">
        <v>44718</v>
      </c>
      <c r="B800" s="83">
        <v>16569.55</v>
      </c>
      <c r="C800"/>
      <c r="D800" s="84"/>
    </row>
    <row r="801" spans="1:4" ht="16">
      <c r="A801" s="82">
        <v>44715</v>
      </c>
      <c r="B801" s="83">
        <v>16584.3</v>
      </c>
      <c r="C801"/>
      <c r="D801" s="84"/>
    </row>
    <row r="802" spans="1:4" ht="16">
      <c r="A802" s="82">
        <v>44714</v>
      </c>
      <c r="B802" s="83">
        <v>16628</v>
      </c>
      <c r="C802"/>
      <c r="D802" s="84"/>
    </row>
    <row r="803" spans="1:4" ht="16">
      <c r="A803" s="82">
        <v>44713</v>
      </c>
      <c r="B803" s="83">
        <v>16522.75</v>
      </c>
      <c r="C803"/>
      <c r="D803" s="84"/>
    </row>
    <row r="804" spans="1:4" ht="16">
      <c r="A804" s="82">
        <v>44712</v>
      </c>
      <c r="B804" s="83">
        <v>16584.55</v>
      </c>
      <c r="C804"/>
      <c r="D804" s="84"/>
    </row>
    <row r="805" spans="1:4" ht="16">
      <c r="A805" s="82">
        <v>44711</v>
      </c>
      <c r="B805" s="83">
        <v>16661.400000000001</v>
      </c>
      <c r="C805"/>
      <c r="D805" s="84"/>
    </row>
    <row r="806" spans="1:4" ht="16">
      <c r="A806" s="82">
        <v>44708</v>
      </c>
      <c r="B806" s="83">
        <v>16352.45</v>
      </c>
      <c r="C806"/>
      <c r="D806" s="84"/>
    </row>
    <row r="807" spans="1:4" ht="16">
      <c r="A807" s="82">
        <v>44707</v>
      </c>
      <c r="B807" s="83">
        <v>16170.15</v>
      </c>
      <c r="C807"/>
      <c r="D807" s="84"/>
    </row>
    <row r="808" spans="1:4" ht="16">
      <c r="A808" s="82">
        <v>44706</v>
      </c>
      <c r="B808" s="83">
        <v>16025.8</v>
      </c>
      <c r="C808"/>
      <c r="D808" s="84"/>
    </row>
    <row r="809" spans="1:4" ht="16">
      <c r="A809" s="82">
        <v>44705</v>
      </c>
      <c r="B809" s="83">
        <v>16125.15</v>
      </c>
      <c r="C809"/>
      <c r="D809" s="84"/>
    </row>
    <row r="810" spans="1:4" ht="16">
      <c r="A810" s="82">
        <v>44704</v>
      </c>
      <c r="B810" s="83">
        <v>16214.7</v>
      </c>
      <c r="C810"/>
      <c r="D810" s="84"/>
    </row>
    <row r="811" spans="1:4" ht="16">
      <c r="A811" s="82">
        <v>44701</v>
      </c>
      <c r="B811" s="83">
        <v>16266.15</v>
      </c>
      <c r="C811"/>
      <c r="D811" s="84"/>
    </row>
    <row r="812" spans="1:4" ht="16">
      <c r="A812" s="82">
        <v>44700</v>
      </c>
      <c r="B812" s="83">
        <v>15809.4</v>
      </c>
      <c r="C812"/>
      <c r="D812" s="84"/>
    </row>
    <row r="813" spans="1:4" ht="16">
      <c r="A813" s="82">
        <v>44699</v>
      </c>
      <c r="B813" s="83">
        <v>16240.3</v>
      </c>
      <c r="C813"/>
      <c r="D813" s="84"/>
    </row>
    <row r="814" spans="1:4" ht="16">
      <c r="A814" s="82">
        <v>44698</v>
      </c>
      <c r="B814" s="83">
        <v>16259.3</v>
      </c>
      <c r="C814"/>
      <c r="D814" s="84"/>
    </row>
    <row r="815" spans="1:4" ht="16">
      <c r="A815" s="82">
        <v>44697</v>
      </c>
      <c r="B815" s="83">
        <v>15842.3</v>
      </c>
      <c r="C815"/>
      <c r="D815" s="84"/>
    </row>
    <row r="816" spans="1:4" ht="16">
      <c r="A816" s="82">
        <v>44694</v>
      </c>
      <c r="B816" s="83">
        <v>15782.15</v>
      </c>
      <c r="C816"/>
      <c r="D816" s="84"/>
    </row>
    <row r="817" spans="1:4" ht="16">
      <c r="A817" s="82">
        <v>44693</v>
      </c>
      <c r="B817" s="83">
        <v>15808</v>
      </c>
      <c r="C817"/>
      <c r="D817" s="84"/>
    </row>
    <row r="818" spans="1:4" ht="16">
      <c r="A818" s="82">
        <v>44692</v>
      </c>
      <c r="B818" s="83">
        <v>16167.1</v>
      </c>
      <c r="C818"/>
      <c r="D818" s="84"/>
    </row>
    <row r="819" spans="1:4" ht="16">
      <c r="A819" s="82">
        <v>44691</v>
      </c>
      <c r="B819" s="83">
        <v>16240.05</v>
      </c>
      <c r="C819"/>
      <c r="D819" s="84"/>
    </row>
    <row r="820" spans="1:4" ht="16">
      <c r="A820" s="82">
        <v>44690</v>
      </c>
      <c r="B820" s="83">
        <v>16301.85</v>
      </c>
      <c r="C820"/>
      <c r="D820" s="84"/>
    </row>
    <row r="821" spans="1:4" ht="16">
      <c r="A821" s="82">
        <v>44687</v>
      </c>
      <c r="B821" s="83">
        <v>16411.25</v>
      </c>
      <c r="C821"/>
      <c r="D821" s="84"/>
    </row>
    <row r="822" spans="1:4" ht="16">
      <c r="A822" s="82">
        <v>44686</v>
      </c>
      <c r="B822" s="83">
        <v>16682.650000000001</v>
      </c>
      <c r="C822"/>
      <c r="D822" s="84"/>
    </row>
    <row r="823" spans="1:4" ht="16">
      <c r="A823" s="82">
        <v>44685</v>
      </c>
      <c r="B823" s="83">
        <v>16677.599999999999</v>
      </c>
      <c r="C823"/>
      <c r="D823" s="84"/>
    </row>
    <row r="824" spans="1:4" ht="16">
      <c r="A824" s="82">
        <v>44683</v>
      </c>
      <c r="B824" s="83">
        <v>17069.099999999999</v>
      </c>
      <c r="C824"/>
      <c r="D824" s="84"/>
    </row>
    <row r="825" spans="1:4" ht="16">
      <c r="A825" s="82">
        <v>44680</v>
      </c>
      <c r="B825" s="83">
        <v>17102.55</v>
      </c>
      <c r="C825"/>
      <c r="D825" s="84"/>
    </row>
    <row r="826" spans="1:4" ht="16">
      <c r="A826" s="82">
        <v>44679</v>
      </c>
      <c r="B826" s="83">
        <v>17245.05</v>
      </c>
      <c r="C826"/>
      <c r="D826" s="84"/>
    </row>
    <row r="827" spans="1:4" ht="16">
      <c r="A827" s="82">
        <v>44678</v>
      </c>
      <c r="B827" s="83">
        <v>17038.400000000001</v>
      </c>
      <c r="C827"/>
      <c r="D827" s="84"/>
    </row>
    <row r="828" spans="1:4" ht="16">
      <c r="A828" s="82">
        <v>44677</v>
      </c>
      <c r="B828" s="83">
        <v>17200.8</v>
      </c>
      <c r="C828"/>
      <c r="D828" s="84"/>
    </row>
    <row r="829" spans="1:4" ht="16">
      <c r="A829" s="82">
        <v>44676</v>
      </c>
      <c r="B829" s="83">
        <v>16953.95</v>
      </c>
      <c r="C829"/>
      <c r="D829" s="84"/>
    </row>
    <row r="830" spans="1:4" ht="16">
      <c r="A830" s="82">
        <v>44673</v>
      </c>
      <c r="B830" s="83">
        <v>17171.95</v>
      </c>
      <c r="C830"/>
      <c r="D830" s="84"/>
    </row>
    <row r="831" spans="1:4" ht="16">
      <c r="A831" s="82">
        <v>44672</v>
      </c>
      <c r="B831" s="83">
        <v>17392.599999999999</v>
      </c>
      <c r="C831"/>
      <c r="D831" s="84"/>
    </row>
    <row r="832" spans="1:4" ht="16">
      <c r="A832" s="82">
        <v>44671</v>
      </c>
      <c r="B832" s="83">
        <v>17136.55</v>
      </c>
      <c r="C832"/>
      <c r="D832" s="84"/>
    </row>
    <row r="833" spans="1:4" ht="16">
      <c r="A833" s="82">
        <v>44670</v>
      </c>
      <c r="B833" s="83">
        <v>16958.650000000001</v>
      </c>
      <c r="C833"/>
      <c r="D833" s="84"/>
    </row>
    <row r="834" spans="1:4" ht="16">
      <c r="A834" s="82">
        <v>44669</v>
      </c>
      <c r="B834" s="83">
        <v>17173.650000000001</v>
      </c>
      <c r="C834"/>
      <c r="D834" s="84"/>
    </row>
    <row r="835" spans="1:4" ht="16">
      <c r="A835" s="82">
        <v>44664</v>
      </c>
      <c r="B835" s="83">
        <v>17475.650000000001</v>
      </c>
      <c r="C835"/>
      <c r="D835" s="84"/>
    </row>
    <row r="836" spans="1:4" ht="16">
      <c r="A836" s="82">
        <v>44663</v>
      </c>
      <c r="B836" s="83">
        <v>17530.3</v>
      </c>
      <c r="C836"/>
      <c r="D836" s="84"/>
    </row>
    <row r="837" spans="1:4" ht="16">
      <c r="A837" s="82">
        <v>44662</v>
      </c>
      <c r="B837" s="83">
        <v>17674.95</v>
      </c>
      <c r="C837"/>
      <c r="D837" s="84"/>
    </row>
    <row r="838" spans="1:4" ht="16">
      <c r="A838" s="82">
        <v>44659</v>
      </c>
      <c r="B838" s="83">
        <v>17784.349999999999</v>
      </c>
      <c r="C838"/>
      <c r="D838" s="84"/>
    </row>
    <row r="839" spans="1:4" ht="16">
      <c r="A839" s="82">
        <v>44658</v>
      </c>
      <c r="B839" s="83">
        <v>17639.55</v>
      </c>
      <c r="C839"/>
      <c r="D839" s="84"/>
    </row>
    <row r="840" spans="1:4" ht="16">
      <c r="A840" s="82">
        <v>44657</v>
      </c>
      <c r="B840" s="83">
        <v>17807.650000000001</v>
      </c>
      <c r="C840"/>
      <c r="D840" s="84"/>
    </row>
    <row r="841" spans="1:4" ht="16">
      <c r="A841" s="82">
        <v>44656</v>
      </c>
      <c r="B841" s="83">
        <v>17957.400000000001</v>
      </c>
      <c r="C841"/>
      <c r="D841" s="84"/>
    </row>
    <row r="842" spans="1:4" ht="16">
      <c r="A842" s="82">
        <v>44655</v>
      </c>
      <c r="B842" s="83">
        <v>18053.400000000001</v>
      </c>
      <c r="C842"/>
      <c r="D842" s="84"/>
    </row>
    <row r="843" spans="1:4" ht="16">
      <c r="A843" s="82">
        <v>44652</v>
      </c>
      <c r="B843" s="83">
        <v>17670.45</v>
      </c>
      <c r="C843"/>
      <c r="D843" s="84"/>
    </row>
    <row r="844" spans="1:4" ht="16">
      <c r="A844" s="82">
        <v>44651</v>
      </c>
      <c r="B844" s="83">
        <v>17464.75</v>
      </c>
      <c r="C844"/>
      <c r="D844" s="84"/>
    </row>
    <row r="845" spans="1:4" ht="16">
      <c r="A845" s="82">
        <v>44650</v>
      </c>
      <c r="B845" s="83">
        <v>17498.25</v>
      </c>
      <c r="C845"/>
      <c r="D845" s="84"/>
    </row>
    <row r="846" spans="1:4" ht="16">
      <c r="A846" s="82">
        <v>44649</v>
      </c>
      <c r="B846" s="83">
        <v>17325.3</v>
      </c>
      <c r="C846"/>
      <c r="D846" s="84"/>
    </row>
    <row r="847" spans="1:4" ht="16">
      <c r="A847" s="82">
        <v>44648</v>
      </c>
      <c r="B847" s="83">
        <v>17222</v>
      </c>
      <c r="C847"/>
      <c r="D847" s="84"/>
    </row>
    <row r="848" spans="1:4" ht="16">
      <c r="A848" s="82">
        <v>44645</v>
      </c>
      <c r="B848" s="83">
        <v>17153</v>
      </c>
      <c r="C848"/>
      <c r="D848" s="84"/>
    </row>
    <row r="849" spans="1:4" ht="16">
      <c r="A849" s="82">
        <v>44644</v>
      </c>
      <c r="B849" s="83">
        <v>17222.75</v>
      </c>
      <c r="C849"/>
      <c r="D849" s="84"/>
    </row>
    <row r="850" spans="1:4" ht="16">
      <c r="A850" s="82">
        <v>44643</v>
      </c>
      <c r="B850" s="83">
        <v>17245.650000000001</v>
      </c>
      <c r="C850"/>
      <c r="D850" s="84"/>
    </row>
    <row r="851" spans="1:4" ht="16">
      <c r="A851" s="82">
        <v>44642</v>
      </c>
      <c r="B851" s="83">
        <v>17315.5</v>
      </c>
      <c r="C851"/>
      <c r="D851" s="84"/>
    </row>
    <row r="852" spans="1:4" ht="16">
      <c r="A852" s="82">
        <v>44641</v>
      </c>
      <c r="B852" s="83">
        <v>17117.599999999999</v>
      </c>
      <c r="C852"/>
      <c r="D852" s="84"/>
    </row>
    <row r="853" spans="1:4" ht="16">
      <c r="A853" s="82">
        <v>44637</v>
      </c>
      <c r="B853" s="83">
        <v>17287.05</v>
      </c>
      <c r="C853"/>
      <c r="D853" s="84"/>
    </row>
    <row r="854" spans="1:4" ht="16">
      <c r="A854" s="82">
        <v>44636</v>
      </c>
      <c r="B854" s="83">
        <v>16975.349999999999</v>
      </c>
      <c r="C854"/>
      <c r="D854" s="84"/>
    </row>
    <row r="855" spans="1:4" ht="16">
      <c r="A855" s="82">
        <v>44635</v>
      </c>
      <c r="B855" s="83">
        <v>16663</v>
      </c>
      <c r="C855"/>
      <c r="D855" s="84"/>
    </row>
    <row r="856" spans="1:4" ht="16">
      <c r="A856" s="82">
        <v>44634</v>
      </c>
      <c r="B856" s="83">
        <v>16871.3</v>
      </c>
      <c r="C856"/>
      <c r="D856" s="84"/>
    </row>
    <row r="857" spans="1:4" ht="16">
      <c r="A857" s="82">
        <v>44631</v>
      </c>
      <c r="B857" s="83">
        <v>16630.45</v>
      </c>
      <c r="C857"/>
      <c r="D857" s="84"/>
    </row>
    <row r="858" spans="1:4" ht="16">
      <c r="A858" s="82">
        <v>44630</v>
      </c>
      <c r="B858" s="83">
        <v>16594.900000000001</v>
      </c>
      <c r="C858"/>
      <c r="D858" s="84"/>
    </row>
    <row r="859" spans="1:4" ht="16">
      <c r="A859" s="82">
        <v>44629</v>
      </c>
      <c r="B859" s="83">
        <v>16345.35</v>
      </c>
      <c r="C859"/>
      <c r="D859" s="84"/>
    </row>
    <row r="860" spans="1:4" ht="16">
      <c r="A860" s="82">
        <v>44628</v>
      </c>
      <c r="B860" s="83">
        <v>16013.45</v>
      </c>
      <c r="C860"/>
      <c r="D860" s="84"/>
    </row>
    <row r="861" spans="1:4" ht="16">
      <c r="A861" s="82">
        <v>44627</v>
      </c>
      <c r="B861" s="83">
        <v>15863.15</v>
      </c>
      <c r="C861"/>
      <c r="D861" s="84"/>
    </row>
    <row r="862" spans="1:4" ht="16">
      <c r="A862" s="82">
        <v>44624</v>
      </c>
      <c r="B862" s="83">
        <v>16245.35</v>
      </c>
      <c r="C862"/>
      <c r="D862" s="84"/>
    </row>
    <row r="863" spans="1:4" ht="16">
      <c r="A863" s="82">
        <v>44623</v>
      </c>
      <c r="B863" s="83">
        <v>16498.05</v>
      </c>
      <c r="C863"/>
      <c r="D863" s="84"/>
    </row>
    <row r="864" spans="1:4" ht="16">
      <c r="A864" s="82">
        <v>44622</v>
      </c>
      <c r="B864" s="83">
        <v>16605.95</v>
      </c>
      <c r="C864"/>
      <c r="D864" s="84"/>
    </row>
    <row r="865" spans="1:4" ht="16">
      <c r="A865" s="82">
        <v>44620</v>
      </c>
      <c r="B865" s="83">
        <v>16793.900000000001</v>
      </c>
      <c r="C865"/>
      <c r="D865" s="84"/>
    </row>
    <row r="866" spans="1:4" ht="16">
      <c r="A866" s="82">
        <v>44617</v>
      </c>
      <c r="B866" s="83">
        <v>16658.400000000001</v>
      </c>
      <c r="C866"/>
      <c r="D866" s="84"/>
    </row>
    <row r="867" spans="1:4" ht="16">
      <c r="A867" s="82">
        <v>44616</v>
      </c>
      <c r="B867" s="83">
        <v>16247.95</v>
      </c>
      <c r="C867"/>
      <c r="D867" s="84"/>
    </row>
    <row r="868" spans="1:4" ht="16">
      <c r="A868" s="82">
        <v>44615</v>
      </c>
      <c r="B868" s="83">
        <v>17063.25</v>
      </c>
      <c r="C868"/>
      <c r="D868" s="84"/>
    </row>
    <row r="869" spans="1:4" ht="16">
      <c r="A869" s="82">
        <v>44614</v>
      </c>
      <c r="B869" s="83">
        <v>17092.2</v>
      </c>
      <c r="C869"/>
      <c r="D869" s="84"/>
    </row>
    <row r="870" spans="1:4" ht="16">
      <c r="A870" s="82">
        <v>44613</v>
      </c>
      <c r="B870" s="83">
        <v>17206.650000000001</v>
      </c>
      <c r="C870"/>
      <c r="D870" s="84"/>
    </row>
    <row r="871" spans="1:4" ht="16">
      <c r="A871" s="82">
        <v>44610</v>
      </c>
      <c r="B871" s="83">
        <v>17276.3</v>
      </c>
      <c r="C871"/>
      <c r="D871" s="84"/>
    </row>
    <row r="872" spans="1:4" ht="16">
      <c r="A872" s="82">
        <v>44609</v>
      </c>
      <c r="B872" s="83">
        <v>17304.599999999999</v>
      </c>
      <c r="C872"/>
      <c r="D872" s="84"/>
    </row>
    <row r="873" spans="1:4" ht="16">
      <c r="A873" s="82">
        <v>44608</v>
      </c>
      <c r="B873" s="83">
        <v>17322.2</v>
      </c>
      <c r="C873"/>
      <c r="D873" s="84"/>
    </row>
    <row r="874" spans="1:4" ht="16">
      <c r="A874" s="82">
        <v>44607</v>
      </c>
      <c r="B874" s="83">
        <v>17352.45</v>
      </c>
      <c r="C874"/>
      <c r="D874" s="84"/>
    </row>
    <row r="875" spans="1:4" ht="16">
      <c r="A875" s="82">
        <v>44606</v>
      </c>
      <c r="B875" s="83">
        <v>16842.8</v>
      </c>
      <c r="C875"/>
      <c r="D875" s="84"/>
    </row>
    <row r="876" spans="1:4" ht="16">
      <c r="A876" s="82">
        <v>44603</v>
      </c>
      <c r="B876" s="83">
        <v>17374.75</v>
      </c>
      <c r="C876"/>
      <c r="D876" s="84"/>
    </row>
    <row r="877" spans="1:4" ht="16">
      <c r="A877" s="82">
        <v>44602</v>
      </c>
      <c r="B877" s="83">
        <v>17605.849999999999</v>
      </c>
      <c r="C877"/>
      <c r="D877" s="84"/>
    </row>
    <row r="878" spans="1:4" ht="16">
      <c r="A878" s="82">
        <v>44601</v>
      </c>
      <c r="B878" s="83">
        <v>17463.8</v>
      </c>
      <c r="C878"/>
      <c r="D878" s="84"/>
    </row>
    <row r="879" spans="1:4" ht="16">
      <c r="A879" s="82">
        <v>44600</v>
      </c>
      <c r="B879" s="83">
        <v>17266.75</v>
      </c>
      <c r="C879"/>
      <c r="D879" s="84"/>
    </row>
    <row r="880" spans="1:4" ht="16">
      <c r="A880" s="82">
        <v>44599</v>
      </c>
      <c r="B880" s="83">
        <v>17213.599999999999</v>
      </c>
      <c r="C880"/>
      <c r="D880" s="84"/>
    </row>
    <row r="881" spans="1:4" ht="16">
      <c r="A881" s="82">
        <v>44596</v>
      </c>
      <c r="B881" s="83">
        <v>17516.3</v>
      </c>
      <c r="C881"/>
      <c r="D881" s="84"/>
    </row>
    <row r="882" spans="1:4" ht="16">
      <c r="A882" s="82">
        <v>44595</v>
      </c>
      <c r="B882" s="83">
        <v>17560.2</v>
      </c>
      <c r="C882"/>
      <c r="D882" s="84"/>
    </row>
    <row r="883" spans="1:4" ht="16">
      <c r="A883" s="82">
        <v>44594</v>
      </c>
      <c r="B883" s="83">
        <v>17780</v>
      </c>
      <c r="C883"/>
      <c r="D883" s="84"/>
    </row>
    <row r="884" spans="1:4" ht="16">
      <c r="A884" s="82">
        <v>44593</v>
      </c>
      <c r="B884" s="83">
        <v>17576.849999999999</v>
      </c>
      <c r="C884"/>
      <c r="D884" s="84"/>
    </row>
    <row r="885" spans="1:4" ht="16">
      <c r="A885" s="82">
        <v>44592</v>
      </c>
      <c r="B885" s="83">
        <v>17339.849999999999</v>
      </c>
      <c r="C885"/>
      <c r="D885" s="84"/>
    </row>
    <row r="886" spans="1:4" ht="16">
      <c r="A886" s="82">
        <v>44589</v>
      </c>
      <c r="B886" s="83">
        <v>17101.95</v>
      </c>
      <c r="C886"/>
      <c r="D886" s="84"/>
    </row>
    <row r="887" spans="1:4" ht="16">
      <c r="A887" s="82">
        <v>44588</v>
      </c>
      <c r="B887" s="83">
        <v>17110.150000000001</v>
      </c>
      <c r="C887"/>
      <c r="D887" s="84"/>
    </row>
    <row r="888" spans="1:4" ht="16">
      <c r="A888" s="82">
        <v>44586</v>
      </c>
      <c r="B888" s="83">
        <v>17277.95</v>
      </c>
      <c r="C888"/>
      <c r="D888" s="84"/>
    </row>
    <row r="889" spans="1:4" ht="16">
      <c r="A889" s="82">
        <v>44585</v>
      </c>
      <c r="B889" s="83">
        <v>17149.099999999999</v>
      </c>
      <c r="C889"/>
      <c r="D889" s="84"/>
    </row>
    <row r="890" spans="1:4" ht="16">
      <c r="A890" s="82">
        <v>44582</v>
      </c>
      <c r="B890" s="83">
        <v>17617.150000000001</v>
      </c>
      <c r="C890"/>
      <c r="D890" s="84"/>
    </row>
    <row r="891" spans="1:4" ht="16">
      <c r="A891" s="82">
        <v>44581</v>
      </c>
      <c r="B891" s="83">
        <v>17757</v>
      </c>
      <c r="C891"/>
      <c r="D891" s="84"/>
    </row>
    <row r="892" spans="1:4" ht="16">
      <c r="A892" s="82">
        <v>44580</v>
      </c>
      <c r="B892" s="83">
        <v>17938.400000000001</v>
      </c>
      <c r="C892"/>
      <c r="D892" s="84"/>
    </row>
    <row r="893" spans="1:4" ht="16">
      <c r="A893" s="82">
        <v>44579</v>
      </c>
      <c r="B893" s="83">
        <v>18113.05</v>
      </c>
      <c r="C893"/>
      <c r="D893" s="84"/>
    </row>
    <row r="894" spans="1:4" ht="16">
      <c r="A894" s="82">
        <v>44578</v>
      </c>
      <c r="B894" s="83">
        <v>18308.099999999999</v>
      </c>
      <c r="C894"/>
      <c r="D894" s="84"/>
    </row>
    <row r="895" spans="1:4" ht="16">
      <c r="A895" s="82">
        <v>44575</v>
      </c>
      <c r="B895" s="83">
        <v>18255.75</v>
      </c>
      <c r="C895"/>
      <c r="D895" s="84"/>
    </row>
    <row r="896" spans="1:4" ht="16">
      <c r="A896" s="82">
        <v>44574</v>
      </c>
      <c r="B896" s="83">
        <v>18257.8</v>
      </c>
      <c r="C896"/>
      <c r="D896" s="84"/>
    </row>
    <row r="897" spans="1:4" ht="16">
      <c r="A897" s="82">
        <v>44573</v>
      </c>
      <c r="B897" s="83">
        <v>18212.349999999999</v>
      </c>
      <c r="C897"/>
      <c r="D897" s="84"/>
    </row>
    <row r="898" spans="1:4" ht="16">
      <c r="A898" s="82">
        <v>44572</v>
      </c>
      <c r="B898" s="83">
        <v>18055.75</v>
      </c>
      <c r="C898"/>
      <c r="D898" s="84"/>
    </row>
    <row r="899" spans="1:4" ht="16">
      <c r="A899" s="82">
        <v>44571</v>
      </c>
      <c r="B899" s="83">
        <v>18003.3</v>
      </c>
      <c r="C899"/>
      <c r="D899" s="84"/>
    </row>
    <row r="900" spans="1:4" ht="16">
      <c r="A900" s="82">
        <v>44568</v>
      </c>
      <c r="B900" s="83">
        <v>17812.7</v>
      </c>
      <c r="C900"/>
      <c r="D900" s="84"/>
    </row>
    <row r="901" spans="1:4" ht="16">
      <c r="A901" s="82">
        <v>44567</v>
      </c>
      <c r="B901" s="83">
        <v>17745.900000000001</v>
      </c>
      <c r="C901"/>
      <c r="D901" s="84"/>
    </row>
    <row r="902" spans="1:4" ht="16">
      <c r="A902" s="82">
        <v>44566</v>
      </c>
      <c r="B902" s="83">
        <v>17925.25</v>
      </c>
      <c r="C902"/>
      <c r="D902" s="84"/>
    </row>
    <row r="903" spans="1:4" ht="16">
      <c r="A903" s="82">
        <v>44565</v>
      </c>
      <c r="B903" s="83">
        <v>17805.25</v>
      </c>
      <c r="C903"/>
      <c r="D903" s="84"/>
    </row>
    <row r="904" spans="1:4" ht="16">
      <c r="A904" s="82">
        <v>44564</v>
      </c>
      <c r="B904" s="83">
        <v>17625.7</v>
      </c>
      <c r="C904"/>
      <c r="D904" s="84"/>
    </row>
    <row r="905" spans="1:4" ht="16">
      <c r="A905" s="82">
        <v>44561</v>
      </c>
      <c r="B905" s="83">
        <v>17354.05</v>
      </c>
      <c r="C905"/>
      <c r="D905" s="84"/>
    </row>
    <row r="906" spans="1:4" ht="16">
      <c r="A906" s="82">
        <v>44560</v>
      </c>
      <c r="B906" s="83">
        <v>17203.95</v>
      </c>
      <c r="C906"/>
      <c r="D906" s="84"/>
    </row>
    <row r="907" spans="1:4" ht="16">
      <c r="A907" s="82">
        <v>44559</v>
      </c>
      <c r="B907" s="83">
        <v>17213.599999999999</v>
      </c>
      <c r="C907"/>
      <c r="D907" s="84"/>
    </row>
    <row r="908" spans="1:4" ht="16">
      <c r="A908" s="82">
        <v>44558</v>
      </c>
      <c r="B908" s="83">
        <v>17233.25</v>
      </c>
      <c r="C908"/>
      <c r="D908" s="84"/>
    </row>
    <row r="909" spans="1:4" ht="16">
      <c r="A909" s="82">
        <v>44557</v>
      </c>
      <c r="B909" s="83">
        <v>17086.25</v>
      </c>
      <c r="C909"/>
      <c r="D909" s="84"/>
    </row>
    <row r="910" spans="1:4" ht="16">
      <c r="A910" s="82">
        <v>44554</v>
      </c>
      <c r="B910" s="83">
        <v>17003.75</v>
      </c>
      <c r="C910"/>
      <c r="D910" s="84"/>
    </row>
    <row r="911" spans="1:4" ht="16">
      <c r="A911" s="82">
        <v>44553</v>
      </c>
      <c r="B911" s="83">
        <v>17072.599999999999</v>
      </c>
      <c r="C911"/>
      <c r="D911" s="84"/>
    </row>
    <row r="912" spans="1:4" ht="16">
      <c r="A912" s="82">
        <v>44552</v>
      </c>
      <c r="B912" s="83">
        <v>16955.45</v>
      </c>
      <c r="C912"/>
      <c r="D912" s="84"/>
    </row>
    <row r="913" spans="1:4" ht="16">
      <c r="A913" s="82">
        <v>44551</v>
      </c>
      <c r="B913" s="83">
        <v>16770.849999999999</v>
      </c>
      <c r="C913"/>
      <c r="D913" s="84"/>
    </row>
    <row r="914" spans="1:4" ht="16">
      <c r="A914" s="82">
        <v>44550</v>
      </c>
      <c r="B914" s="83">
        <v>16614.2</v>
      </c>
      <c r="C914"/>
      <c r="D914" s="84"/>
    </row>
    <row r="915" spans="1:4" ht="16">
      <c r="A915" s="82">
        <v>44547</v>
      </c>
      <c r="B915" s="83">
        <v>16985.2</v>
      </c>
      <c r="C915"/>
      <c r="D915" s="84"/>
    </row>
    <row r="916" spans="1:4" ht="16">
      <c r="A916" s="82">
        <v>44546</v>
      </c>
      <c r="B916" s="83">
        <v>17248.400000000001</v>
      </c>
      <c r="C916"/>
      <c r="D916" s="84"/>
    </row>
    <row r="917" spans="1:4" ht="16">
      <c r="A917" s="82">
        <v>44545</v>
      </c>
      <c r="B917" s="83">
        <v>17221.400000000001</v>
      </c>
      <c r="C917"/>
      <c r="D917" s="84"/>
    </row>
    <row r="918" spans="1:4" ht="16">
      <c r="A918" s="82">
        <v>44544</v>
      </c>
      <c r="B918" s="83">
        <v>17324.900000000001</v>
      </c>
      <c r="C918"/>
      <c r="D918" s="84"/>
    </row>
    <row r="919" spans="1:4" ht="16">
      <c r="A919" s="82">
        <v>44543</v>
      </c>
      <c r="B919" s="83">
        <v>17368.25</v>
      </c>
      <c r="C919"/>
      <c r="D919" s="84"/>
    </row>
    <row r="920" spans="1:4" ht="16">
      <c r="A920" s="82">
        <v>44540</v>
      </c>
      <c r="B920" s="83">
        <v>17511.3</v>
      </c>
      <c r="C920"/>
      <c r="D920" s="84"/>
    </row>
    <row r="921" spans="1:4" ht="16">
      <c r="A921" s="82">
        <v>44539</v>
      </c>
      <c r="B921" s="83">
        <v>17516.849999999999</v>
      </c>
      <c r="C921"/>
      <c r="D921" s="84"/>
    </row>
    <row r="922" spans="1:4" ht="16">
      <c r="A922" s="82">
        <v>44538</v>
      </c>
      <c r="B922" s="83">
        <v>17469.75</v>
      </c>
      <c r="C922"/>
      <c r="D922" s="84"/>
    </row>
    <row r="923" spans="1:4" ht="16">
      <c r="A923" s="82">
        <v>44537</v>
      </c>
      <c r="B923" s="83">
        <v>17176.7</v>
      </c>
      <c r="C923"/>
      <c r="D923" s="84"/>
    </row>
    <row r="924" spans="1:4" ht="16">
      <c r="A924" s="82">
        <v>44536</v>
      </c>
      <c r="B924" s="83">
        <v>16912.25</v>
      </c>
      <c r="C924"/>
      <c r="D924" s="84"/>
    </row>
    <row r="925" spans="1:4" ht="16">
      <c r="A925" s="82">
        <v>44533</v>
      </c>
      <c r="B925" s="83">
        <v>17196.7</v>
      </c>
      <c r="C925"/>
      <c r="D925" s="84"/>
    </row>
    <row r="926" spans="1:4" ht="16">
      <c r="A926" s="82">
        <v>44532</v>
      </c>
      <c r="B926" s="83">
        <v>17401.650000000001</v>
      </c>
      <c r="C926"/>
      <c r="D926" s="84"/>
    </row>
    <row r="927" spans="1:4" ht="16">
      <c r="A927" s="82">
        <v>44531</v>
      </c>
      <c r="B927" s="83">
        <v>17166.900000000001</v>
      </c>
      <c r="C927"/>
      <c r="D927" s="84"/>
    </row>
    <row r="928" spans="1:4" ht="16">
      <c r="A928" s="82">
        <v>44530</v>
      </c>
      <c r="B928" s="83">
        <v>16983.2</v>
      </c>
      <c r="C928"/>
      <c r="D928" s="84"/>
    </row>
    <row r="929" spans="1:4" ht="16">
      <c r="A929" s="82">
        <v>44529</v>
      </c>
      <c r="B929" s="83">
        <v>17053.95</v>
      </c>
      <c r="C929"/>
      <c r="D929" s="84"/>
    </row>
    <row r="930" spans="1:4" ht="16">
      <c r="A930" s="82">
        <v>44526</v>
      </c>
      <c r="B930" s="83">
        <v>17026.45</v>
      </c>
      <c r="C930"/>
      <c r="D930" s="84"/>
    </row>
    <row r="931" spans="1:4" ht="16">
      <c r="A931" s="82">
        <v>44525</v>
      </c>
      <c r="B931" s="83">
        <v>17536.25</v>
      </c>
      <c r="C931"/>
      <c r="D931" s="84"/>
    </row>
    <row r="932" spans="1:4" ht="16">
      <c r="A932" s="82">
        <v>44524</v>
      </c>
      <c r="B932" s="83">
        <v>17415.05</v>
      </c>
      <c r="C932"/>
      <c r="D932" s="84"/>
    </row>
    <row r="933" spans="1:4" ht="16">
      <c r="A933" s="82">
        <v>44523</v>
      </c>
      <c r="B933" s="83">
        <v>17503.349999999999</v>
      </c>
      <c r="C933"/>
      <c r="D933" s="84"/>
    </row>
    <row r="934" spans="1:4" ht="16">
      <c r="A934" s="82">
        <v>44522</v>
      </c>
      <c r="B934" s="83">
        <v>17416.55</v>
      </c>
      <c r="C934"/>
      <c r="D934" s="84"/>
    </row>
    <row r="935" spans="1:4" ht="16">
      <c r="A935" s="82">
        <v>44518</v>
      </c>
      <c r="B935" s="83">
        <v>17764.8</v>
      </c>
      <c r="C935"/>
      <c r="D935" s="84"/>
    </row>
    <row r="936" spans="1:4" ht="16">
      <c r="A936" s="82">
        <v>44517</v>
      </c>
      <c r="B936" s="83">
        <v>17898.650000000001</v>
      </c>
      <c r="C936"/>
      <c r="D936" s="84"/>
    </row>
    <row r="937" spans="1:4" ht="16">
      <c r="A937" s="82">
        <v>44516</v>
      </c>
      <c r="B937" s="83">
        <v>17999.2</v>
      </c>
      <c r="C937"/>
      <c r="D937" s="84"/>
    </row>
    <row r="938" spans="1:4" ht="16">
      <c r="A938" s="82">
        <v>44515</v>
      </c>
      <c r="B938" s="83">
        <v>18109.45</v>
      </c>
      <c r="C938"/>
      <c r="D938" s="84"/>
    </row>
    <row r="939" spans="1:4" ht="16">
      <c r="A939" s="82">
        <v>44512</v>
      </c>
      <c r="B939" s="83">
        <v>18102.75</v>
      </c>
      <c r="C939"/>
      <c r="D939" s="84"/>
    </row>
    <row r="940" spans="1:4" ht="16">
      <c r="A940" s="82">
        <v>44511</v>
      </c>
      <c r="B940" s="83">
        <v>17873.599999999999</v>
      </c>
      <c r="C940"/>
      <c r="D940" s="84"/>
    </row>
    <row r="941" spans="1:4" ht="16">
      <c r="A941" s="82">
        <v>44510</v>
      </c>
      <c r="B941" s="83">
        <v>18017.2</v>
      </c>
      <c r="C941"/>
      <c r="D941" s="84"/>
    </row>
    <row r="942" spans="1:4" ht="16">
      <c r="A942" s="82">
        <v>44509</v>
      </c>
      <c r="B942" s="83">
        <v>18044.25</v>
      </c>
      <c r="C942"/>
      <c r="D942" s="84"/>
    </row>
    <row r="943" spans="1:4" ht="16">
      <c r="A943" s="82">
        <v>44508</v>
      </c>
      <c r="B943" s="83">
        <v>18068.55</v>
      </c>
      <c r="C943"/>
      <c r="D943" s="84"/>
    </row>
    <row r="944" spans="1:4" ht="16">
      <c r="A944" s="82">
        <v>44504</v>
      </c>
      <c r="B944" s="83">
        <v>17916.8</v>
      </c>
      <c r="C944"/>
      <c r="D944" s="84"/>
    </row>
    <row r="945" spans="1:4" ht="16">
      <c r="A945" s="82">
        <v>44503</v>
      </c>
      <c r="B945" s="83">
        <v>17829.2</v>
      </c>
      <c r="C945"/>
      <c r="D945" s="84"/>
    </row>
    <row r="946" spans="1:4" ht="16">
      <c r="A946" s="82">
        <v>44502</v>
      </c>
      <c r="B946" s="83">
        <v>17888.95</v>
      </c>
      <c r="C946"/>
      <c r="D946" s="84"/>
    </row>
    <row r="947" spans="1:4" ht="16">
      <c r="A947" s="82">
        <v>44501</v>
      </c>
      <c r="B947" s="83">
        <v>17929.650000000001</v>
      </c>
      <c r="C947"/>
      <c r="D947" s="84"/>
    </row>
    <row r="948" spans="1:4" ht="16">
      <c r="A948" s="82">
        <v>44498</v>
      </c>
      <c r="B948" s="83">
        <v>17671.650000000001</v>
      </c>
      <c r="C948"/>
      <c r="D948" s="84"/>
    </row>
    <row r="949" spans="1:4" ht="16">
      <c r="A949" s="82">
        <v>44497</v>
      </c>
      <c r="B949" s="83">
        <v>17857.25</v>
      </c>
      <c r="C949"/>
      <c r="D949" s="84"/>
    </row>
    <row r="950" spans="1:4" ht="16">
      <c r="A950" s="82">
        <v>44496</v>
      </c>
      <c r="B950" s="83">
        <v>18210.95</v>
      </c>
      <c r="C950"/>
      <c r="D950" s="84"/>
    </row>
    <row r="951" spans="1:4" ht="16">
      <c r="A951" s="82">
        <v>44495</v>
      </c>
      <c r="B951" s="83">
        <v>18268.400000000001</v>
      </c>
      <c r="C951"/>
      <c r="D951" s="84"/>
    </row>
    <row r="952" spans="1:4" ht="16">
      <c r="A952" s="82">
        <v>44494</v>
      </c>
      <c r="B952" s="83">
        <v>18125.400000000001</v>
      </c>
      <c r="C952"/>
      <c r="D952" s="84"/>
    </row>
    <row r="953" spans="1:4" ht="16">
      <c r="A953" s="82">
        <v>44491</v>
      </c>
      <c r="B953" s="83">
        <v>18114.900000000001</v>
      </c>
      <c r="C953"/>
      <c r="D953" s="84"/>
    </row>
    <row r="954" spans="1:4" ht="16">
      <c r="A954" s="82">
        <v>44490</v>
      </c>
      <c r="B954" s="83">
        <v>18178.099999999999</v>
      </c>
      <c r="C954"/>
      <c r="D954" s="84"/>
    </row>
    <row r="955" spans="1:4" ht="16">
      <c r="A955" s="82">
        <v>44489</v>
      </c>
      <c r="B955" s="83">
        <v>18266.599999999999</v>
      </c>
      <c r="C955"/>
      <c r="D955" s="84"/>
    </row>
    <row r="956" spans="1:4" ht="16">
      <c r="A956" s="82">
        <v>44488</v>
      </c>
      <c r="B956" s="83">
        <v>18418.75</v>
      </c>
      <c r="C956"/>
      <c r="D956" s="84"/>
    </row>
    <row r="957" spans="1:4" ht="16">
      <c r="A957" s="82">
        <v>44487</v>
      </c>
      <c r="B957" s="83">
        <v>18477.05</v>
      </c>
      <c r="C957"/>
      <c r="D957" s="84"/>
    </row>
    <row r="958" spans="1:4" ht="16">
      <c r="A958" s="82">
        <v>44483</v>
      </c>
      <c r="B958" s="83">
        <v>18338.55</v>
      </c>
      <c r="C958"/>
      <c r="D958" s="84"/>
    </row>
    <row r="959" spans="1:4" ht="16">
      <c r="A959" s="82">
        <v>44482</v>
      </c>
      <c r="B959" s="83">
        <v>18161.75</v>
      </c>
      <c r="C959"/>
      <c r="D959" s="84"/>
    </row>
    <row r="960" spans="1:4" ht="16">
      <c r="A960" s="82">
        <v>44481</v>
      </c>
      <c r="B960" s="83">
        <v>17991.95</v>
      </c>
      <c r="C960"/>
      <c r="D960" s="84"/>
    </row>
    <row r="961" spans="1:4" ht="16">
      <c r="A961" s="82">
        <v>44480</v>
      </c>
      <c r="B961" s="83">
        <v>17945.95</v>
      </c>
      <c r="C961"/>
      <c r="D961" s="84"/>
    </row>
    <row r="962" spans="1:4" ht="16">
      <c r="A962" s="82">
        <v>44477</v>
      </c>
      <c r="B962" s="83">
        <v>17895.2</v>
      </c>
      <c r="C962"/>
      <c r="D962" s="84"/>
    </row>
    <row r="963" spans="1:4" ht="16">
      <c r="A963" s="82">
        <v>44476</v>
      </c>
      <c r="B963" s="83">
        <v>17790.349999999999</v>
      </c>
      <c r="C963"/>
      <c r="D963" s="84"/>
    </row>
    <row r="964" spans="1:4" ht="16">
      <c r="A964" s="82">
        <v>44475</v>
      </c>
      <c r="B964" s="83">
        <v>17646</v>
      </c>
      <c r="C964"/>
      <c r="D964" s="84"/>
    </row>
    <row r="965" spans="1:4" ht="16">
      <c r="A965" s="82">
        <v>44474</v>
      </c>
      <c r="B965" s="83">
        <v>17822.3</v>
      </c>
      <c r="C965"/>
      <c r="D965" s="84"/>
    </row>
    <row r="966" spans="1:4" ht="16">
      <c r="A966" s="82">
        <v>44473</v>
      </c>
      <c r="B966" s="83">
        <v>17691.25</v>
      </c>
      <c r="C966"/>
      <c r="D966" s="84"/>
    </row>
    <row r="967" spans="1:4" ht="16">
      <c r="A967" s="82">
        <v>44470</v>
      </c>
      <c r="B967" s="83">
        <v>17532.05</v>
      </c>
      <c r="C967"/>
      <c r="D967" s="84"/>
    </row>
    <row r="968" spans="1:4" ht="16">
      <c r="A968" s="82">
        <v>44469</v>
      </c>
      <c r="B968" s="83">
        <v>17618.150000000001</v>
      </c>
      <c r="C968"/>
      <c r="D968" s="84"/>
    </row>
    <row r="969" spans="1:4" ht="16">
      <c r="A969" s="82">
        <v>44468</v>
      </c>
      <c r="B969" s="83">
        <v>17711.3</v>
      </c>
      <c r="C969"/>
      <c r="D969" s="84"/>
    </row>
    <row r="970" spans="1:4" ht="16">
      <c r="A970" s="82">
        <v>44467</v>
      </c>
      <c r="B970" s="83">
        <v>17748.599999999999</v>
      </c>
      <c r="C970"/>
      <c r="D970" s="84"/>
    </row>
    <row r="971" spans="1:4" ht="16">
      <c r="A971" s="82">
        <v>44466</v>
      </c>
      <c r="B971" s="83">
        <v>17855.099999999999</v>
      </c>
      <c r="C971"/>
      <c r="D971" s="84"/>
    </row>
    <row r="972" spans="1:4" ht="16">
      <c r="A972" s="82">
        <v>44463</v>
      </c>
      <c r="B972" s="83">
        <v>17853.2</v>
      </c>
      <c r="C972"/>
      <c r="D972" s="84"/>
    </row>
    <row r="973" spans="1:4" ht="16">
      <c r="A973" s="82">
        <v>44462</v>
      </c>
      <c r="B973" s="83">
        <v>17822.95</v>
      </c>
      <c r="C973"/>
      <c r="D973" s="84"/>
    </row>
    <row r="974" spans="1:4" ht="16">
      <c r="A974" s="82">
        <v>44461</v>
      </c>
      <c r="B974" s="83">
        <v>17546.650000000001</v>
      </c>
      <c r="C974"/>
      <c r="D974" s="84"/>
    </row>
    <row r="975" spans="1:4" ht="16">
      <c r="A975" s="82">
        <v>44460</v>
      </c>
      <c r="B975" s="83">
        <v>17562</v>
      </c>
      <c r="C975"/>
      <c r="D975" s="84"/>
    </row>
    <row r="976" spans="1:4" ht="16">
      <c r="A976" s="82">
        <v>44459</v>
      </c>
      <c r="B976" s="83">
        <v>17396.900000000001</v>
      </c>
      <c r="C976"/>
      <c r="D976" s="84"/>
    </row>
    <row r="977" spans="1:4" ht="16">
      <c r="A977" s="82">
        <v>44456</v>
      </c>
      <c r="B977" s="83">
        <v>17585.150000000001</v>
      </c>
      <c r="C977"/>
      <c r="D977" s="84"/>
    </row>
    <row r="978" spans="1:4" ht="16">
      <c r="A978" s="82">
        <v>44455</v>
      </c>
      <c r="B978" s="83">
        <v>17629.5</v>
      </c>
      <c r="C978"/>
      <c r="D978" s="84"/>
    </row>
    <row r="979" spans="1:4" ht="16">
      <c r="A979" s="82">
        <v>44454</v>
      </c>
      <c r="B979" s="83">
        <v>17519.45</v>
      </c>
      <c r="C979"/>
      <c r="D979" s="84"/>
    </row>
    <row r="980" spans="1:4" ht="16">
      <c r="A980" s="82">
        <v>44453</v>
      </c>
      <c r="B980" s="83">
        <v>17380</v>
      </c>
      <c r="C980"/>
      <c r="D980" s="84"/>
    </row>
    <row r="981" spans="1:4" ht="16">
      <c r="A981" s="82">
        <v>44452</v>
      </c>
      <c r="B981" s="83">
        <v>17355.3</v>
      </c>
      <c r="C981"/>
      <c r="D981" s="84"/>
    </row>
    <row r="982" spans="1:4" ht="16">
      <c r="A982" s="82">
        <v>44448</v>
      </c>
      <c r="B982" s="83">
        <v>17369.25</v>
      </c>
      <c r="C982"/>
      <c r="D982" s="84"/>
    </row>
    <row r="983" spans="1:4" ht="16">
      <c r="A983" s="82">
        <v>44447</v>
      </c>
      <c r="B983" s="83">
        <v>17353.5</v>
      </c>
      <c r="C983"/>
      <c r="D983" s="84"/>
    </row>
    <row r="984" spans="1:4" ht="16">
      <c r="A984" s="82">
        <v>44446</v>
      </c>
      <c r="B984" s="83">
        <v>17362.099999999999</v>
      </c>
      <c r="C984"/>
      <c r="D984" s="84"/>
    </row>
    <row r="985" spans="1:4" ht="16">
      <c r="A985" s="82">
        <v>44445</v>
      </c>
      <c r="B985" s="83">
        <v>17377.8</v>
      </c>
      <c r="C985"/>
      <c r="D985" s="84"/>
    </row>
    <row r="986" spans="1:4" ht="16">
      <c r="A986" s="82">
        <v>44442</v>
      </c>
      <c r="B986" s="83">
        <v>17323.599999999999</v>
      </c>
      <c r="C986"/>
      <c r="D986" s="84"/>
    </row>
    <row r="987" spans="1:4" ht="16">
      <c r="A987" s="82">
        <v>44441</v>
      </c>
      <c r="B987" s="83">
        <v>17234.150000000001</v>
      </c>
      <c r="C987"/>
      <c r="D987" s="84"/>
    </row>
    <row r="988" spans="1:4" ht="16">
      <c r="A988" s="82">
        <v>44440</v>
      </c>
      <c r="B988" s="83">
        <v>17076.25</v>
      </c>
      <c r="C988"/>
      <c r="D988" s="84"/>
    </row>
    <row r="989" spans="1:4" ht="16">
      <c r="A989" s="82">
        <v>44439</v>
      </c>
      <c r="B989" s="83">
        <v>17132.2</v>
      </c>
      <c r="C989"/>
      <c r="D989" s="84"/>
    </row>
    <row r="990" spans="1:4" ht="16">
      <c r="A990" s="82">
        <v>44438</v>
      </c>
      <c r="B990" s="83">
        <v>16931.05</v>
      </c>
      <c r="C990"/>
      <c r="D990" s="84"/>
    </row>
    <row r="991" spans="1:4" ht="16">
      <c r="A991" s="82">
        <v>44435</v>
      </c>
      <c r="B991" s="83">
        <v>16705.2</v>
      </c>
      <c r="C991"/>
      <c r="D991" s="84"/>
    </row>
    <row r="992" spans="1:4" ht="16">
      <c r="A992" s="82">
        <v>44434</v>
      </c>
      <c r="B992" s="83">
        <v>16636.900000000001</v>
      </c>
      <c r="C992"/>
      <c r="D992" s="84"/>
    </row>
    <row r="993" spans="1:4" ht="16">
      <c r="A993" s="82">
        <v>44433</v>
      </c>
      <c r="B993" s="83">
        <v>16634.650000000001</v>
      </c>
      <c r="C993"/>
      <c r="D993" s="84"/>
    </row>
    <row r="994" spans="1:4" ht="16">
      <c r="A994" s="82">
        <v>44432</v>
      </c>
      <c r="B994" s="83">
        <v>16624.599999999999</v>
      </c>
      <c r="C994"/>
      <c r="D994" s="84"/>
    </row>
    <row r="995" spans="1:4" ht="16">
      <c r="A995" s="82">
        <v>44431</v>
      </c>
      <c r="B995" s="83">
        <v>16496.45</v>
      </c>
      <c r="C995"/>
      <c r="D995" s="84"/>
    </row>
    <row r="996" spans="1:4" ht="16">
      <c r="A996" s="82">
        <v>44428</v>
      </c>
      <c r="B996" s="83">
        <v>16450.5</v>
      </c>
      <c r="C996"/>
      <c r="D996" s="84"/>
    </row>
    <row r="997" spans="1:4" ht="16">
      <c r="A997" s="82">
        <v>44426</v>
      </c>
      <c r="B997" s="83">
        <v>16568.849999999999</v>
      </c>
      <c r="C997"/>
      <c r="D997" s="84"/>
    </row>
    <row r="998" spans="1:4" ht="16">
      <c r="A998" s="82">
        <v>44425</v>
      </c>
      <c r="B998" s="83">
        <v>16614.599999999999</v>
      </c>
      <c r="C998"/>
      <c r="D998" s="84"/>
    </row>
    <row r="999" spans="1:4" ht="16">
      <c r="A999" s="82">
        <v>44424</v>
      </c>
      <c r="B999" s="83">
        <v>16563.05</v>
      </c>
      <c r="C999"/>
      <c r="D999" s="84"/>
    </row>
    <row r="1000" spans="1:4" ht="16">
      <c r="A1000" s="82">
        <v>44421</v>
      </c>
      <c r="B1000" s="83">
        <v>16529.099999999999</v>
      </c>
      <c r="C1000"/>
      <c r="D1000" s="84"/>
    </row>
    <row r="1001" spans="1:4" ht="16">
      <c r="A1001" s="82">
        <v>44420</v>
      </c>
      <c r="B1001" s="83">
        <v>16364.4</v>
      </c>
      <c r="C1001"/>
      <c r="D1001" s="84"/>
    </row>
    <row r="1002" spans="1:4" ht="16">
      <c r="A1002" s="82">
        <v>44419</v>
      </c>
      <c r="B1002" s="83">
        <v>16282.25</v>
      </c>
      <c r="C1002"/>
      <c r="D1002" s="84"/>
    </row>
    <row r="1003" spans="1:4" ht="16">
      <c r="A1003" s="82">
        <v>44418</v>
      </c>
      <c r="B1003" s="83">
        <v>16280.1</v>
      </c>
      <c r="C1003"/>
      <c r="D1003" s="84"/>
    </row>
    <row r="1004" spans="1:4" ht="16">
      <c r="A1004" s="82">
        <v>44417</v>
      </c>
      <c r="B1004" s="83">
        <v>16258.25</v>
      </c>
      <c r="C1004"/>
      <c r="D1004" s="84"/>
    </row>
    <row r="1005" spans="1:4" ht="16">
      <c r="A1005" s="82">
        <v>44414</v>
      </c>
      <c r="B1005" s="83">
        <v>16238.2</v>
      </c>
      <c r="C1005"/>
      <c r="D1005" s="84"/>
    </row>
    <row r="1006" spans="1:4" ht="16">
      <c r="A1006" s="82">
        <v>44413</v>
      </c>
      <c r="B1006" s="83">
        <v>16294.6</v>
      </c>
      <c r="C1006"/>
      <c r="D1006" s="84"/>
    </row>
    <row r="1007" spans="1:4" ht="16">
      <c r="A1007" s="82">
        <v>44412</v>
      </c>
      <c r="B1007" s="83">
        <v>16258.8</v>
      </c>
      <c r="C1007"/>
      <c r="D1007" s="84"/>
    </row>
    <row r="1008" spans="1:4" ht="16">
      <c r="A1008" s="82">
        <v>44411</v>
      </c>
      <c r="B1008" s="83">
        <v>16130.75</v>
      </c>
      <c r="C1008"/>
      <c r="D1008" s="84"/>
    </row>
    <row r="1009" spans="1:4" ht="16">
      <c r="A1009" s="82">
        <v>44410</v>
      </c>
      <c r="B1009" s="83">
        <v>15885.15</v>
      </c>
      <c r="C1009"/>
      <c r="D1009" s="84"/>
    </row>
    <row r="1010" spans="1:4" ht="16">
      <c r="A1010" s="82">
        <v>44407</v>
      </c>
      <c r="B1010" s="83">
        <v>15763.05</v>
      </c>
      <c r="C1010"/>
      <c r="D1010" s="84"/>
    </row>
    <row r="1011" spans="1:4" ht="16">
      <c r="A1011" s="82">
        <v>44406</v>
      </c>
      <c r="B1011" s="83">
        <v>15778.45</v>
      </c>
      <c r="C1011"/>
      <c r="D1011" s="84"/>
    </row>
    <row r="1012" spans="1:4" ht="16">
      <c r="A1012" s="82">
        <v>44405</v>
      </c>
      <c r="B1012" s="83">
        <v>15709.4</v>
      </c>
      <c r="C1012"/>
      <c r="D1012" s="84"/>
    </row>
    <row r="1013" spans="1:4" ht="16">
      <c r="A1013" s="82">
        <v>44404</v>
      </c>
      <c r="B1013" s="83">
        <v>15746.45</v>
      </c>
      <c r="C1013"/>
      <c r="D1013" s="84"/>
    </row>
    <row r="1014" spans="1:4" ht="16">
      <c r="A1014" s="82">
        <v>44403</v>
      </c>
      <c r="B1014" s="83">
        <v>15824.45</v>
      </c>
      <c r="C1014"/>
      <c r="D1014" s="84"/>
    </row>
    <row r="1015" spans="1:4" ht="16">
      <c r="A1015" s="82">
        <v>44400</v>
      </c>
      <c r="B1015" s="83">
        <v>15856.05</v>
      </c>
      <c r="C1015"/>
      <c r="D1015" s="84"/>
    </row>
    <row r="1016" spans="1:4" ht="16">
      <c r="A1016" s="82">
        <v>44399</v>
      </c>
      <c r="B1016" s="83">
        <v>15824.05</v>
      </c>
      <c r="C1016"/>
      <c r="D1016" s="84"/>
    </row>
    <row r="1017" spans="1:4" ht="16">
      <c r="A1017" s="82">
        <v>44397</v>
      </c>
      <c r="B1017" s="83">
        <v>15632.1</v>
      </c>
      <c r="C1017"/>
      <c r="D1017" s="84"/>
    </row>
    <row r="1018" spans="1:4" ht="16">
      <c r="A1018" s="82">
        <v>44396</v>
      </c>
      <c r="B1018" s="83">
        <v>15752.4</v>
      </c>
      <c r="C1018"/>
      <c r="D1018" s="84"/>
    </row>
    <row r="1019" spans="1:4" ht="16">
      <c r="A1019" s="82">
        <v>44393</v>
      </c>
      <c r="B1019" s="83">
        <v>15923.4</v>
      </c>
      <c r="C1019"/>
      <c r="D1019" s="84"/>
    </row>
    <row r="1020" spans="1:4" ht="16">
      <c r="A1020" s="82">
        <v>44392</v>
      </c>
      <c r="B1020" s="83">
        <v>15924.2</v>
      </c>
      <c r="C1020"/>
      <c r="D1020" s="84"/>
    </row>
    <row r="1021" spans="1:4" ht="16">
      <c r="A1021" s="82">
        <v>44391</v>
      </c>
      <c r="B1021" s="83">
        <v>15853.95</v>
      </c>
      <c r="C1021"/>
      <c r="D1021" s="84"/>
    </row>
    <row r="1022" spans="1:4" ht="16">
      <c r="A1022" s="82">
        <v>44390</v>
      </c>
      <c r="B1022" s="83">
        <v>15812.35</v>
      </c>
      <c r="C1022"/>
      <c r="D1022" s="84"/>
    </row>
    <row r="1023" spans="1:4" ht="16">
      <c r="A1023" s="82">
        <v>44389</v>
      </c>
      <c r="B1023" s="83">
        <v>15692.6</v>
      </c>
      <c r="C1023"/>
      <c r="D1023" s="84"/>
    </row>
    <row r="1024" spans="1:4" ht="16">
      <c r="A1024" s="82">
        <v>44386</v>
      </c>
      <c r="B1024" s="83">
        <v>15689.8</v>
      </c>
      <c r="C1024"/>
      <c r="D1024" s="84"/>
    </row>
    <row r="1025" spans="1:4" ht="16">
      <c r="A1025" s="82">
        <v>44385</v>
      </c>
      <c r="B1025" s="83">
        <v>15727.9</v>
      </c>
      <c r="C1025"/>
      <c r="D1025" s="84"/>
    </row>
    <row r="1026" spans="1:4" ht="16">
      <c r="A1026" s="82">
        <v>44384</v>
      </c>
      <c r="B1026" s="83">
        <v>15879.65</v>
      </c>
      <c r="C1026"/>
      <c r="D1026" s="84"/>
    </row>
    <row r="1027" spans="1:4" ht="16">
      <c r="A1027" s="82">
        <v>44383</v>
      </c>
      <c r="B1027" s="83">
        <v>15818.25</v>
      </c>
      <c r="C1027"/>
      <c r="D1027" s="84"/>
    </row>
    <row r="1028" spans="1:4" ht="16">
      <c r="A1028" s="82">
        <v>44382</v>
      </c>
      <c r="B1028" s="83">
        <v>15834.35</v>
      </c>
      <c r="C1028"/>
      <c r="D1028" s="84"/>
    </row>
    <row r="1029" spans="1:4" ht="16">
      <c r="A1029" s="82">
        <v>44379</v>
      </c>
      <c r="B1029" s="83">
        <v>15722.2</v>
      </c>
      <c r="C1029"/>
      <c r="D1029" s="84"/>
    </row>
    <row r="1030" spans="1:4" ht="16">
      <c r="A1030" s="82">
        <v>44378</v>
      </c>
      <c r="B1030" s="83">
        <v>15680</v>
      </c>
      <c r="C1030"/>
      <c r="D1030" s="84"/>
    </row>
    <row r="1031" spans="1:4" ht="16">
      <c r="A1031" s="82">
        <v>44377</v>
      </c>
      <c r="B1031" s="83">
        <v>15721.5</v>
      </c>
      <c r="C1031"/>
      <c r="D1031" s="84"/>
    </row>
    <row r="1032" spans="1:4" ht="16">
      <c r="A1032" s="82">
        <v>44376</v>
      </c>
      <c r="B1032" s="83">
        <v>15748.45</v>
      </c>
      <c r="C1032"/>
      <c r="D1032" s="84"/>
    </row>
    <row r="1033" spans="1:4" ht="16">
      <c r="A1033" s="82">
        <v>44375</v>
      </c>
      <c r="B1033" s="83">
        <v>15814.7</v>
      </c>
      <c r="C1033"/>
      <c r="D1033" s="84"/>
    </row>
    <row r="1034" spans="1:4" ht="16">
      <c r="A1034" s="82">
        <v>44372</v>
      </c>
      <c r="B1034" s="83">
        <v>15860.35</v>
      </c>
      <c r="C1034"/>
      <c r="D1034" s="84"/>
    </row>
    <row r="1035" spans="1:4" ht="16">
      <c r="A1035" s="82">
        <v>44371</v>
      </c>
      <c r="B1035" s="83">
        <v>15790.45</v>
      </c>
      <c r="C1035"/>
      <c r="D1035" s="84"/>
    </row>
    <row r="1036" spans="1:4" ht="16">
      <c r="A1036" s="82">
        <v>44370</v>
      </c>
      <c r="B1036" s="83">
        <v>15686.95</v>
      </c>
      <c r="C1036"/>
      <c r="D1036" s="84"/>
    </row>
    <row r="1037" spans="1:4" ht="16">
      <c r="A1037" s="82">
        <v>44369</v>
      </c>
      <c r="B1037" s="83">
        <v>15772.75</v>
      </c>
      <c r="C1037"/>
      <c r="D1037" s="84"/>
    </row>
    <row r="1038" spans="1:4" ht="16">
      <c r="A1038" s="82">
        <v>44368</v>
      </c>
      <c r="B1038" s="83">
        <v>15746.5</v>
      </c>
      <c r="C1038"/>
      <c r="D1038" s="84"/>
    </row>
    <row r="1039" spans="1:4" ht="16">
      <c r="A1039" s="82">
        <v>44365</v>
      </c>
      <c r="B1039" s="83">
        <v>15683.35</v>
      </c>
      <c r="C1039"/>
      <c r="D1039" s="84"/>
    </row>
    <row r="1040" spans="1:4" ht="16">
      <c r="A1040" s="82">
        <v>44364</v>
      </c>
      <c r="B1040" s="83">
        <v>15691.4</v>
      </c>
      <c r="C1040"/>
      <c r="D1040" s="84"/>
    </row>
    <row r="1041" spans="1:4" ht="16">
      <c r="A1041" s="82">
        <v>44363</v>
      </c>
      <c r="B1041" s="83">
        <v>15767.55</v>
      </c>
      <c r="C1041"/>
      <c r="D1041" s="84"/>
    </row>
    <row r="1042" spans="1:4" ht="16">
      <c r="A1042" s="82">
        <v>44362</v>
      </c>
      <c r="B1042" s="83">
        <v>15869.25</v>
      </c>
      <c r="C1042"/>
      <c r="D1042" s="84"/>
    </row>
    <row r="1043" spans="1:4" ht="16">
      <c r="A1043" s="82">
        <v>44361</v>
      </c>
      <c r="B1043" s="83">
        <v>15811.85</v>
      </c>
      <c r="C1043"/>
      <c r="D1043" s="84"/>
    </row>
    <row r="1044" spans="1:4" ht="16">
      <c r="A1044" s="82">
        <v>44358</v>
      </c>
      <c r="B1044" s="83">
        <v>15799.35</v>
      </c>
      <c r="C1044"/>
      <c r="D1044" s="84"/>
    </row>
    <row r="1045" spans="1:4" ht="16">
      <c r="A1045" s="82">
        <v>44357</v>
      </c>
      <c r="B1045" s="83">
        <v>15737.75</v>
      </c>
      <c r="C1045"/>
      <c r="D1045" s="84"/>
    </row>
    <row r="1046" spans="1:4" ht="16">
      <c r="A1046" s="82">
        <v>44356</v>
      </c>
      <c r="B1046" s="83">
        <v>15635.35</v>
      </c>
      <c r="C1046"/>
      <c r="D1046" s="84"/>
    </row>
    <row r="1047" spans="1:4" ht="16">
      <c r="A1047" s="82">
        <v>44355</v>
      </c>
      <c r="B1047" s="83">
        <v>15740.1</v>
      </c>
      <c r="C1047"/>
      <c r="D1047" s="84"/>
    </row>
    <row r="1048" spans="1:4" ht="16">
      <c r="A1048" s="82">
        <v>44354</v>
      </c>
      <c r="B1048" s="83">
        <v>15751.65</v>
      </c>
      <c r="C1048"/>
      <c r="D1048" s="84"/>
    </row>
    <row r="1049" spans="1:4" ht="16">
      <c r="A1049" s="82">
        <v>44351</v>
      </c>
      <c r="B1049" s="83">
        <v>15670.25</v>
      </c>
      <c r="C1049"/>
      <c r="D1049" s="84"/>
    </row>
    <row r="1050" spans="1:4" ht="16">
      <c r="A1050" s="82">
        <v>44350</v>
      </c>
      <c r="B1050" s="83">
        <v>15690.35</v>
      </c>
      <c r="C1050"/>
      <c r="D1050" s="84"/>
    </row>
    <row r="1051" spans="1:4" ht="16">
      <c r="A1051" s="82">
        <v>44349</v>
      </c>
      <c r="B1051" s="83">
        <v>15576.2</v>
      </c>
      <c r="C1051"/>
      <c r="D1051" s="84"/>
    </row>
    <row r="1052" spans="1:4" ht="16">
      <c r="A1052" s="82">
        <v>44348</v>
      </c>
      <c r="B1052" s="83">
        <v>15574.85</v>
      </c>
      <c r="C1052"/>
      <c r="D1052" s="84"/>
    </row>
    <row r="1053" spans="1:4" ht="16">
      <c r="A1053" s="82">
        <v>44347</v>
      </c>
      <c r="B1053" s="83">
        <v>15582.8</v>
      </c>
      <c r="C1053"/>
      <c r="D1053" s="84"/>
    </row>
    <row r="1054" spans="1:4" ht="16">
      <c r="A1054" s="82">
        <v>44344</v>
      </c>
      <c r="B1054" s="83">
        <v>15435.65</v>
      </c>
      <c r="C1054"/>
      <c r="D1054" s="84"/>
    </row>
    <row r="1055" spans="1:4" ht="16">
      <c r="A1055" s="82">
        <v>44343</v>
      </c>
      <c r="B1055" s="83">
        <v>15337.85</v>
      </c>
      <c r="C1055"/>
      <c r="D1055" s="84"/>
    </row>
    <row r="1056" spans="1:4" ht="16">
      <c r="A1056" s="82">
        <v>44342</v>
      </c>
      <c r="B1056" s="83">
        <v>15301.45</v>
      </c>
      <c r="C1056"/>
      <c r="D1056" s="84"/>
    </row>
    <row r="1057" spans="1:4" ht="16">
      <c r="A1057" s="82">
        <v>44341</v>
      </c>
      <c r="B1057" s="83">
        <v>15208.45</v>
      </c>
      <c r="C1057"/>
      <c r="D1057" s="84"/>
    </row>
    <row r="1058" spans="1:4" ht="16">
      <c r="A1058" s="82">
        <v>44340</v>
      </c>
      <c r="B1058" s="83">
        <v>15197.7</v>
      </c>
      <c r="C1058"/>
      <c r="D1058" s="84"/>
    </row>
    <row r="1059" spans="1:4" ht="16">
      <c r="A1059" s="82">
        <v>44337</v>
      </c>
      <c r="B1059" s="83">
        <v>15175.3</v>
      </c>
      <c r="C1059"/>
      <c r="D1059" s="84"/>
    </row>
    <row r="1060" spans="1:4" ht="16">
      <c r="A1060" s="82">
        <v>44336</v>
      </c>
      <c r="B1060" s="83">
        <v>14906.05</v>
      </c>
      <c r="C1060"/>
      <c r="D1060" s="84"/>
    </row>
    <row r="1061" spans="1:4" ht="16">
      <c r="A1061" s="82">
        <v>44335</v>
      </c>
      <c r="B1061" s="83">
        <v>15030.15</v>
      </c>
      <c r="C1061"/>
      <c r="D1061" s="84"/>
    </row>
    <row r="1062" spans="1:4" ht="16">
      <c r="A1062" s="82">
        <v>44334</v>
      </c>
      <c r="B1062" s="83">
        <v>15108.1</v>
      </c>
      <c r="C1062"/>
      <c r="D1062" s="84"/>
    </row>
    <row r="1063" spans="1:4" ht="16">
      <c r="A1063" s="82">
        <v>44333</v>
      </c>
      <c r="B1063" s="83">
        <v>14923.15</v>
      </c>
      <c r="C1063"/>
      <c r="D1063" s="84"/>
    </row>
    <row r="1064" spans="1:4" ht="16">
      <c r="A1064" s="82">
        <v>44330</v>
      </c>
      <c r="B1064" s="83">
        <v>14677.8</v>
      </c>
      <c r="C1064"/>
      <c r="D1064" s="84"/>
    </row>
    <row r="1065" spans="1:4" ht="16">
      <c r="A1065" s="82">
        <v>44328</v>
      </c>
      <c r="B1065" s="83">
        <v>14696.5</v>
      </c>
      <c r="C1065"/>
      <c r="D1065" s="84"/>
    </row>
    <row r="1066" spans="1:4" ht="16">
      <c r="A1066" s="82">
        <v>44327</v>
      </c>
      <c r="B1066" s="83">
        <v>14850.75</v>
      </c>
      <c r="C1066"/>
      <c r="D1066" s="84"/>
    </row>
    <row r="1067" spans="1:4" ht="16">
      <c r="A1067" s="82">
        <v>44326</v>
      </c>
      <c r="B1067" s="83">
        <v>14942.35</v>
      </c>
      <c r="C1067"/>
      <c r="D1067" s="84"/>
    </row>
    <row r="1068" spans="1:4" ht="16">
      <c r="A1068" s="82">
        <v>44323</v>
      </c>
      <c r="B1068" s="83">
        <v>14823.15</v>
      </c>
      <c r="C1068"/>
      <c r="D1068" s="84"/>
    </row>
    <row r="1069" spans="1:4" ht="16">
      <c r="A1069" s="82">
        <v>44322</v>
      </c>
      <c r="B1069" s="83">
        <v>14724.8</v>
      </c>
      <c r="C1069"/>
      <c r="D1069" s="84"/>
    </row>
    <row r="1070" spans="1:4" ht="16">
      <c r="A1070" s="82">
        <v>44321</v>
      </c>
      <c r="B1070" s="83">
        <v>14617.85</v>
      </c>
      <c r="C1070"/>
      <c r="D1070" s="84"/>
    </row>
    <row r="1071" spans="1:4" ht="16">
      <c r="A1071" s="82">
        <v>44320</v>
      </c>
      <c r="B1071" s="83">
        <v>14496.5</v>
      </c>
      <c r="C1071"/>
      <c r="D1071" s="84"/>
    </row>
    <row r="1072" spans="1:4" ht="16">
      <c r="A1072" s="82">
        <v>44319</v>
      </c>
      <c r="B1072" s="83">
        <v>14634.15</v>
      </c>
      <c r="C1072"/>
      <c r="D1072" s="84"/>
    </row>
    <row r="1073" spans="1:4" ht="16">
      <c r="A1073" s="82">
        <v>44316</v>
      </c>
      <c r="B1073" s="83">
        <v>14631.1</v>
      </c>
      <c r="C1073"/>
      <c r="D1073" s="84"/>
    </row>
    <row r="1074" spans="1:4" ht="16">
      <c r="A1074" s="82">
        <v>44315</v>
      </c>
      <c r="B1074" s="83">
        <v>14894.9</v>
      </c>
      <c r="C1074"/>
      <c r="D1074" s="84"/>
    </row>
    <row r="1075" spans="1:4" ht="16">
      <c r="A1075" s="82">
        <v>44314</v>
      </c>
      <c r="B1075" s="83">
        <v>14864.55</v>
      </c>
      <c r="C1075"/>
      <c r="D1075" s="84"/>
    </row>
    <row r="1076" spans="1:4" ht="16">
      <c r="A1076" s="82">
        <v>44313</v>
      </c>
      <c r="B1076" s="83">
        <v>14653.05</v>
      </c>
      <c r="C1076"/>
      <c r="D1076" s="84"/>
    </row>
    <row r="1077" spans="1:4" ht="16">
      <c r="A1077" s="82">
        <v>44312</v>
      </c>
      <c r="B1077" s="83">
        <v>14485</v>
      </c>
      <c r="C1077"/>
      <c r="D1077" s="84"/>
    </row>
    <row r="1078" spans="1:4" ht="16">
      <c r="A1078" s="82">
        <v>44309</v>
      </c>
      <c r="B1078" s="83">
        <v>14341.35</v>
      </c>
      <c r="C1078"/>
      <c r="D1078" s="84"/>
    </row>
    <row r="1079" spans="1:4" ht="16">
      <c r="A1079" s="82">
        <v>44308</v>
      </c>
      <c r="B1079" s="83">
        <v>14406.15</v>
      </c>
      <c r="C1079"/>
      <c r="D1079" s="84"/>
    </row>
    <row r="1080" spans="1:4" ht="16">
      <c r="A1080" s="82">
        <v>44306</v>
      </c>
      <c r="B1080" s="83">
        <v>14296.4</v>
      </c>
      <c r="C1080"/>
      <c r="D1080" s="84"/>
    </row>
    <row r="1081" spans="1:4" ht="16">
      <c r="A1081" s="82">
        <v>44305</v>
      </c>
      <c r="B1081" s="83">
        <v>14359.45</v>
      </c>
      <c r="C1081"/>
      <c r="D1081" s="84"/>
    </row>
    <row r="1082" spans="1:4" ht="16">
      <c r="A1082" s="82">
        <v>44302</v>
      </c>
      <c r="B1082" s="83">
        <v>14617.85</v>
      </c>
      <c r="C1082"/>
      <c r="D1082" s="84"/>
    </row>
    <row r="1083" spans="1:4" ht="16">
      <c r="A1083" s="82">
        <v>44301</v>
      </c>
      <c r="B1083" s="83">
        <v>14581.45</v>
      </c>
      <c r="C1083"/>
      <c r="D1083" s="84"/>
    </row>
    <row r="1084" spans="1:4" ht="16">
      <c r="A1084" s="82">
        <v>44299</v>
      </c>
      <c r="B1084" s="83">
        <v>14504.8</v>
      </c>
      <c r="C1084"/>
      <c r="D1084" s="84"/>
    </row>
    <row r="1085" spans="1:4" ht="16">
      <c r="A1085" s="82">
        <v>44298</v>
      </c>
      <c r="B1085" s="83">
        <v>14310.8</v>
      </c>
      <c r="C1085"/>
      <c r="D1085" s="84"/>
    </row>
    <row r="1086" spans="1:4" ht="16">
      <c r="A1086" s="82">
        <v>44295</v>
      </c>
      <c r="B1086" s="83">
        <v>14834.85</v>
      </c>
      <c r="C1086"/>
      <c r="D1086" s="84"/>
    </row>
    <row r="1087" spans="1:4" ht="16">
      <c r="A1087" s="82">
        <v>44294</v>
      </c>
      <c r="B1087" s="83">
        <v>14873.8</v>
      </c>
      <c r="C1087"/>
      <c r="D1087" s="84"/>
    </row>
    <row r="1088" spans="1:4" ht="16">
      <c r="A1088" s="82">
        <v>44293</v>
      </c>
      <c r="B1088" s="83">
        <v>14819.05</v>
      </c>
      <c r="C1088"/>
      <c r="D1088" s="84"/>
    </row>
    <row r="1089" spans="1:4" ht="16">
      <c r="A1089" s="82">
        <v>44292</v>
      </c>
      <c r="B1089" s="83">
        <v>14683.5</v>
      </c>
      <c r="C1089"/>
      <c r="D1089" s="84"/>
    </row>
    <row r="1090" spans="1:4" ht="16">
      <c r="A1090" s="82">
        <v>44291</v>
      </c>
      <c r="B1090" s="83">
        <v>14637.8</v>
      </c>
      <c r="C1090"/>
      <c r="D1090" s="84"/>
    </row>
    <row r="1091" spans="1:4" ht="16">
      <c r="A1091" s="82">
        <v>44287</v>
      </c>
      <c r="B1091" s="83">
        <v>14867.35</v>
      </c>
      <c r="C1091"/>
      <c r="D1091" s="84"/>
    </row>
    <row r="1092" spans="1:4" ht="16">
      <c r="A1092" s="82">
        <v>44286</v>
      </c>
      <c r="B1092" s="83">
        <v>14690.7</v>
      </c>
      <c r="C1092"/>
      <c r="D1092" s="84"/>
    </row>
    <row r="1093" spans="1:4" ht="16">
      <c r="A1093" s="82">
        <v>44285</v>
      </c>
      <c r="B1093" s="83">
        <v>14845.1</v>
      </c>
      <c r="C1093"/>
      <c r="D1093" s="84"/>
    </row>
    <row r="1094" spans="1:4" ht="16">
      <c r="A1094" s="82">
        <v>44281</v>
      </c>
      <c r="B1094" s="83">
        <v>14507.3</v>
      </c>
      <c r="C1094"/>
      <c r="D1094" s="84"/>
    </row>
    <row r="1095" spans="1:4" ht="16">
      <c r="A1095" s="82">
        <v>44280</v>
      </c>
      <c r="B1095" s="83">
        <v>14324.9</v>
      </c>
      <c r="C1095"/>
      <c r="D1095" s="84"/>
    </row>
    <row r="1096" spans="1:4" ht="16">
      <c r="A1096" s="82">
        <v>44279</v>
      </c>
      <c r="B1096" s="83">
        <v>14549.4</v>
      </c>
      <c r="C1096"/>
      <c r="D1096" s="84"/>
    </row>
    <row r="1097" spans="1:4" ht="16">
      <c r="A1097" s="82">
        <v>44278</v>
      </c>
      <c r="B1097" s="83">
        <v>14814.75</v>
      </c>
      <c r="C1097"/>
      <c r="D1097" s="84"/>
    </row>
    <row r="1098" spans="1:4" ht="16">
      <c r="A1098" s="82">
        <v>44277</v>
      </c>
      <c r="B1098" s="83">
        <v>14736.4</v>
      </c>
      <c r="C1098"/>
      <c r="D1098" s="84"/>
    </row>
    <row r="1099" spans="1:4" ht="16">
      <c r="A1099" s="82">
        <v>44274</v>
      </c>
      <c r="B1099" s="83">
        <v>14744</v>
      </c>
      <c r="C1099"/>
      <c r="D1099" s="84"/>
    </row>
    <row r="1100" spans="1:4" ht="16">
      <c r="A1100" s="82">
        <v>44273</v>
      </c>
      <c r="B1100" s="83">
        <v>14557.85</v>
      </c>
      <c r="C1100"/>
      <c r="D1100" s="84"/>
    </row>
    <row r="1101" spans="1:4" ht="16">
      <c r="A1101" s="82">
        <v>44272</v>
      </c>
      <c r="B1101" s="83">
        <v>14721.3</v>
      </c>
      <c r="C1101"/>
      <c r="D1101" s="84"/>
    </row>
    <row r="1102" spans="1:4" ht="16">
      <c r="A1102" s="82">
        <v>44271</v>
      </c>
      <c r="B1102" s="83">
        <v>14910.45</v>
      </c>
      <c r="C1102"/>
      <c r="D1102" s="84"/>
    </row>
    <row r="1103" spans="1:4" ht="16">
      <c r="A1103" s="82">
        <v>44270</v>
      </c>
      <c r="B1103" s="83">
        <v>14929.5</v>
      </c>
      <c r="C1103"/>
      <c r="D1103" s="84"/>
    </row>
    <row r="1104" spans="1:4" ht="16">
      <c r="A1104" s="82">
        <v>44267</v>
      </c>
      <c r="B1104" s="83">
        <v>15030.95</v>
      </c>
      <c r="C1104"/>
      <c r="D1104" s="84"/>
    </row>
    <row r="1105" spans="1:4" ht="16">
      <c r="A1105" s="82">
        <v>44265</v>
      </c>
      <c r="B1105" s="83">
        <v>15174.8</v>
      </c>
      <c r="C1105"/>
      <c r="D1105" s="84"/>
    </row>
    <row r="1106" spans="1:4" ht="16">
      <c r="A1106" s="82">
        <v>44264</v>
      </c>
      <c r="B1106" s="83">
        <v>15098.4</v>
      </c>
      <c r="C1106"/>
      <c r="D1106" s="84"/>
    </row>
    <row r="1107" spans="1:4" ht="16">
      <c r="A1107" s="82">
        <v>44263</v>
      </c>
      <c r="B1107" s="83">
        <v>14956.2</v>
      </c>
      <c r="C1107"/>
      <c r="D1107" s="84"/>
    </row>
    <row r="1108" spans="1:4" ht="16">
      <c r="A1108" s="82">
        <v>44260</v>
      </c>
      <c r="B1108" s="83">
        <v>14938.1</v>
      </c>
      <c r="C1108"/>
      <c r="D1108" s="84"/>
    </row>
    <row r="1109" spans="1:4" ht="16">
      <c r="A1109" s="82">
        <v>44259</v>
      </c>
      <c r="B1109" s="83">
        <v>15080.75</v>
      </c>
      <c r="C1109"/>
      <c r="D1109" s="84"/>
    </row>
    <row r="1110" spans="1:4" ht="16">
      <c r="A1110" s="82">
        <v>44258</v>
      </c>
      <c r="B1110" s="83">
        <v>15245.6</v>
      </c>
      <c r="C1110"/>
      <c r="D1110" s="84"/>
    </row>
    <row r="1111" spans="1:4" ht="16">
      <c r="A1111" s="82">
        <v>44257</v>
      </c>
      <c r="B1111" s="83">
        <v>14919.1</v>
      </c>
      <c r="C1111"/>
      <c r="D1111" s="84"/>
    </row>
    <row r="1112" spans="1:4" ht="16">
      <c r="A1112" s="82">
        <v>44256</v>
      </c>
      <c r="B1112" s="83">
        <v>14761.55</v>
      </c>
      <c r="C1112"/>
      <c r="D1112" s="84"/>
    </row>
    <row r="1113" spans="1:4" ht="16">
      <c r="A1113" s="82">
        <v>44253</v>
      </c>
      <c r="B1113" s="83">
        <v>14529.15</v>
      </c>
      <c r="C1113"/>
      <c r="D1113" s="84"/>
    </row>
    <row r="1114" spans="1:4" ht="16">
      <c r="A1114" s="82">
        <v>44252</v>
      </c>
      <c r="B1114" s="83">
        <v>15097.35</v>
      </c>
      <c r="C1114"/>
      <c r="D1114" s="84"/>
    </row>
    <row r="1115" spans="1:4" ht="16">
      <c r="A1115" s="82">
        <v>44251</v>
      </c>
      <c r="B1115" s="83">
        <v>14982</v>
      </c>
      <c r="C1115"/>
      <c r="D1115" s="84"/>
    </row>
    <row r="1116" spans="1:4" ht="16">
      <c r="A1116" s="82">
        <v>44250</v>
      </c>
      <c r="B1116" s="83">
        <v>14707.8</v>
      </c>
      <c r="C1116"/>
      <c r="D1116" s="84"/>
    </row>
    <row r="1117" spans="1:4" ht="16">
      <c r="A1117" s="82">
        <v>44249</v>
      </c>
      <c r="B1117" s="83">
        <v>14675.7</v>
      </c>
      <c r="C1117"/>
      <c r="D1117" s="84"/>
    </row>
    <row r="1118" spans="1:4" ht="16">
      <c r="A1118" s="82">
        <v>44246</v>
      </c>
      <c r="B1118" s="83">
        <v>14981.75</v>
      </c>
      <c r="C1118"/>
      <c r="D1118" s="84"/>
    </row>
    <row r="1119" spans="1:4" ht="16">
      <c r="A1119" s="82">
        <v>44245</v>
      </c>
      <c r="B1119" s="83">
        <v>15118.95</v>
      </c>
      <c r="C1119"/>
      <c r="D1119" s="84"/>
    </row>
    <row r="1120" spans="1:4" ht="16">
      <c r="A1120" s="82">
        <v>44244</v>
      </c>
      <c r="B1120" s="83">
        <v>15208.9</v>
      </c>
      <c r="C1120"/>
      <c r="D1120" s="84"/>
    </row>
    <row r="1121" spans="1:4" ht="16">
      <c r="A1121" s="82">
        <v>44243</v>
      </c>
      <c r="B1121" s="83">
        <v>15313.45</v>
      </c>
      <c r="C1121"/>
      <c r="D1121" s="84"/>
    </row>
    <row r="1122" spans="1:4" ht="16">
      <c r="A1122" s="82">
        <v>44242</v>
      </c>
      <c r="B1122" s="83">
        <v>15314.7</v>
      </c>
      <c r="C1122"/>
      <c r="D1122" s="84"/>
    </row>
    <row r="1123" spans="1:4" ht="16">
      <c r="A1123" s="82">
        <v>44239</v>
      </c>
      <c r="B1123" s="83">
        <v>15163.3</v>
      </c>
      <c r="C1123"/>
      <c r="D1123" s="84"/>
    </row>
    <row r="1124" spans="1:4" ht="16">
      <c r="A1124" s="82">
        <v>44238</v>
      </c>
      <c r="B1124" s="83">
        <v>15173.3</v>
      </c>
      <c r="C1124"/>
      <c r="D1124" s="84"/>
    </row>
    <row r="1125" spans="1:4" ht="16">
      <c r="A1125" s="82">
        <v>44237</v>
      </c>
      <c r="B1125" s="83">
        <v>15106.5</v>
      </c>
      <c r="C1125"/>
      <c r="D1125" s="84"/>
    </row>
    <row r="1126" spans="1:4" ht="16">
      <c r="A1126" s="82">
        <v>44236</v>
      </c>
      <c r="B1126" s="83">
        <v>15109.3</v>
      </c>
      <c r="C1126"/>
      <c r="D1126" s="84"/>
    </row>
    <row r="1127" spans="1:4" ht="16">
      <c r="A1127" s="82">
        <v>44235</v>
      </c>
      <c r="B1127" s="83">
        <v>15115.8</v>
      </c>
      <c r="C1127"/>
      <c r="D1127" s="84"/>
    </row>
    <row r="1128" spans="1:4" ht="16">
      <c r="A1128" s="82">
        <v>44232</v>
      </c>
      <c r="B1128" s="83">
        <v>14924.25</v>
      </c>
      <c r="C1128"/>
      <c r="D1128" s="84"/>
    </row>
    <row r="1129" spans="1:4" ht="16">
      <c r="A1129" s="82">
        <v>44231</v>
      </c>
      <c r="B1129" s="83">
        <v>14895.65</v>
      </c>
      <c r="C1129"/>
      <c r="D1129" s="84"/>
    </row>
    <row r="1130" spans="1:4" ht="16">
      <c r="A1130" s="82">
        <v>44230</v>
      </c>
      <c r="B1130" s="83">
        <v>14789.95</v>
      </c>
      <c r="C1130"/>
      <c r="D1130" s="84"/>
    </row>
    <row r="1131" spans="1:4" ht="16">
      <c r="A1131" s="82">
        <v>44229</v>
      </c>
      <c r="B1131" s="83">
        <v>14647.85</v>
      </c>
      <c r="C1131"/>
      <c r="D1131" s="84"/>
    </row>
    <row r="1132" spans="1:4" ht="16">
      <c r="A1132" s="82">
        <v>44228</v>
      </c>
      <c r="B1132" s="83">
        <v>14281.2</v>
      </c>
      <c r="C1132"/>
      <c r="D1132" s="84"/>
    </row>
    <row r="1133" spans="1:4" ht="16">
      <c r="A1133" s="82">
        <v>44225</v>
      </c>
      <c r="B1133" s="83">
        <v>13634.6</v>
      </c>
      <c r="C1133"/>
      <c r="D1133" s="84"/>
    </row>
    <row r="1134" spans="1:4" ht="16">
      <c r="A1134" s="82">
        <v>44224</v>
      </c>
      <c r="B1134" s="83">
        <v>13817.55</v>
      </c>
      <c r="C1134"/>
      <c r="D1134" s="84"/>
    </row>
    <row r="1135" spans="1:4" ht="16">
      <c r="A1135" s="82">
        <v>44223</v>
      </c>
      <c r="B1135" s="83">
        <v>13967.5</v>
      </c>
      <c r="C1135"/>
      <c r="D1135" s="84"/>
    </row>
    <row r="1136" spans="1:4" ht="16">
      <c r="A1136" s="82">
        <v>44221</v>
      </c>
      <c r="B1136" s="83">
        <v>14238.9</v>
      </c>
      <c r="C1136"/>
      <c r="D1136" s="84"/>
    </row>
    <row r="1137" spans="1:4" ht="16">
      <c r="A1137" s="82">
        <v>44218</v>
      </c>
      <c r="B1137" s="83">
        <v>14371.9</v>
      </c>
      <c r="C1137"/>
      <c r="D1137" s="84"/>
    </row>
    <row r="1138" spans="1:4" ht="16">
      <c r="A1138" s="82">
        <v>44217</v>
      </c>
      <c r="B1138" s="83">
        <v>14590.35</v>
      </c>
      <c r="C1138"/>
      <c r="D1138" s="84"/>
    </row>
    <row r="1139" spans="1:4" ht="16">
      <c r="A1139" s="82">
        <v>44216</v>
      </c>
      <c r="B1139" s="83">
        <v>14644.7</v>
      </c>
      <c r="C1139"/>
      <c r="D1139" s="84"/>
    </row>
    <row r="1140" spans="1:4" ht="16">
      <c r="A1140" s="82">
        <v>44215</v>
      </c>
      <c r="B1140" s="83">
        <v>14521.15</v>
      </c>
      <c r="C1140"/>
      <c r="D1140" s="84"/>
    </row>
    <row r="1141" spans="1:4" ht="16">
      <c r="A1141" s="82">
        <v>44214</v>
      </c>
      <c r="B1141" s="83">
        <v>14281.3</v>
      </c>
      <c r="C1141"/>
      <c r="D1141" s="84"/>
    </row>
    <row r="1142" spans="1:4" ht="16">
      <c r="A1142" s="82">
        <v>44211</v>
      </c>
      <c r="B1142" s="83">
        <v>14433.7</v>
      </c>
      <c r="C1142"/>
      <c r="D1142" s="84"/>
    </row>
    <row r="1143" spans="1:4" ht="16">
      <c r="A1143" s="82">
        <v>44210</v>
      </c>
      <c r="B1143" s="83">
        <v>14595.6</v>
      </c>
      <c r="C1143"/>
      <c r="D1143" s="84"/>
    </row>
    <row r="1144" spans="1:4" ht="16">
      <c r="A1144" s="82">
        <v>44209</v>
      </c>
      <c r="B1144" s="83">
        <v>14564.85</v>
      </c>
      <c r="C1144"/>
      <c r="D1144" s="84"/>
    </row>
    <row r="1145" spans="1:4" ht="16">
      <c r="A1145" s="82">
        <v>44208</v>
      </c>
      <c r="B1145" s="83">
        <v>14563.45</v>
      </c>
      <c r="C1145"/>
      <c r="D1145" s="84"/>
    </row>
    <row r="1146" spans="1:4" ht="16">
      <c r="A1146" s="82">
        <v>44207</v>
      </c>
      <c r="B1146" s="83">
        <v>14484.75</v>
      </c>
      <c r="C1146"/>
      <c r="D1146" s="84"/>
    </row>
    <row r="1147" spans="1:4" ht="16">
      <c r="A1147" s="82">
        <v>44204</v>
      </c>
      <c r="B1147" s="83">
        <v>14347.25</v>
      </c>
      <c r="C1147"/>
      <c r="D1147" s="84"/>
    </row>
    <row r="1148" spans="1:4" ht="16">
      <c r="A1148" s="82">
        <v>44203</v>
      </c>
      <c r="B1148" s="83">
        <v>14137.35</v>
      </c>
      <c r="C1148"/>
      <c r="D1148" s="84"/>
    </row>
    <row r="1149" spans="1:4" ht="16">
      <c r="A1149" s="82">
        <v>44202</v>
      </c>
      <c r="B1149" s="83">
        <v>14146.25</v>
      </c>
      <c r="C1149"/>
      <c r="D1149" s="84"/>
    </row>
    <row r="1150" spans="1:4" ht="16">
      <c r="A1150" s="82">
        <v>44201</v>
      </c>
      <c r="B1150" s="83">
        <v>14199.5</v>
      </c>
      <c r="C1150"/>
      <c r="D1150" s="84"/>
    </row>
    <row r="1151" spans="1:4" ht="16">
      <c r="A1151" s="82">
        <v>44200</v>
      </c>
      <c r="B1151" s="83">
        <v>14132.9</v>
      </c>
      <c r="C1151"/>
      <c r="D1151" s="84"/>
    </row>
    <row r="1152" spans="1:4" ht="16">
      <c r="A1152" s="82">
        <v>44197</v>
      </c>
      <c r="B1152" s="83">
        <v>14018.5</v>
      </c>
      <c r="C1152"/>
      <c r="D1152" s="84"/>
    </row>
    <row r="1153" spans="1:4" ht="16">
      <c r="A1153" s="82">
        <v>44196</v>
      </c>
      <c r="B1153" s="83">
        <v>13981.75</v>
      </c>
      <c r="C1153"/>
      <c r="D1153" s="84"/>
    </row>
    <row r="1154" spans="1:4" ht="16">
      <c r="A1154" s="82">
        <v>44195</v>
      </c>
      <c r="B1154" s="83">
        <v>13981.95</v>
      </c>
      <c r="C1154"/>
      <c r="D1154" s="84"/>
    </row>
    <row r="1155" spans="1:4" ht="16">
      <c r="A1155" s="82">
        <v>44194</v>
      </c>
      <c r="B1155" s="83">
        <v>13932.6</v>
      </c>
      <c r="C1155"/>
      <c r="D1155" s="84"/>
    </row>
    <row r="1156" spans="1:4" ht="16">
      <c r="A1156" s="82">
        <v>44193</v>
      </c>
      <c r="B1156" s="83">
        <v>13873.2</v>
      </c>
      <c r="C1156"/>
      <c r="D1156" s="84"/>
    </row>
    <row r="1157" spans="1:4" ht="16">
      <c r="A1157" s="82">
        <v>44189</v>
      </c>
      <c r="B1157" s="83">
        <v>13749.25</v>
      </c>
      <c r="C1157"/>
      <c r="D1157" s="84"/>
    </row>
    <row r="1158" spans="1:4" ht="16">
      <c r="A1158" s="82">
        <v>44188</v>
      </c>
      <c r="B1158" s="83">
        <v>13601.1</v>
      </c>
      <c r="C1158"/>
      <c r="D1158" s="84"/>
    </row>
    <row r="1159" spans="1:4" ht="16">
      <c r="A1159" s="82">
        <v>44187</v>
      </c>
      <c r="B1159" s="83">
        <v>13466.3</v>
      </c>
      <c r="C1159"/>
      <c r="D1159" s="84"/>
    </row>
    <row r="1160" spans="1:4" ht="16">
      <c r="A1160" s="82">
        <v>44186</v>
      </c>
      <c r="B1160" s="83">
        <v>13328.4</v>
      </c>
      <c r="C1160"/>
      <c r="D1160" s="84"/>
    </row>
    <row r="1161" spans="1:4" ht="16">
      <c r="A1161" s="82">
        <v>44183</v>
      </c>
      <c r="B1161" s="83">
        <v>13760.55</v>
      </c>
      <c r="C1161"/>
      <c r="D1161" s="84"/>
    </row>
    <row r="1162" spans="1:4" ht="16">
      <c r="A1162" s="82">
        <v>44182</v>
      </c>
      <c r="B1162" s="83">
        <v>13740.7</v>
      </c>
      <c r="C1162"/>
      <c r="D1162" s="84"/>
    </row>
    <row r="1163" spans="1:4" ht="16">
      <c r="A1163" s="82">
        <v>44181</v>
      </c>
      <c r="B1163" s="83">
        <v>13682.7</v>
      </c>
      <c r="C1163"/>
      <c r="D1163" s="84"/>
    </row>
    <row r="1164" spans="1:4" ht="16">
      <c r="A1164" s="82">
        <v>44180</v>
      </c>
      <c r="B1164" s="83">
        <v>13567.85</v>
      </c>
      <c r="C1164"/>
      <c r="D1164" s="84"/>
    </row>
    <row r="1165" spans="1:4" ht="16">
      <c r="A1165" s="82">
        <v>44179</v>
      </c>
      <c r="B1165" s="83">
        <v>13558.15</v>
      </c>
      <c r="C1165"/>
      <c r="D1165" s="84"/>
    </row>
    <row r="1166" spans="1:4" ht="16">
      <c r="A1166" s="82">
        <v>44176</v>
      </c>
      <c r="B1166" s="83">
        <v>13513.85</v>
      </c>
      <c r="C1166"/>
      <c r="D1166" s="84"/>
    </row>
    <row r="1167" spans="1:4" ht="16">
      <c r="A1167" s="82">
        <v>44175</v>
      </c>
      <c r="B1167" s="83">
        <v>13478.3</v>
      </c>
      <c r="C1167"/>
      <c r="D1167" s="84"/>
    </row>
    <row r="1168" spans="1:4" ht="16">
      <c r="A1168" s="82">
        <v>44174</v>
      </c>
      <c r="B1168" s="83">
        <v>13529.1</v>
      </c>
      <c r="C1168"/>
      <c r="D1168" s="84"/>
    </row>
    <row r="1169" spans="1:4" ht="16">
      <c r="A1169" s="82">
        <v>44173</v>
      </c>
      <c r="B1169" s="83">
        <v>13392.95</v>
      </c>
      <c r="C1169"/>
      <c r="D1169" s="84"/>
    </row>
    <row r="1170" spans="1:4" ht="16">
      <c r="A1170" s="82">
        <v>44172</v>
      </c>
      <c r="B1170" s="83">
        <v>13355.75</v>
      </c>
      <c r="C1170"/>
      <c r="D1170" s="84"/>
    </row>
    <row r="1171" spans="1:4" ht="16">
      <c r="A1171" s="82">
        <v>44169</v>
      </c>
      <c r="B1171" s="83">
        <v>13258.55</v>
      </c>
      <c r="C1171"/>
      <c r="D1171" s="84"/>
    </row>
    <row r="1172" spans="1:4" ht="16">
      <c r="A1172" s="82">
        <v>44168</v>
      </c>
      <c r="B1172" s="83">
        <v>13133.9</v>
      </c>
      <c r="C1172"/>
      <c r="D1172" s="84"/>
    </row>
    <row r="1173" spans="1:4" ht="16">
      <c r="A1173" s="82">
        <v>44167</v>
      </c>
      <c r="B1173" s="83">
        <v>13113.75</v>
      </c>
      <c r="C1173"/>
      <c r="D1173" s="84"/>
    </row>
    <row r="1174" spans="1:4" ht="16">
      <c r="A1174" s="82">
        <v>44166</v>
      </c>
      <c r="B1174" s="83">
        <v>13109.05</v>
      </c>
      <c r="C1174"/>
      <c r="D1174" s="84"/>
    </row>
    <row r="1175" spans="1:4" ht="16">
      <c r="A1175" s="82">
        <v>44162</v>
      </c>
      <c r="B1175" s="83">
        <v>12968.95</v>
      </c>
      <c r="C1175"/>
      <c r="D1175" s="84"/>
    </row>
    <row r="1176" spans="1:4" ht="16">
      <c r="A1176" s="82">
        <v>44161</v>
      </c>
      <c r="B1176" s="83">
        <v>12987</v>
      </c>
      <c r="C1176"/>
      <c r="D1176" s="84"/>
    </row>
    <row r="1177" spans="1:4" ht="16">
      <c r="A1177" s="82">
        <v>44160</v>
      </c>
      <c r="B1177" s="83">
        <v>12858.4</v>
      </c>
      <c r="C1177"/>
      <c r="D1177" s="84"/>
    </row>
    <row r="1178" spans="1:4" ht="16">
      <c r="A1178" s="82">
        <v>44159</v>
      </c>
      <c r="B1178" s="83">
        <v>13055.15</v>
      </c>
      <c r="C1178"/>
      <c r="D1178" s="84"/>
    </row>
    <row r="1179" spans="1:4" ht="16">
      <c r="A1179" s="82">
        <v>44158</v>
      </c>
      <c r="B1179" s="83">
        <v>12926.45</v>
      </c>
      <c r="C1179"/>
      <c r="D1179" s="84"/>
    </row>
    <row r="1180" spans="1:4" ht="16">
      <c r="A1180" s="82">
        <v>44155</v>
      </c>
      <c r="B1180" s="83">
        <v>12859.05</v>
      </c>
      <c r="C1180"/>
      <c r="D1180" s="84"/>
    </row>
    <row r="1181" spans="1:4" ht="16">
      <c r="A1181" s="82">
        <v>44154</v>
      </c>
      <c r="B1181" s="83">
        <v>12771.7</v>
      </c>
      <c r="C1181"/>
      <c r="D1181" s="84"/>
    </row>
    <row r="1182" spans="1:4" ht="16">
      <c r="A1182" s="82">
        <v>44153</v>
      </c>
      <c r="B1182" s="83">
        <v>12938.25</v>
      </c>
      <c r="C1182"/>
      <c r="D1182" s="84"/>
    </row>
    <row r="1183" spans="1:4" ht="16">
      <c r="A1183" s="82">
        <v>44152</v>
      </c>
      <c r="B1183" s="83">
        <v>12874.2</v>
      </c>
      <c r="C1183"/>
      <c r="D1183" s="84"/>
    </row>
    <row r="1184" spans="1:4" ht="16">
      <c r="A1184" s="82">
        <v>44149</v>
      </c>
      <c r="B1184" s="83">
        <v>12780.25</v>
      </c>
      <c r="C1184"/>
      <c r="D1184" s="84"/>
    </row>
    <row r="1185" spans="1:4" ht="16">
      <c r="A1185" s="82">
        <v>44148</v>
      </c>
      <c r="B1185" s="83">
        <v>12719.95</v>
      </c>
      <c r="C1185"/>
      <c r="D1185" s="84"/>
    </row>
    <row r="1186" spans="1:4" ht="16">
      <c r="A1186" s="82">
        <v>44147</v>
      </c>
      <c r="B1186" s="83">
        <v>12690.8</v>
      </c>
      <c r="C1186"/>
      <c r="D1186" s="84"/>
    </row>
    <row r="1187" spans="1:4" ht="16">
      <c r="A1187" s="82">
        <v>44146</v>
      </c>
      <c r="B1187" s="83">
        <v>12749.15</v>
      </c>
      <c r="C1187"/>
      <c r="D1187" s="84"/>
    </row>
    <row r="1188" spans="1:4" ht="16">
      <c r="A1188" s="82">
        <v>44145</v>
      </c>
      <c r="B1188" s="83">
        <v>12631.1</v>
      </c>
      <c r="C1188"/>
      <c r="D1188" s="84"/>
    </row>
    <row r="1189" spans="1:4" ht="16">
      <c r="A1189" s="82">
        <v>44144</v>
      </c>
      <c r="B1189" s="83">
        <v>12461.05</v>
      </c>
      <c r="C1189"/>
      <c r="D1189" s="84"/>
    </row>
    <row r="1190" spans="1:4" ht="16">
      <c r="A1190" s="82">
        <v>44141</v>
      </c>
      <c r="B1190" s="83">
        <v>12263.55</v>
      </c>
      <c r="C1190"/>
      <c r="D1190" s="84"/>
    </row>
    <row r="1191" spans="1:4" ht="16">
      <c r="A1191" s="82">
        <v>44140</v>
      </c>
      <c r="B1191" s="83">
        <v>12120.3</v>
      </c>
      <c r="C1191"/>
      <c r="D1191" s="84"/>
    </row>
    <row r="1192" spans="1:4" ht="16">
      <c r="A1192" s="82">
        <v>44139</v>
      </c>
      <c r="B1192" s="83">
        <v>11908.5</v>
      </c>
      <c r="C1192"/>
      <c r="D1192" s="84"/>
    </row>
    <row r="1193" spans="1:4" ht="16">
      <c r="A1193" s="82">
        <v>44138</v>
      </c>
      <c r="B1193" s="83">
        <v>11813.5</v>
      </c>
      <c r="C1193"/>
      <c r="D1193" s="84"/>
    </row>
    <row r="1194" spans="1:4" ht="16">
      <c r="A1194" s="82">
        <v>44137</v>
      </c>
      <c r="B1194" s="83">
        <v>11669.15</v>
      </c>
      <c r="C1194"/>
      <c r="D1194" s="84"/>
    </row>
    <row r="1195" spans="1:4" ht="16">
      <c r="A1195" s="82">
        <v>44134</v>
      </c>
      <c r="B1195" s="83">
        <v>11642.4</v>
      </c>
      <c r="C1195"/>
      <c r="D1195" s="84"/>
    </row>
    <row r="1196" spans="1:4" ht="16">
      <c r="A1196" s="82">
        <v>44133</v>
      </c>
      <c r="B1196" s="83">
        <v>11670.8</v>
      </c>
      <c r="C1196"/>
      <c r="D1196" s="84"/>
    </row>
    <row r="1197" spans="1:4" ht="16">
      <c r="A1197" s="82">
        <v>44132</v>
      </c>
      <c r="B1197" s="83">
        <v>11729.6</v>
      </c>
      <c r="C1197"/>
      <c r="D1197" s="84"/>
    </row>
    <row r="1198" spans="1:4" ht="16">
      <c r="A1198" s="82">
        <v>44131</v>
      </c>
      <c r="B1198" s="83">
        <v>11889.4</v>
      </c>
      <c r="C1198"/>
      <c r="D1198" s="84"/>
    </row>
    <row r="1199" spans="1:4" ht="16">
      <c r="A1199" s="82">
        <v>44130</v>
      </c>
      <c r="B1199" s="83">
        <v>11767.75</v>
      </c>
      <c r="C1199"/>
      <c r="D1199" s="84"/>
    </row>
    <row r="1200" spans="1:4" ht="16">
      <c r="A1200" s="82">
        <v>44127</v>
      </c>
      <c r="B1200" s="83">
        <v>11930.35</v>
      </c>
      <c r="C1200"/>
      <c r="D1200" s="84"/>
    </row>
    <row r="1201" spans="1:4" ht="16">
      <c r="A1201" s="82">
        <v>44126</v>
      </c>
      <c r="B1201" s="83">
        <v>11896.45</v>
      </c>
      <c r="C1201"/>
      <c r="D1201" s="84"/>
    </row>
    <row r="1202" spans="1:4" ht="16">
      <c r="A1202" s="82">
        <v>44125</v>
      </c>
      <c r="B1202" s="83">
        <v>11937.65</v>
      </c>
      <c r="C1202"/>
      <c r="D1202" s="84"/>
    </row>
    <row r="1203" spans="1:4" ht="16">
      <c r="A1203" s="82">
        <v>44124</v>
      </c>
      <c r="B1203" s="83">
        <v>11896.8</v>
      </c>
      <c r="C1203"/>
      <c r="D1203" s="84"/>
    </row>
    <row r="1204" spans="1:4" ht="16">
      <c r="A1204" s="82">
        <v>44123</v>
      </c>
      <c r="B1204" s="83">
        <v>11873.05</v>
      </c>
      <c r="C1204"/>
      <c r="D1204" s="84"/>
    </row>
    <row r="1205" spans="1:4" ht="16">
      <c r="A1205" s="82">
        <v>44120</v>
      </c>
      <c r="B1205" s="83">
        <v>11762.45</v>
      </c>
      <c r="C1205"/>
      <c r="D1205" s="84"/>
    </row>
    <row r="1206" spans="1:4" ht="16">
      <c r="A1206" s="82">
        <v>44119</v>
      </c>
      <c r="B1206" s="83">
        <v>11680.35</v>
      </c>
      <c r="C1206"/>
      <c r="D1206" s="84"/>
    </row>
    <row r="1207" spans="1:4" ht="16">
      <c r="A1207" s="82">
        <v>44118</v>
      </c>
      <c r="B1207" s="83">
        <v>11971.05</v>
      </c>
      <c r="C1207"/>
      <c r="D1207" s="84"/>
    </row>
    <row r="1208" spans="1:4" ht="16">
      <c r="A1208" s="82">
        <v>44117</v>
      </c>
      <c r="B1208" s="83">
        <v>11934.5</v>
      </c>
      <c r="C1208"/>
      <c r="D1208" s="84"/>
    </row>
    <row r="1209" spans="1:4" ht="16">
      <c r="A1209" s="82">
        <v>44116</v>
      </c>
      <c r="B1209" s="83">
        <v>11930.95</v>
      </c>
      <c r="C1209"/>
      <c r="D1209" s="84"/>
    </row>
    <row r="1210" spans="1:4" ht="16">
      <c r="A1210" s="82">
        <v>44113</v>
      </c>
      <c r="B1210" s="83">
        <v>11914.2</v>
      </c>
      <c r="C1210"/>
      <c r="D1210" s="84"/>
    </row>
    <row r="1211" spans="1:4" ht="16">
      <c r="A1211" s="82">
        <v>44112</v>
      </c>
      <c r="B1211" s="83">
        <v>11834.6</v>
      </c>
      <c r="C1211"/>
      <c r="D1211" s="84"/>
    </row>
    <row r="1212" spans="1:4" ht="16">
      <c r="A1212" s="82">
        <v>44111</v>
      </c>
      <c r="B1212" s="83">
        <v>11738.85</v>
      </c>
      <c r="C1212"/>
      <c r="D1212" s="84"/>
    </row>
    <row r="1213" spans="1:4" ht="16">
      <c r="A1213" s="82">
        <v>44110</v>
      </c>
      <c r="B1213" s="83">
        <v>11662.4</v>
      </c>
      <c r="C1213"/>
      <c r="D1213" s="84"/>
    </row>
    <row r="1214" spans="1:4" ht="16">
      <c r="A1214" s="82">
        <v>44109</v>
      </c>
      <c r="B1214" s="83">
        <v>11503.35</v>
      </c>
      <c r="C1214"/>
      <c r="D1214" s="84"/>
    </row>
    <row r="1215" spans="1:4" ht="16">
      <c r="A1215" s="82">
        <v>44105</v>
      </c>
      <c r="B1215" s="83">
        <v>11416.95</v>
      </c>
      <c r="C1215"/>
      <c r="D1215" s="84"/>
    </row>
    <row r="1216" spans="1:4" ht="16">
      <c r="A1216" s="82">
        <v>44104</v>
      </c>
      <c r="B1216" s="83">
        <v>11247.55</v>
      </c>
      <c r="C1216"/>
      <c r="D1216" s="84"/>
    </row>
    <row r="1217" spans="1:4" ht="16">
      <c r="A1217" s="82">
        <v>44103</v>
      </c>
      <c r="B1217" s="83">
        <v>11222.4</v>
      </c>
      <c r="C1217"/>
      <c r="D1217" s="84"/>
    </row>
    <row r="1218" spans="1:4" ht="16">
      <c r="A1218" s="82">
        <v>44102</v>
      </c>
      <c r="B1218" s="83">
        <v>11227.55</v>
      </c>
      <c r="C1218"/>
      <c r="D1218" s="84"/>
    </row>
    <row r="1219" spans="1:4" ht="16">
      <c r="A1219" s="82">
        <v>44099</v>
      </c>
      <c r="B1219" s="83">
        <v>11050.25</v>
      </c>
      <c r="C1219"/>
      <c r="D1219" s="84"/>
    </row>
    <row r="1220" spans="1:4" ht="16">
      <c r="A1220" s="82">
        <v>44098</v>
      </c>
      <c r="B1220" s="83">
        <v>10805.55</v>
      </c>
      <c r="C1220"/>
      <c r="D1220" s="84"/>
    </row>
    <row r="1221" spans="1:4" ht="16">
      <c r="A1221" s="82">
        <v>44097</v>
      </c>
      <c r="B1221" s="83">
        <v>11131.85</v>
      </c>
      <c r="C1221"/>
      <c r="D1221" s="84"/>
    </row>
    <row r="1222" spans="1:4" ht="16">
      <c r="A1222" s="82">
        <v>44096</v>
      </c>
      <c r="B1222" s="83">
        <v>11153.65</v>
      </c>
      <c r="C1222"/>
      <c r="D1222" s="84"/>
    </row>
    <row r="1223" spans="1:4" ht="16">
      <c r="A1223" s="82">
        <v>44095</v>
      </c>
      <c r="B1223" s="83">
        <v>11250.55</v>
      </c>
      <c r="C1223"/>
      <c r="D1223" s="84"/>
    </row>
    <row r="1224" spans="1:4" ht="16">
      <c r="A1224" s="82">
        <v>44092</v>
      </c>
      <c r="B1224" s="83">
        <v>11504.95</v>
      </c>
      <c r="C1224"/>
      <c r="D1224" s="84"/>
    </row>
    <row r="1225" spans="1:4" ht="16">
      <c r="A1225" s="82">
        <v>44091</v>
      </c>
      <c r="B1225" s="83">
        <v>11516.1</v>
      </c>
      <c r="C1225"/>
      <c r="D1225" s="84"/>
    </row>
    <row r="1226" spans="1:4" ht="16">
      <c r="A1226" s="82">
        <v>44090</v>
      </c>
      <c r="B1226" s="83">
        <v>11604.55</v>
      </c>
      <c r="C1226"/>
      <c r="D1226" s="84"/>
    </row>
    <row r="1227" spans="1:4" ht="16">
      <c r="A1227" s="82">
        <v>44089</v>
      </c>
      <c r="B1227" s="83">
        <v>11521.8</v>
      </c>
      <c r="C1227"/>
      <c r="D1227" s="84"/>
    </row>
    <row r="1228" spans="1:4" ht="16">
      <c r="A1228" s="82">
        <v>44088</v>
      </c>
      <c r="B1228" s="83">
        <v>11440.05</v>
      </c>
      <c r="C1228"/>
      <c r="D1228" s="84"/>
    </row>
    <row r="1229" spans="1:4" ht="16">
      <c r="A1229" s="82">
        <v>44085</v>
      </c>
      <c r="B1229" s="83">
        <v>11464.45</v>
      </c>
      <c r="C1229"/>
      <c r="D1229" s="84"/>
    </row>
    <row r="1230" spans="1:4" ht="16">
      <c r="A1230" s="82">
        <v>44084</v>
      </c>
      <c r="B1230" s="83">
        <v>11449.25</v>
      </c>
      <c r="C1230"/>
      <c r="D1230" s="84"/>
    </row>
    <row r="1231" spans="1:4" ht="16">
      <c r="A1231" s="82">
        <v>44083</v>
      </c>
      <c r="B1231" s="83">
        <v>11278</v>
      </c>
      <c r="C1231"/>
      <c r="D1231" s="84"/>
    </row>
    <row r="1232" spans="1:4" ht="16">
      <c r="A1232" s="82">
        <v>44082</v>
      </c>
      <c r="B1232" s="83">
        <v>11317.35</v>
      </c>
      <c r="C1232"/>
      <c r="D1232" s="84"/>
    </row>
    <row r="1233" spans="1:4" ht="16">
      <c r="A1233" s="82">
        <v>44081</v>
      </c>
      <c r="B1233" s="83">
        <v>11355.05</v>
      </c>
      <c r="C1233"/>
      <c r="D1233" s="84"/>
    </row>
    <row r="1234" spans="1:4" ht="16">
      <c r="A1234" s="82">
        <v>44078</v>
      </c>
      <c r="B1234" s="83">
        <v>11333.85</v>
      </c>
      <c r="C1234"/>
      <c r="D1234" s="84"/>
    </row>
    <row r="1235" spans="1:4" ht="16">
      <c r="A1235" s="82">
        <v>44077</v>
      </c>
      <c r="B1235" s="83">
        <v>11527.45</v>
      </c>
      <c r="C1235"/>
      <c r="D1235" s="84"/>
    </row>
    <row r="1236" spans="1:4" ht="16">
      <c r="A1236" s="82">
        <v>44076</v>
      </c>
      <c r="B1236" s="83">
        <v>11535</v>
      </c>
      <c r="C1236"/>
      <c r="D1236" s="84"/>
    </row>
    <row r="1237" spans="1:4" ht="16">
      <c r="A1237" s="82">
        <v>44075</v>
      </c>
      <c r="B1237" s="83">
        <v>11470.25</v>
      </c>
      <c r="C1237"/>
      <c r="D1237" s="84"/>
    </row>
    <row r="1238" spans="1:4" ht="16">
      <c r="A1238" s="82">
        <v>44074</v>
      </c>
      <c r="B1238" s="83">
        <v>11387.5</v>
      </c>
      <c r="C1238"/>
      <c r="D1238" s="84"/>
    </row>
    <row r="1239" spans="1:4" ht="16">
      <c r="A1239" s="82">
        <v>44071</v>
      </c>
      <c r="B1239" s="83">
        <v>11647.6</v>
      </c>
      <c r="C1239"/>
      <c r="D1239" s="84"/>
    </row>
    <row r="1240" spans="1:4" ht="16">
      <c r="A1240" s="82">
        <v>44070</v>
      </c>
      <c r="B1240" s="83">
        <v>11559.25</v>
      </c>
      <c r="C1240"/>
      <c r="D1240" s="84"/>
    </row>
    <row r="1241" spans="1:4" ht="16">
      <c r="A1241" s="82">
        <v>44069</v>
      </c>
      <c r="B1241" s="83">
        <v>11549.6</v>
      </c>
      <c r="C1241"/>
      <c r="D1241" s="84"/>
    </row>
    <row r="1242" spans="1:4" ht="16">
      <c r="A1242" s="82">
        <v>44068</v>
      </c>
      <c r="B1242" s="83">
        <v>11472.25</v>
      </c>
      <c r="C1242"/>
      <c r="D1242" s="84"/>
    </row>
    <row r="1243" spans="1:4" ht="16">
      <c r="A1243" s="82">
        <v>44067</v>
      </c>
      <c r="B1243" s="83">
        <v>11466.45</v>
      </c>
      <c r="C1243"/>
      <c r="D1243" s="84"/>
    </row>
    <row r="1244" spans="1:4" ht="16">
      <c r="A1244" s="82">
        <v>44064</v>
      </c>
      <c r="B1244" s="83">
        <v>11371.6</v>
      </c>
      <c r="C1244"/>
      <c r="D1244" s="84"/>
    </row>
    <row r="1245" spans="1:4" ht="16">
      <c r="A1245" s="82">
        <v>44063</v>
      </c>
      <c r="B1245" s="83">
        <v>11312.2</v>
      </c>
      <c r="C1245"/>
      <c r="D1245" s="84"/>
    </row>
    <row r="1246" spans="1:4" ht="16">
      <c r="A1246" s="82">
        <v>44062</v>
      </c>
      <c r="B1246" s="83">
        <v>11408.4</v>
      </c>
      <c r="C1246"/>
      <c r="D1246" s="84"/>
    </row>
    <row r="1247" spans="1:4" ht="16">
      <c r="A1247" s="82">
        <v>44061</v>
      </c>
      <c r="B1247" s="83">
        <v>11385.35</v>
      </c>
      <c r="C1247"/>
      <c r="D1247" s="84"/>
    </row>
    <row r="1248" spans="1:4" ht="16">
      <c r="A1248" s="82">
        <v>44060</v>
      </c>
      <c r="B1248" s="83">
        <v>11247.1</v>
      </c>
      <c r="C1248"/>
      <c r="D1248" s="84"/>
    </row>
    <row r="1249" spans="1:4" ht="16">
      <c r="A1249" s="82">
        <v>44057</v>
      </c>
      <c r="B1249" s="83">
        <v>11178.4</v>
      </c>
      <c r="C1249"/>
      <c r="D1249" s="84"/>
    </row>
    <row r="1250" spans="1:4" ht="16">
      <c r="A1250" s="82">
        <v>44056</v>
      </c>
      <c r="B1250" s="83">
        <v>11300.45</v>
      </c>
      <c r="C1250"/>
      <c r="D1250" s="84"/>
    </row>
    <row r="1251" spans="1:4" ht="16">
      <c r="A1251" s="82">
        <v>44055</v>
      </c>
      <c r="B1251" s="83">
        <v>11308.4</v>
      </c>
      <c r="C1251"/>
      <c r="D1251" s="84"/>
    </row>
    <row r="1252" spans="1:4" ht="16">
      <c r="A1252" s="82">
        <v>44054</v>
      </c>
      <c r="B1252" s="83">
        <v>11322.5</v>
      </c>
      <c r="C1252"/>
      <c r="D1252" s="84"/>
    </row>
    <row r="1253" spans="1:4" ht="16">
      <c r="A1253" s="82">
        <v>44053</v>
      </c>
      <c r="B1253" s="83">
        <v>11270.15</v>
      </c>
      <c r="C1253"/>
      <c r="D1253" s="84"/>
    </row>
    <row r="1254" spans="1:4" ht="16">
      <c r="A1254" s="82">
        <v>44050</v>
      </c>
      <c r="B1254" s="83">
        <v>11214.05</v>
      </c>
      <c r="C1254"/>
      <c r="D1254" s="84"/>
    </row>
    <row r="1255" spans="1:4" ht="16">
      <c r="A1255" s="82">
        <v>44049</v>
      </c>
      <c r="B1255" s="83">
        <v>11200.15</v>
      </c>
      <c r="C1255"/>
      <c r="D1255" s="84"/>
    </row>
    <row r="1256" spans="1:4" ht="16">
      <c r="A1256" s="82">
        <v>44048</v>
      </c>
      <c r="B1256" s="83">
        <v>11101.65</v>
      </c>
      <c r="C1256"/>
      <c r="D1256" s="84"/>
    </row>
    <row r="1257" spans="1:4" ht="16">
      <c r="A1257" s="82">
        <v>44047</v>
      </c>
      <c r="B1257" s="83">
        <v>11095.25</v>
      </c>
      <c r="C1257"/>
      <c r="D1257" s="84"/>
    </row>
    <row r="1258" spans="1:4" ht="16">
      <c r="A1258" s="82">
        <v>44046</v>
      </c>
      <c r="B1258" s="83">
        <v>10891.6</v>
      </c>
      <c r="C1258"/>
      <c r="D1258" s="84"/>
    </row>
    <row r="1259" spans="1:4" ht="16">
      <c r="A1259" s="82">
        <v>44043</v>
      </c>
      <c r="B1259" s="83">
        <v>11073.45</v>
      </c>
      <c r="C1259"/>
      <c r="D1259" s="84"/>
    </row>
    <row r="1260" spans="1:4" ht="16">
      <c r="A1260" s="82">
        <v>44042</v>
      </c>
      <c r="B1260" s="83">
        <v>11102.15</v>
      </c>
      <c r="C1260"/>
      <c r="D1260" s="84"/>
    </row>
    <row r="1261" spans="1:4" ht="16">
      <c r="A1261" s="82">
        <v>44041</v>
      </c>
      <c r="B1261" s="83">
        <v>11202.85</v>
      </c>
      <c r="C1261"/>
      <c r="D1261" s="84"/>
    </row>
    <row r="1262" spans="1:4" ht="16">
      <c r="A1262" s="82">
        <v>44040</v>
      </c>
      <c r="B1262" s="83">
        <v>11300.55</v>
      </c>
      <c r="C1262"/>
      <c r="D1262" s="84"/>
    </row>
    <row r="1263" spans="1:4" ht="16">
      <c r="A1263" s="82">
        <v>44039</v>
      </c>
      <c r="B1263" s="83">
        <v>11131.8</v>
      </c>
      <c r="C1263"/>
      <c r="D1263" s="84"/>
    </row>
    <row r="1264" spans="1:4" ht="16">
      <c r="A1264" s="82">
        <v>44036</v>
      </c>
      <c r="B1264" s="83">
        <v>11194.15</v>
      </c>
      <c r="C1264"/>
      <c r="D1264" s="84"/>
    </row>
    <row r="1265" spans="1:4" ht="16">
      <c r="A1265" s="82">
        <v>44035</v>
      </c>
      <c r="B1265" s="83">
        <v>11215.45</v>
      </c>
      <c r="C1265"/>
      <c r="D1265" s="84"/>
    </row>
    <row r="1266" spans="1:4" ht="16">
      <c r="A1266" s="82">
        <v>44034</v>
      </c>
      <c r="B1266" s="83">
        <v>11132.6</v>
      </c>
      <c r="C1266"/>
      <c r="D1266" s="84"/>
    </row>
    <row r="1267" spans="1:4" ht="16">
      <c r="A1267" s="82">
        <v>44033</v>
      </c>
      <c r="B1267" s="83">
        <v>11162.25</v>
      </c>
      <c r="C1267"/>
      <c r="D1267" s="84"/>
    </row>
    <row r="1268" spans="1:4" ht="16">
      <c r="A1268" s="82">
        <v>44032</v>
      </c>
      <c r="B1268" s="83">
        <v>11022.2</v>
      </c>
      <c r="C1268"/>
      <c r="D1268" s="84"/>
    </row>
    <row r="1269" spans="1:4" ht="16">
      <c r="A1269" s="82">
        <v>44029</v>
      </c>
      <c r="B1269" s="83">
        <v>10901.7</v>
      </c>
      <c r="C1269"/>
      <c r="D1269" s="84"/>
    </row>
    <row r="1270" spans="1:4" ht="16">
      <c r="A1270" s="82">
        <v>44028</v>
      </c>
      <c r="B1270" s="83">
        <v>10739.95</v>
      </c>
      <c r="C1270"/>
      <c r="D1270" s="84"/>
    </row>
    <row r="1271" spans="1:4" ht="16">
      <c r="A1271" s="82">
        <v>44027</v>
      </c>
      <c r="B1271" s="83">
        <v>10618.2</v>
      </c>
      <c r="C1271"/>
      <c r="D1271" s="84"/>
    </row>
    <row r="1272" spans="1:4" ht="16">
      <c r="A1272" s="82">
        <v>44026</v>
      </c>
      <c r="B1272" s="83">
        <v>10607.35</v>
      </c>
      <c r="C1272"/>
      <c r="D1272" s="84"/>
    </row>
    <row r="1273" spans="1:4" ht="16">
      <c r="A1273" s="82">
        <v>44025</v>
      </c>
      <c r="B1273" s="83">
        <v>10802.7</v>
      </c>
      <c r="C1273"/>
      <c r="D1273" s="84"/>
    </row>
    <row r="1274" spans="1:4" ht="16">
      <c r="A1274" s="82">
        <v>44022</v>
      </c>
      <c r="B1274" s="83">
        <v>10768.05</v>
      </c>
      <c r="C1274"/>
      <c r="D1274" s="84"/>
    </row>
    <row r="1275" spans="1:4" ht="16">
      <c r="A1275" s="82">
        <v>44021</v>
      </c>
      <c r="B1275" s="83">
        <v>10813.45</v>
      </c>
      <c r="C1275"/>
      <c r="D1275" s="84"/>
    </row>
    <row r="1276" spans="1:4" ht="16">
      <c r="A1276" s="82">
        <v>44020</v>
      </c>
      <c r="B1276" s="83">
        <v>10705.75</v>
      </c>
      <c r="C1276"/>
      <c r="D1276" s="84"/>
    </row>
    <row r="1277" spans="1:4" ht="16">
      <c r="A1277" s="82">
        <v>44019</v>
      </c>
      <c r="B1277" s="83">
        <v>10799.65</v>
      </c>
      <c r="C1277"/>
      <c r="D1277" s="84"/>
    </row>
    <row r="1278" spans="1:4" ht="16">
      <c r="A1278" s="82">
        <v>44018</v>
      </c>
      <c r="B1278" s="83">
        <v>10763.65</v>
      </c>
      <c r="C1278"/>
      <c r="D1278" s="84"/>
    </row>
    <row r="1279" spans="1:4" ht="16">
      <c r="A1279" s="82">
        <v>44015</v>
      </c>
      <c r="B1279" s="83">
        <v>10607.35</v>
      </c>
      <c r="C1279"/>
      <c r="D1279" s="84"/>
    </row>
    <row r="1280" spans="1:4" ht="16">
      <c r="A1280" s="82">
        <v>44014</v>
      </c>
      <c r="B1280" s="83">
        <v>10551.7</v>
      </c>
      <c r="C1280"/>
      <c r="D1280" s="84"/>
    </row>
    <row r="1281" spans="1:4" ht="16">
      <c r="A1281" s="82">
        <v>44013</v>
      </c>
      <c r="B1281" s="83">
        <v>10430.049999999999</v>
      </c>
      <c r="C1281"/>
      <c r="D1281" s="84"/>
    </row>
    <row r="1282" spans="1:4" ht="16">
      <c r="A1282" s="82">
        <v>44012</v>
      </c>
      <c r="B1282" s="83">
        <v>10302.1</v>
      </c>
      <c r="C1282"/>
      <c r="D1282" s="84"/>
    </row>
    <row r="1283" spans="1:4" ht="16">
      <c r="A1283" s="82">
        <v>44011</v>
      </c>
      <c r="B1283" s="83">
        <v>10312.4</v>
      </c>
      <c r="C1283"/>
      <c r="D1283" s="84"/>
    </row>
    <row r="1284" spans="1:4" ht="16">
      <c r="A1284" s="82">
        <v>44008</v>
      </c>
      <c r="B1284" s="83">
        <v>10383</v>
      </c>
      <c r="C1284"/>
      <c r="D1284" s="84"/>
    </row>
    <row r="1285" spans="1:4" ht="16">
      <c r="A1285" s="82">
        <v>44007</v>
      </c>
      <c r="B1285" s="83">
        <v>10288.9</v>
      </c>
      <c r="C1285"/>
      <c r="D1285" s="84"/>
    </row>
    <row r="1286" spans="1:4" ht="16">
      <c r="A1286" s="82">
        <v>44006</v>
      </c>
      <c r="B1286" s="83">
        <v>10305.299999999999</v>
      </c>
      <c r="C1286"/>
      <c r="D1286" s="84"/>
    </row>
    <row r="1287" spans="1:4" ht="16">
      <c r="A1287" s="82">
        <v>44005</v>
      </c>
      <c r="B1287" s="83">
        <v>10471</v>
      </c>
      <c r="C1287"/>
      <c r="D1287" s="84"/>
    </row>
    <row r="1288" spans="1:4" ht="16">
      <c r="A1288" s="82">
        <v>44004</v>
      </c>
      <c r="B1288" s="83">
        <v>10311.200000000001</v>
      </c>
      <c r="C1288"/>
      <c r="D1288" s="84"/>
    </row>
    <row r="1289" spans="1:4" ht="16">
      <c r="A1289" s="82">
        <v>44001</v>
      </c>
      <c r="B1289" s="83">
        <v>10244.4</v>
      </c>
      <c r="C1289"/>
      <c r="D1289" s="84"/>
    </row>
    <row r="1290" spans="1:4" ht="16">
      <c r="A1290" s="82">
        <v>44000</v>
      </c>
      <c r="B1290" s="83">
        <v>10091.65</v>
      </c>
      <c r="C1290"/>
      <c r="D1290" s="84"/>
    </row>
    <row r="1291" spans="1:4" ht="16">
      <c r="A1291" s="82">
        <v>43999</v>
      </c>
      <c r="B1291" s="83">
        <v>9881.15</v>
      </c>
      <c r="C1291"/>
      <c r="D1291" s="84"/>
    </row>
    <row r="1292" spans="1:4" ht="16">
      <c r="A1292" s="82">
        <v>43998</v>
      </c>
      <c r="B1292" s="83">
        <v>9914</v>
      </c>
      <c r="C1292"/>
      <c r="D1292" s="84"/>
    </row>
    <row r="1293" spans="1:4" ht="16">
      <c r="A1293" s="82">
        <v>43997</v>
      </c>
      <c r="B1293" s="83">
        <v>9813.7000000000007</v>
      </c>
      <c r="C1293"/>
      <c r="D1293" s="84"/>
    </row>
    <row r="1294" spans="1:4" ht="16">
      <c r="A1294" s="82">
        <v>43994</v>
      </c>
      <c r="B1294" s="83">
        <v>9972.9</v>
      </c>
      <c r="C1294"/>
      <c r="D1294" s="84"/>
    </row>
    <row r="1295" spans="1:4" ht="16">
      <c r="A1295" s="82">
        <v>43993</v>
      </c>
      <c r="B1295" s="83">
        <v>9902</v>
      </c>
      <c r="C1295"/>
      <c r="D1295" s="84"/>
    </row>
    <row r="1296" spans="1:4" ht="16">
      <c r="A1296" s="82">
        <v>43992</v>
      </c>
      <c r="B1296" s="83">
        <v>10116.15</v>
      </c>
      <c r="C1296"/>
      <c r="D1296" s="84"/>
    </row>
    <row r="1297" spans="1:4" ht="16">
      <c r="A1297" s="82">
        <v>43991</v>
      </c>
      <c r="B1297" s="83">
        <v>10046.65</v>
      </c>
      <c r="C1297"/>
      <c r="D1297" s="84"/>
    </row>
    <row r="1298" spans="1:4" ht="16">
      <c r="A1298" s="82">
        <v>43990</v>
      </c>
      <c r="B1298" s="83">
        <v>10167.450000000001</v>
      </c>
      <c r="C1298"/>
      <c r="D1298" s="84"/>
    </row>
    <row r="1299" spans="1:4" ht="16">
      <c r="A1299" s="82">
        <v>43987</v>
      </c>
      <c r="B1299" s="83">
        <v>10142.15</v>
      </c>
      <c r="C1299"/>
      <c r="D1299" s="84"/>
    </row>
    <row r="1300" spans="1:4" ht="16">
      <c r="A1300" s="82">
        <v>43986</v>
      </c>
      <c r="B1300" s="83">
        <v>10029.1</v>
      </c>
      <c r="C1300"/>
      <c r="D1300" s="84"/>
    </row>
    <row r="1301" spans="1:4" ht="16">
      <c r="A1301" s="82">
        <v>43985</v>
      </c>
      <c r="B1301" s="83">
        <v>10061.549999999999</v>
      </c>
      <c r="C1301"/>
      <c r="D1301" s="84"/>
    </row>
    <row r="1302" spans="1:4" ht="16">
      <c r="A1302" s="82">
        <v>43984</v>
      </c>
      <c r="B1302" s="83">
        <v>9979.1</v>
      </c>
      <c r="C1302"/>
      <c r="D1302" s="84"/>
    </row>
    <row r="1303" spans="1:4" ht="16">
      <c r="A1303" s="82">
        <v>43983</v>
      </c>
      <c r="B1303" s="83">
        <v>9826.15</v>
      </c>
      <c r="C1303"/>
      <c r="D1303" s="84"/>
    </row>
    <row r="1304" spans="1:4" ht="16">
      <c r="A1304" s="82">
        <v>43980</v>
      </c>
      <c r="B1304" s="83">
        <v>9580.2999999999993</v>
      </c>
      <c r="C1304"/>
      <c r="D1304" s="84"/>
    </row>
    <row r="1305" spans="1:4" ht="16">
      <c r="A1305" s="82">
        <v>43979</v>
      </c>
      <c r="B1305" s="83">
        <v>9490.1</v>
      </c>
      <c r="C1305"/>
      <c r="D1305" s="84"/>
    </row>
    <row r="1306" spans="1:4" ht="16">
      <c r="A1306" s="82">
        <v>43978</v>
      </c>
      <c r="B1306" s="83">
        <v>9314.9500000000007</v>
      </c>
      <c r="C1306"/>
      <c r="D1306" s="84"/>
    </row>
    <row r="1307" spans="1:4" ht="16">
      <c r="A1307" s="82">
        <v>43977</v>
      </c>
      <c r="B1307" s="83">
        <v>9029.0499999999993</v>
      </c>
      <c r="C1307"/>
      <c r="D1307" s="84"/>
    </row>
    <row r="1308" spans="1:4" ht="16">
      <c r="A1308" s="82">
        <v>43973</v>
      </c>
      <c r="B1308" s="83">
        <v>9039.25</v>
      </c>
      <c r="C1308"/>
      <c r="D1308" s="84"/>
    </row>
    <row r="1309" spans="1:4" ht="16">
      <c r="A1309" s="82">
        <v>43972</v>
      </c>
      <c r="B1309" s="83">
        <v>9106.25</v>
      </c>
      <c r="C1309"/>
      <c r="D1309" s="84"/>
    </row>
    <row r="1310" spans="1:4" ht="16">
      <c r="A1310" s="82">
        <v>43971</v>
      </c>
      <c r="B1310" s="83">
        <v>9066.5499999999993</v>
      </c>
      <c r="C1310"/>
      <c r="D1310" s="84"/>
    </row>
    <row r="1311" spans="1:4" ht="16">
      <c r="A1311" s="82">
        <v>43970</v>
      </c>
      <c r="B1311" s="83">
        <v>8879.1</v>
      </c>
      <c r="C1311"/>
      <c r="D1311" s="84"/>
    </row>
    <row r="1312" spans="1:4" ht="16">
      <c r="A1312" s="82">
        <v>43969</v>
      </c>
      <c r="B1312" s="83">
        <v>8823.25</v>
      </c>
      <c r="C1312"/>
      <c r="D1312" s="84"/>
    </row>
    <row r="1313" spans="1:4" ht="16">
      <c r="A1313" s="82">
        <v>43966</v>
      </c>
      <c r="B1313" s="83">
        <v>9136.85</v>
      </c>
      <c r="C1313"/>
      <c r="D1313" s="84"/>
    </row>
    <row r="1314" spans="1:4" ht="16">
      <c r="A1314" s="82">
        <v>43965</v>
      </c>
      <c r="B1314" s="83">
        <v>9142.75</v>
      </c>
      <c r="C1314"/>
      <c r="D1314" s="84"/>
    </row>
    <row r="1315" spans="1:4" ht="16">
      <c r="A1315" s="82">
        <v>43964</v>
      </c>
      <c r="B1315" s="83">
        <v>9383.5499999999993</v>
      </c>
      <c r="C1315"/>
      <c r="D1315" s="84"/>
    </row>
    <row r="1316" spans="1:4" ht="16">
      <c r="A1316" s="82">
        <v>43963</v>
      </c>
      <c r="B1316" s="83">
        <v>9196.5499999999993</v>
      </c>
      <c r="C1316"/>
      <c r="D1316" s="84"/>
    </row>
    <row r="1317" spans="1:4" ht="16">
      <c r="A1317" s="82">
        <v>43962</v>
      </c>
      <c r="B1317" s="83">
        <v>9239.2000000000007</v>
      </c>
      <c r="C1317"/>
      <c r="D1317" s="84"/>
    </row>
    <row r="1318" spans="1:4" ht="16">
      <c r="A1318" s="82">
        <v>43959</v>
      </c>
      <c r="B1318" s="83">
        <v>9251.5</v>
      </c>
      <c r="C1318"/>
      <c r="D1318" s="84"/>
    </row>
    <row r="1319" spans="1:4" ht="16">
      <c r="A1319" s="82">
        <v>43958</v>
      </c>
      <c r="B1319" s="83">
        <v>9199.0499999999993</v>
      </c>
      <c r="C1319"/>
      <c r="D1319" s="84"/>
    </row>
    <row r="1320" spans="1:4" ht="16">
      <c r="A1320" s="82">
        <v>43957</v>
      </c>
      <c r="B1320" s="83">
        <v>9270.9</v>
      </c>
      <c r="C1320"/>
      <c r="D1320" s="84"/>
    </row>
    <row r="1321" spans="1:4" ht="16">
      <c r="A1321" s="82">
        <v>43956</v>
      </c>
      <c r="B1321" s="83">
        <v>9205.6</v>
      </c>
      <c r="C1321"/>
      <c r="D1321" s="84"/>
    </row>
    <row r="1322" spans="1:4" ht="16">
      <c r="A1322" s="82">
        <v>43955</v>
      </c>
      <c r="B1322" s="83">
        <v>9293.5</v>
      </c>
      <c r="C1322"/>
      <c r="D1322" s="84"/>
    </row>
    <row r="1323" spans="1:4" ht="16">
      <c r="A1323" s="82">
        <v>43951</v>
      </c>
      <c r="B1323" s="83">
        <v>9859.9</v>
      </c>
      <c r="C1323"/>
      <c r="D1323" s="84"/>
    </row>
    <row r="1324" spans="1:4" ht="16">
      <c r="A1324" s="82">
        <v>43950</v>
      </c>
      <c r="B1324" s="83">
        <v>9553.35</v>
      </c>
      <c r="C1324"/>
      <c r="D1324" s="84"/>
    </row>
    <row r="1325" spans="1:4" ht="16">
      <c r="A1325" s="82">
        <v>43949</v>
      </c>
      <c r="B1325" s="83">
        <v>9380.9</v>
      </c>
      <c r="C1325"/>
      <c r="D1325" s="84"/>
    </row>
    <row r="1326" spans="1:4" ht="16">
      <c r="A1326" s="82">
        <v>43948</v>
      </c>
      <c r="B1326" s="83">
        <v>9282.2999999999993</v>
      </c>
      <c r="C1326"/>
      <c r="D1326" s="84"/>
    </row>
    <row r="1327" spans="1:4" ht="16">
      <c r="A1327" s="82">
        <v>43945</v>
      </c>
      <c r="B1327" s="83">
        <v>9154.4</v>
      </c>
      <c r="C1327"/>
      <c r="D1327" s="84"/>
    </row>
    <row r="1328" spans="1:4" ht="16">
      <c r="A1328" s="82">
        <v>43944</v>
      </c>
      <c r="B1328" s="83">
        <v>9313.9</v>
      </c>
      <c r="C1328"/>
      <c r="D1328" s="84"/>
    </row>
    <row r="1329" spans="1:4" ht="16">
      <c r="A1329" s="82">
        <v>43943</v>
      </c>
      <c r="B1329" s="83">
        <v>9187.2999999999993</v>
      </c>
      <c r="C1329"/>
      <c r="D1329" s="84"/>
    </row>
    <row r="1330" spans="1:4" ht="16">
      <c r="A1330" s="82">
        <v>43942</v>
      </c>
      <c r="B1330" s="83">
        <v>8981.4500000000007</v>
      </c>
      <c r="C1330"/>
      <c r="D1330" s="84"/>
    </row>
    <row r="1331" spans="1:4" ht="16">
      <c r="A1331" s="82">
        <v>43941</v>
      </c>
      <c r="B1331" s="83">
        <v>9261.85</v>
      </c>
      <c r="C1331"/>
      <c r="D1331" s="84"/>
    </row>
    <row r="1332" spans="1:4" ht="16">
      <c r="A1332" s="82">
        <v>43938</v>
      </c>
      <c r="B1332" s="83">
        <v>9266.75</v>
      </c>
      <c r="C1332"/>
      <c r="D1332" s="84"/>
    </row>
    <row r="1333" spans="1:4" ht="16">
      <c r="A1333" s="82">
        <v>43937</v>
      </c>
      <c r="B1333" s="83">
        <v>8992.7999999999993</v>
      </c>
      <c r="C1333"/>
      <c r="D1333" s="84"/>
    </row>
    <row r="1334" spans="1:4" ht="16">
      <c r="A1334" s="82">
        <v>43936</v>
      </c>
      <c r="B1334" s="83">
        <v>8925.2999999999993</v>
      </c>
      <c r="C1334"/>
      <c r="D1334" s="84"/>
    </row>
    <row r="1335" spans="1:4" ht="16">
      <c r="A1335" s="82">
        <v>43934</v>
      </c>
      <c r="B1335" s="83">
        <v>8993.85</v>
      </c>
      <c r="C1335"/>
      <c r="D1335" s="84"/>
    </row>
    <row r="1336" spans="1:4" ht="16">
      <c r="A1336" s="82">
        <v>43930</v>
      </c>
      <c r="B1336" s="83">
        <v>9111.9</v>
      </c>
      <c r="C1336"/>
      <c r="D1336" s="84"/>
    </row>
    <row r="1337" spans="1:4" ht="16">
      <c r="A1337" s="82">
        <v>43929</v>
      </c>
      <c r="B1337" s="83">
        <v>8748.75</v>
      </c>
      <c r="C1337"/>
      <c r="D1337" s="84"/>
    </row>
    <row r="1338" spans="1:4" ht="16">
      <c r="A1338" s="82">
        <v>43928</v>
      </c>
      <c r="B1338" s="83">
        <v>8792.2000000000007</v>
      </c>
      <c r="C1338"/>
      <c r="D1338" s="84"/>
    </row>
    <row r="1339" spans="1:4" ht="16">
      <c r="A1339" s="82">
        <v>43924</v>
      </c>
      <c r="B1339" s="83">
        <v>8083.8</v>
      </c>
      <c r="C1339"/>
      <c r="D1339" s="84"/>
    </row>
    <row r="1340" spans="1:4" ht="16">
      <c r="A1340" s="82">
        <v>43922</v>
      </c>
      <c r="B1340" s="83">
        <v>8253.7999999999993</v>
      </c>
      <c r="C1340"/>
      <c r="D1340" s="84"/>
    </row>
    <row r="1341" spans="1:4" ht="16">
      <c r="A1341" s="82">
        <v>43921</v>
      </c>
      <c r="B1341" s="83">
        <v>8597.75</v>
      </c>
      <c r="C1341"/>
      <c r="D1341" s="84"/>
    </row>
    <row r="1342" spans="1:4" ht="16">
      <c r="A1342" s="82">
        <v>43920</v>
      </c>
      <c r="B1342" s="83">
        <v>8281.1</v>
      </c>
      <c r="C1342"/>
      <c r="D1342" s="84"/>
    </row>
    <row r="1343" spans="1:4" ht="16">
      <c r="A1343" s="82">
        <v>43917</v>
      </c>
      <c r="B1343" s="83">
        <v>8660.25</v>
      </c>
      <c r="C1343"/>
      <c r="D1343" s="84"/>
    </row>
    <row r="1344" spans="1:4" ht="16">
      <c r="A1344" s="82">
        <v>43916</v>
      </c>
      <c r="B1344" s="83">
        <v>8641.4500000000007</v>
      </c>
      <c r="C1344"/>
      <c r="D1344" s="84"/>
    </row>
    <row r="1345" spans="1:4" ht="16">
      <c r="A1345" s="82">
        <v>43915</v>
      </c>
      <c r="B1345" s="83">
        <v>8317.85</v>
      </c>
      <c r="C1345"/>
      <c r="D1345" s="84"/>
    </row>
    <row r="1346" spans="1:4" ht="16">
      <c r="A1346" s="82">
        <v>43914</v>
      </c>
      <c r="B1346" s="83">
        <v>7801.05</v>
      </c>
      <c r="C1346"/>
      <c r="D1346" s="84"/>
    </row>
    <row r="1347" spans="1:4" ht="16">
      <c r="A1347" s="82">
        <v>43913</v>
      </c>
      <c r="B1347" s="83">
        <v>7610.25</v>
      </c>
      <c r="C1347"/>
      <c r="D1347" s="84"/>
    </row>
    <row r="1348" spans="1:4" ht="16">
      <c r="A1348" s="82">
        <v>43910</v>
      </c>
      <c r="B1348" s="83">
        <v>8745.4500000000007</v>
      </c>
      <c r="C1348"/>
      <c r="D1348" s="84"/>
    </row>
    <row r="1349" spans="1:4" ht="16">
      <c r="A1349" s="82">
        <v>43909</v>
      </c>
      <c r="B1349" s="83">
        <v>8263.4500000000007</v>
      </c>
      <c r="C1349"/>
      <c r="D1349" s="84"/>
    </row>
    <row r="1350" spans="1:4" ht="16">
      <c r="A1350" s="82">
        <v>43908</v>
      </c>
      <c r="B1350" s="83">
        <v>8468.7999999999993</v>
      </c>
      <c r="C1350"/>
      <c r="D1350" s="84"/>
    </row>
    <row r="1351" spans="1:4" ht="16">
      <c r="A1351" s="82">
        <v>43907</v>
      </c>
      <c r="B1351" s="83">
        <v>8967.0499999999993</v>
      </c>
      <c r="C1351"/>
      <c r="D1351" s="84"/>
    </row>
    <row r="1352" spans="1:4" ht="16">
      <c r="A1352" s="82">
        <v>43906</v>
      </c>
      <c r="B1352" s="83">
        <v>9197.4</v>
      </c>
      <c r="C1352"/>
      <c r="D1352" s="84"/>
    </row>
    <row r="1353" spans="1:4" ht="16">
      <c r="A1353" s="82">
        <v>43903</v>
      </c>
      <c r="B1353" s="83">
        <v>9955.2000000000007</v>
      </c>
      <c r="C1353"/>
      <c r="D1353" s="84"/>
    </row>
    <row r="1354" spans="1:4" ht="16">
      <c r="A1354" s="82">
        <v>43902</v>
      </c>
      <c r="B1354" s="83">
        <v>9590.15</v>
      </c>
      <c r="C1354"/>
      <c r="D1354" s="84"/>
    </row>
    <row r="1355" spans="1:4" ht="16">
      <c r="A1355" s="82">
        <v>43901</v>
      </c>
      <c r="B1355" s="83">
        <v>10458.4</v>
      </c>
      <c r="C1355"/>
      <c r="D1355" s="84"/>
    </row>
    <row r="1356" spans="1:4" ht="16">
      <c r="A1356" s="82">
        <v>43899</v>
      </c>
      <c r="B1356" s="83">
        <v>10451.450000000001</v>
      </c>
      <c r="C1356"/>
      <c r="D1356" s="84"/>
    </row>
    <row r="1357" spans="1:4" ht="16">
      <c r="A1357" s="82">
        <v>43896</v>
      </c>
      <c r="B1357" s="83">
        <v>10989.45</v>
      </c>
      <c r="C1357"/>
      <c r="D1357" s="84"/>
    </row>
    <row r="1358" spans="1:4" ht="16">
      <c r="A1358" s="82">
        <v>43895</v>
      </c>
      <c r="B1358" s="83">
        <v>11269</v>
      </c>
      <c r="C1358"/>
      <c r="D1358" s="84"/>
    </row>
    <row r="1359" spans="1:4" ht="16">
      <c r="A1359" s="82">
        <v>43894</v>
      </c>
      <c r="B1359" s="83">
        <v>11251</v>
      </c>
      <c r="C1359"/>
      <c r="D1359" s="84"/>
    </row>
    <row r="1360" spans="1:4" ht="16">
      <c r="A1360" s="82">
        <v>43893</v>
      </c>
      <c r="B1360" s="83">
        <v>11303.3</v>
      </c>
      <c r="C1360"/>
      <c r="D1360" s="84"/>
    </row>
    <row r="1361" spans="1:4" ht="16">
      <c r="A1361" s="82">
        <v>43892</v>
      </c>
      <c r="B1361" s="83">
        <v>11132.75</v>
      </c>
      <c r="C1361"/>
      <c r="D1361" s="84"/>
    </row>
    <row r="1362" spans="1:4" ht="16">
      <c r="A1362" s="82">
        <v>43889</v>
      </c>
      <c r="B1362" s="83">
        <v>11201.75</v>
      </c>
      <c r="C1362"/>
      <c r="D1362" s="84"/>
    </row>
    <row r="1363" spans="1:4" ht="16">
      <c r="A1363" s="82">
        <v>43888</v>
      </c>
      <c r="B1363" s="83">
        <v>11633.3</v>
      </c>
      <c r="C1363"/>
      <c r="D1363" s="84"/>
    </row>
    <row r="1364" spans="1:4" ht="16">
      <c r="A1364" s="82">
        <v>43887</v>
      </c>
      <c r="B1364" s="83">
        <v>11678.5</v>
      </c>
      <c r="C1364"/>
      <c r="D1364" s="84"/>
    </row>
    <row r="1365" spans="1:4" ht="16">
      <c r="A1365" s="82">
        <v>43886</v>
      </c>
      <c r="B1365" s="83">
        <v>11797.9</v>
      </c>
      <c r="C1365"/>
      <c r="D1365" s="84"/>
    </row>
    <row r="1366" spans="1:4" ht="16">
      <c r="A1366" s="82">
        <v>43885</v>
      </c>
      <c r="B1366" s="83">
        <v>11829.4</v>
      </c>
      <c r="C1366"/>
      <c r="D1366" s="84"/>
    </row>
    <row r="1367" spans="1:4" ht="16">
      <c r="A1367" s="82">
        <v>43881</v>
      </c>
      <c r="B1367" s="83">
        <v>12080.85</v>
      </c>
      <c r="C1367"/>
      <c r="D1367" s="84"/>
    </row>
    <row r="1368" spans="1:4" ht="16">
      <c r="A1368" s="82">
        <v>43880</v>
      </c>
      <c r="B1368" s="83">
        <v>12125.9</v>
      </c>
      <c r="C1368"/>
      <c r="D1368" s="84"/>
    </row>
    <row r="1369" spans="1:4" ht="16">
      <c r="A1369" s="82">
        <v>43879</v>
      </c>
      <c r="B1369" s="83">
        <v>11992.5</v>
      </c>
      <c r="C1369"/>
      <c r="D1369" s="84"/>
    </row>
    <row r="1370" spans="1:4" ht="16">
      <c r="A1370" s="82">
        <v>43878</v>
      </c>
      <c r="B1370" s="83">
        <v>12045.8</v>
      </c>
      <c r="C1370"/>
      <c r="D1370" s="84"/>
    </row>
    <row r="1371" spans="1:4" ht="16">
      <c r="A1371" s="82">
        <v>43875</v>
      </c>
      <c r="B1371" s="83">
        <v>12113.45</v>
      </c>
      <c r="C1371"/>
      <c r="D1371" s="84"/>
    </row>
    <row r="1372" spans="1:4" ht="16">
      <c r="A1372" s="82">
        <v>43874</v>
      </c>
      <c r="B1372" s="83">
        <v>12174.65</v>
      </c>
      <c r="C1372"/>
      <c r="D1372" s="84"/>
    </row>
    <row r="1373" spans="1:4" ht="16">
      <c r="A1373" s="82">
        <v>43873</v>
      </c>
      <c r="B1373" s="83">
        <v>12201.2</v>
      </c>
      <c r="C1373"/>
      <c r="D1373" s="84"/>
    </row>
    <row r="1374" spans="1:4" ht="16">
      <c r="A1374" s="82">
        <v>43872</v>
      </c>
      <c r="B1374" s="83">
        <v>12107.9</v>
      </c>
      <c r="C1374"/>
      <c r="D1374" s="84"/>
    </row>
    <row r="1375" spans="1:4" ht="16">
      <c r="A1375" s="82">
        <v>43871</v>
      </c>
      <c r="B1375" s="83">
        <v>12031.5</v>
      </c>
      <c r="C1375"/>
      <c r="D1375" s="84"/>
    </row>
    <row r="1376" spans="1:4" ht="16">
      <c r="A1376" s="82">
        <v>43868</v>
      </c>
      <c r="B1376" s="83">
        <v>12098.35</v>
      </c>
      <c r="C1376"/>
      <c r="D1376" s="84"/>
    </row>
    <row r="1377" spans="1:4" ht="16">
      <c r="A1377" s="82">
        <v>43867</v>
      </c>
      <c r="B1377" s="83">
        <v>12137.95</v>
      </c>
      <c r="C1377"/>
      <c r="D1377" s="84"/>
    </row>
    <row r="1378" spans="1:4" ht="16">
      <c r="A1378" s="82">
        <v>43866</v>
      </c>
      <c r="B1378" s="83">
        <v>12089.15</v>
      </c>
      <c r="C1378"/>
      <c r="D1378" s="84"/>
    </row>
    <row r="1379" spans="1:4" ht="16">
      <c r="A1379" s="82">
        <v>43865</v>
      </c>
      <c r="B1379" s="83">
        <v>11979.65</v>
      </c>
      <c r="C1379"/>
      <c r="D1379" s="84"/>
    </row>
    <row r="1380" spans="1:4" ht="16">
      <c r="A1380" s="82">
        <v>43864</v>
      </c>
      <c r="B1380" s="83">
        <v>11707.9</v>
      </c>
      <c r="C1380"/>
      <c r="D1380" s="84"/>
    </row>
    <row r="1381" spans="1:4" ht="16">
      <c r="A1381" s="82">
        <v>43862</v>
      </c>
      <c r="B1381" s="83">
        <v>11661.85</v>
      </c>
      <c r="C1381"/>
      <c r="D1381" s="84"/>
    </row>
    <row r="1382" spans="1:4" ht="16">
      <c r="A1382" s="82">
        <v>43861</v>
      </c>
      <c r="B1382" s="83">
        <v>11962.1</v>
      </c>
      <c r="C1382"/>
      <c r="D1382" s="84"/>
    </row>
    <row r="1383" spans="1:4" ht="16">
      <c r="A1383" s="82">
        <v>43860</v>
      </c>
      <c r="B1383" s="83">
        <v>12035.8</v>
      </c>
      <c r="C1383"/>
      <c r="D1383" s="84"/>
    </row>
    <row r="1384" spans="1:4" ht="16">
      <c r="A1384" s="82">
        <v>43859</v>
      </c>
      <c r="B1384" s="83">
        <v>12129.5</v>
      </c>
      <c r="C1384"/>
      <c r="D1384" s="84"/>
    </row>
    <row r="1385" spans="1:4" ht="16">
      <c r="A1385" s="82">
        <v>43858</v>
      </c>
      <c r="B1385" s="83">
        <v>12055.8</v>
      </c>
      <c r="C1385"/>
      <c r="D1385" s="84"/>
    </row>
    <row r="1386" spans="1:4" ht="16">
      <c r="A1386" s="82">
        <v>43857</v>
      </c>
      <c r="B1386" s="83">
        <v>12119</v>
      </c>
      <c r="C1386"/>
      <c r="D1386" s="84"/>
    </row>
    <row r="1387" spans="1:4" ht="16">
      <c r="A1387" s="82">
        <v>43854</v>
      </c>
      <c r="B1387" s="83">
        <v>12248.25</v>
      </c>
      <c r="C1387"/>
      <c r="D1387" s="84"/>
    </row>
    <row r="1388" spans="1:4" ht="16">
      <c r="A1388" s="82">
        <v>43853</v>
      </c>
      <c r="B1388" s="83">
        <v>12180.35</v>
      </c>
      <c r="C1388"/>
      <c r="D1388" s="84"/>
    </row>
    <row r="1389" spans="1:4" ht="16">
      <c r="A1389" s="82">
        <v>43852</v>
      </c>
      <c r="B1389" s="83">
        <v>12106.9</v>
      </c>
      <c r="C1389"/>
      <c r="D1389" s="84"/>
    </row>
    <row r="1390" spans="1:4" ht="16">
      <c r="A1390" s="82">
        <v>43851</v>
      </c>
      <c r="B1390" s="83">
        <v>12169.85</v>
      </c>
      <c r="C1390"/>
      <c r="D1390" s="84"/>
    </row>
    <row r="1391" spans="1:4" ht="16">
      <c r="A1391" s="82">
        <v>43850</v>
      </c>
      <c r="B1391" s="83">
        <v>12224.55</v>
      </c>
      <c r="C1391"/>
      <c r="D1391" s="84"/>
    </row>
    <row r="1392" spans="1:4" ht="16">
      <c r="A1392" s="82">
        <v>43847</v>
      </c>
      <c r="B1392" s="83">
        <v>12352.35</v>
      </c>
      <c r="C1392"/>
      <c r="D1392" s="84"/>
    </row>
    <row r="1393" spans="1:4" ht="16">
      <c r="A1393" s="82">
        <v>43846</v>
      </c>
      <c r="B1393" s="83">
        <v>12355.5</v>
      </c>
      <c r="C1393"/>
      <c r="D1393" s="84"/>
    </row>
    <row r="1394" spans="1:4" ht="16">
      <c r="A1394" s="82">
        <v>43845</v>
      </c>
      <c r="B1394" s="83">
        <v>12343.3</v>
      </c>
      <c r="C1394"/>
      <c r="D1394" s="84"/>
    </row>
    <row r="1395" spans="1:4" ht="16">
      <c r="A1395" s="82">
        <v>43844</v>
      </c>
      <c r="B1395" s="83">
        <v>12362.3</v>
      </c>
      <c r="C1395"/>
      <c r="D1395" s="84"/>
    </row>
    <row r="1396" spans="1:4" ht="16">
      <c r="A1396" s="82">
        <v>43843</v>
      </c>
      <c r="B1396" s="83">
        <v>12329.55</v>
      </c>
      <c r="C1396"/>
      <c r="D1396" s="84"/>
    </row>
    <row r="1397" spans="1:4" ht="16">
      <c r="A1397" s="82">
        <v>43840</v>
      </c>
      <c r="B1397" s="83">
        <v>12256.8</v>
      </c>
      <c r="C1397"/>
      <c r="D1397" s="84"/>
    </row>
    <row r="1398" spans="1:4" ht="16">
      <c r="A1398" s="82">
        <v>43839</v>
      </c>
      <c r="B1398" s="83">
        <v>12215.9</v>
      </c>
      <c r="C1398"/>
      <c r="D1398" s="84"/>
    </row>
    <row r="1399" spans="1:4" ht="16">
      <c r="A1399" s="82">
        <v>43838</v>
      </c>
      <c r="B1399" s="83">
        <v>12025.35</v>
      </c>
      <c r="C1399"/>
      <c r="D1399" s="84"/>
    </row>
    <row r="1400" spans="1:4" ht="16">
      <c r="A1400" s="82">
        <v>43837</v>
      </c>
      <c r="B1400" s="83">
        <v>12052.95</v>
      </c>
      <c r="C1400"/>
      <c r="D1400" s="84"/>
    </row>
    <row r="1401" spans="1:4" ht="16">
      <c r="A1401" s="82">
        <v>43836</v>
      </c>
      <c r="B1401" s="83">
        <v>11993.05</v>
      </c>
      <c r="C1401"/>
      <c r="D1401" s="84"/>
    </row>
    <row r="1402" spans="1:4" ht="16">
      <c r="A1402" s="82">
        <v>43833</v>
      </c>
      <c r="B1402" s="83">
        <v>12226.65</v>
      </c>
      <c r="C1402"/>
      <c r="D1402" s="84"/>
    </row>
    <row r="1403" spans="1:4" ht="16">
      <c r="A1403" s="82">
        <v>43832</v>
      </c>
      <c r="B1403" s="83">
        <v>12282.2</v>
      </c>
      <c r="C1403"/>
      <c r="D1403" s="84"/>
    </row>
    <row r="1404" spans="1:4" ht="16">
      <c r="A1404" s="82">
        <v>43831</v>
      </c>
      <c r="B1404" s="83">
        <v>12182.5</v>
      </c>
      <c r="C1404"/>
      <c r="D1404" s="84"/>
    </row>
    <row r="1405" spans="1:4" ht="16">
      <c r="A1405" s="82">
        <v>43830</v>
      </c>
      <c r="B1405" s="83">
        <v>12168.45</v>
      </c>
      <c r="C1405"/>
      <c r="D1405" s="84"/>
    </row>
    <row r="1406" spans="1:4" ht="16">
      <c r="A1406" s="82">
        <v>43829</v>
      </c>
      <c r="B1406" s="83">
        <v>12255.85</v>
      </c>
      <c r="C1406"/>
      <c r="D1406" s="84"/>
    </row>
    <row r="1407" spans="1:4" ht="16">
      <c r="A1407" s="82">
        <v>43826</v>
      </c>
      <c r="B1407" s="83">
        <v>12245.8</v>
      </c>
      <c r="C1407"/>
      <c r="D1407" s="84"/>
    </row>
    <row r="1408" spans="1:4" ht="16">
      <c r="A1408" s="82">
        <v>43825</v>
      </c>
      <c r="B1408" s="83">
        <v>12126.55</v>
      </c>
      <c r="C1408"/>
      <c r="D1408" s="84"/>
    </row>
    <row r="1409" spans="1:4" ht="16">
      <c r="A1409" s="82">
        <v>43823</v>
      </c>
      <c r="B1409" s="83">
        <v>12214.55</v>
      </c>
      <c r="C1409"/>
      <c r="D1409" s="84"/>
    </row>
    <row r="1410" spans="1:4" ht="16">
      <c r="A1410" s="82">
        <v>43822</v>
      </c>
      <c r="B1410" s="83">
        <v>12262.75</v>
      </c>
      <c r="C1410"/>
      <c r="D1410" s="84"/>
    </row>
    <row r="1411" spans="1:4" ht="16">
      <c r="A1411" s="82">
        <v>43819</v>
      </c>
      <c r="B1411" s="83">
        <v>12271.8</v>
      </c>
      <c r="C1411"/>
      <c r="D1411" s="84"/>
    </row>
    <row r="1412" spans="1:4" ht="16">
      <c r="A1412" s="82">
        <v>43818</v>
      </c>
      <c r="B1412" s="83">
        <v>12259.7</v>
      </c>
      <c r="C1412"/>
      <c r="D1412" s="84"/>
    </row>
    <row r="1413" spans="1:4" ht="16">
      <c r="A1413" s="82">
        <v>43817</v>
      </c>
      <c r="B1413" s="83">
        <v>12221.65</v>
      </c>
      <c r="C1413"/>
      <c r="D1413" s="84"/>
    </row>
    <row r="1414" spans="1:4" ht="16">
      <c r="A1414" s="82">
        <v>43816</v>
      </c>
      <c r="B1414" s="83">
        <v>12165</v>
      </c>
      <c r="C1414"/>
      <c r="D1414" s="84"/>
    </row>
    <row r="1415" spans="1:4" ht="16">
      <c r="A1415" s="82">
        <v>43815</v>
      </c>
      <c r="B1415" s="83">
        <v>12053.95</v>
      </c>
      <c r="C1415"/>
      <c r="D1415" s="84"/>
    </row>
    <row r="1416" spans="1:4" ht="16">
      <c r="A1416" s="82">
        <v>43812</v>
      </c>
      <c r="B1416" s="83">
        <v>12086.7</v>
      </c>
      <c r="C1416"/>
      <c r="D1416" s="84"/>
    </row>
    <row r="1417" spans="1:4" ht="16">
      <c r="A1417" s="82">
        <v>43811</v>
      </c>
      <c r="B1417" s="83">
        <v>11971.8</v>
      </c>
      <c r="C1417"/>
      <c r="D1417" s="84"/>
    </row>
    <row r="1418" spans="1:4" ht="16">
      <c r="A1418" s="82">
        <v>43810</v>
      </c>
      <c r="B1418" s="83">
        <v>11910.15</v>
      </c>
      <c r="C1418"/>
      <c r="D1418" s="84"/>
    </row>
    <row r="1419" spans="1:4" ht="16">
      <c r="A1419" s="82">
        <v>43809</v>
      </c>
      <c r="B1419" s="83">
        <v>11856.8</v>
      </c>
      <c r="C1419"/>
      <c r="D1419" s="84"/>
    </row>
    <row r="1420" spans="1:4" ht="16">
      <c r="A1420" s="82">
        <v>43808</v>
      </c>
      <c r="B1420" s="83">
        <v>11937.5</v>
      </c>
      <c r="C1420"/>
      <c r="D1420" s="84"/>
    </row>
    <row r="1421" spans="1:4" ht="16">
      <c r="A1421" s="82">
        <v>43805</v>
      </c>
      <c r="B1421" s="83">
        <v>11921.5</v>
      </c>
      <c r="C1421"/>
      <c r="D1421" s="84"/>
    </row>
    <row r="1422" spans="1:4" ht="16">
      <c r="A1422" s="82">
        <v>43804</v>
      </c>
      <c r="B1422" s="83">
        <v>12018.4</v>
      </c>
      <c r="C1422"/>
      <c r="D1422" s="84"/>
    </row>
    <row r="1423" spans="1:4" ht="16">
      <c r="A1423" s="82">
        <v>43803</v>
      </c>
      <c r="B1423" s="83">
        <v>12043.2</v>
      </c>
      <c r="C1423"/>
      <c r="D1423" s="84"/>
    </row>
    <row r="1424" spans="1:4" ht="16">
      <c r="A1424" s="82">
        <v>43802</v>
      </c>
      <c r="B1424" s="83">
        <v>11994.2</v>
      </c>
      <c r="C1424"/>
      <c r="D1424" s="84"/>
    </row>
    <row r="1425" spans="1:4" ht="16">
      <c r="A1425" s="82">
        <v>43801</v>
      </c>
      <c r="B1425" s="83">
        <v>12048.2</v>
      </c>
      <c r="C1425"/>
      <c r="D1425" s="84"/>
    </row>
    <row r="1426" spans="1:4" ht="16">
      <c r="A1426" s="82">
        <v>43798</v>
      </c>
      <c r="B1426" s="83">
        <v>12056.05</v>
      </c>
      <c r="C1426"/>
      <c r="D1426" s="84"/>
    </row>
    <row r="1427" spans="1:4" ht="16">
      <c r="A1427" s="82">
        <v>43797</v>
      </c>
      <c r="B1427" s="83">
        <v>12151.15</v>
      </c>
      <c r="C1427"/>
      <c r="D1427" s="84"/>
    </row>
    <row r="1428" spans="1:4" ht="16">
      <c r="A1428" s="82">
        <v>43796</v>
      </c>
      <c r="B1428" s="83">
        <v>12100.7</v>
      </c>
      <c r="C1428"/>
      <c r="D1428" s="84"/>
    </row>
    <row r="1429" spans="1:4" ht="16">
      <c r="A1429" s="82">
        <v>43795</v>
      </c>
      <c r="B1429" s="83">
        <v>12037.7</v>
      </c>
      <c r="C1429"/>
      <c r="D1429" s="84"/>
    </row>
    <row r="1430" spans="1:4" ht="16">
      <c r="A1430" s="82">
        <v>43794</v>
      </c>
      <c r="B1430" s="83">
        <v>12073.75</v>
      </c>
      <c r="C1430"/>
      <c r="D1430" s="84"/>
    </row>
    <row r="1431" spans="1:4" ht="16">
      <c r="A1431" s="82">
        <v>43791</v>
      </c>
      <c r="B1431" s="83">
        <v>11914.4</v>
      </c>
      <c r="C1431"/>
      <c r="D1431" s="84"/>
    </row>
    <row r="1432" spans="1:4" ht="16">
      <c r="A1432" s="82">
        <v>43790</v>
      </c>
      <c r="B1432" s="83">
        <v>11968.4</v>
      </c>
      <c r="C1432"/>
      <c r="D1432" s="84"/>
    </row>
    <row r="1433" spans="1:4" ht="16">
      <c r="A1433" s="82">
        <v>43789</v>
      </c>
      <c r="B1433" s="83">
        <v>11999.1</v>
      </c>
      <c r="C1433"/>
      <c r="D1433" s="84"/>
    </row>
    <row r="1434" spans="1:4" ht="16">
      <c r="A1434" s="82">
        <v>43788</v>
      </c>
      <c r="B1434" s="83">
        <v>11940.1</v>
      </c>
      <c r="C1434"/>
      <c r="D1434" s="84"/>
    </row>
    <row r="1435" spans="1:4" ht="16">
      <c r="A1435" s="82">
        <v>43787</v>
      </c>
      <c r="B1435" s="83">
        <v>11884.5</v>
      </c>
      <c r="C1435"/>
      <c r="D1435" s="84"/>
    </row>
    <row r="1436" spans="1:4" ht="16">
      <c r="A1436" s="82">
        <v>43784</v>
      </c>
      <c r="B1436" s="83">
        <v>11895.45</v>
      </c>
      <c r="C1436"/>
      <c r="D1436" s="84"/>
    </row>
    <row r="1437" spans="1:4" ht="16">
      <c r="A1437" s="82">
        <v>43783</v>
      </c>
      <c r="B1437" s="83">
        <v>11872.1</v>
      </c>
      <c r="C1437"/>
      <c r="D1437" s="84"/>
    </row>
    <row r="1438" spans="1:4" ht="16">
      <c r="A1438" s="82">
        <v>43782</v>
      </c>
      <c r="B1438" s="83">
        <v>11840.45</v>
      </c>
      <c r="C1438"/>
      <c r="D1438" s="84"/>
    </row>
    <row r="1439" spans="1:4" ht="16">
      <c r="A1439" s="82">
        <v>43780</v>
      </c>
      <c r="B1439" s="83">
        <v>11913.45</v>
      </c>
      <c r="C1439"/>
      <c r="D1439" s="84"/>
    </row>
    <row r="1440" spans="1:4" ht="16">
      <c r="A1440" s="82">
        <v>43777</v>
      </c>
      <c r="B1440" s="83">
        <v>11908.15</v>
      </c>
      <c r="C1440"/>
      <c r="D1440" s="84"/>
    </row>
    <row r="1441" spans="1:4" ht="16">
      <c r="A1441" s="82">
        <v>43776</v>
      </c>
      <c r="B1441" s="83">
        <v>12012.05</v>
      </c>
      <c r="C1441"/>
      <c r="D1441" s="84"/>
    </row>
    <row r="1442" spans="1:4" ht="16">
      <c r="A1442" s="82">
        <v>43775</v>
      </c>
      <c r="B1442" s="83">
        <v>11966.05</v>
      </c>
      <c r="C1442"/>
      <c r="D1442" s="84"/>
    </row>
    <row r="1443" spans="1:4" ht="16">
      <c r="A1443" s="82">
        <v>43774</v>
      </c>
      <c r="B1443" s="83">
        <v>11917.2</v>
      </c>
      <c r="C1443"/>
      <c r="D1443" s="84"/>
    </row>
    <row r="1444" spans="1:4" ht="16">
      <c r="A1444" s="82">
        <v>43773</v>
      </c>
      <c r="B1444" s="83">
        <v>11941.3</v>
      </c>
      <c r="C1444"/>
      <c r="D1444" s="84"/>
    </row>
    <row r="1445" spans="1:4" ht="16">
      <c r="A1445" s="82">
        <v>43770</v>
      </c>
      <c r="B1445" s="83">
        <v>11890.6</v>
      </c>
      <c r="C1445"/>
      <c r="D1445" s="84"/>
    </row>
    <row r="1446" spans="1:4" ht="16">
      <c r="A1446" s="82">
        <v>43769</v>
      </c>
      <c r="B1446" s="83">
        <v>11877.45</v>
      </c>
      <c r="C1446"/>
      <c r="D1446" s="84"/>
    </row>
    <row r="1447" spans="1:4" ht="16">
      <c r="A1447" s="82">
        <v>43768</v>
      </c>
      <c r="B1447" s="83">
        <v>11844.1</v>
      </c>
      <c r="C1447"/>
      <c r="D1447" s="84"/>
    </row>
    <row r="1448" spans="1:4" ht="16">
      <c r="A1448" s="82">
        <v>43767</v>
      </c>
      <c r="B1448" s="83">
        <v>11786.85</v>
      </c>
      <c r="C1448"/>
      <c r="D1448" s="84"/>
    </row>
    <row r="1449" spans="1:4" ht="16">
      <c r="A1449" s="82">
        <v>43765</v>
      </c>
      <c r="B1449" s="83">
        <v>11627.15</v>
      </c>
      <c r="C1449"/>
      <c r="D1449" s="84"/>
    </row>
    <row r="1450" spans="1:4" ht="16">
      <c r="A1450" s="82">
        <v>43763</v>
      </c>
      <c r="B1450" s="83">
        <v>11583.9</v>
      </c>
      <c r="C1450"/>
      <c r="D1450" s="84"/>
    </row>
    <row r="1451" spans="1:4" ht="16">
      <c r="A1451" s="82">
        <v>43762</v>
      </c>
      <c r="B1451" s="83">
        <v>11582.6</v>
      </c>
      <c r="C1451"/>
      <c r="D1451" s="84"/>
    </row>
    <row r="1452" spans="1:4" ht="16">
      <c r="A1452" s="82">
        <v>43761</v>
      </c>
      <c r="B1452" s="83">
        <v>11604.1</v>
      </c>
      <c r="C1452"/>
      <c r="D1452" s="84"/>
    </row>
    <row r="1453" spans="1:4" ht="16">
      <c r="A1453" s="82">
        <v>43760</v>
      </c>
      <c r="B1453" s="83">
        <v>11588.35</v>
      </c>
      <c r="C1453"/>
      <c r="D1453" s="84"/>
    </row>
    <row r="1454" spans="1:4" ht="16">
      <c r="A1454" s="82">
        <v>43756</v>
      </c>
      <c r="B1454" s="83">
        <v>11661.85</v>
      </c>
      <c r="C1454"/>
      <c r="D1454" s="84"/>
    </row>
    <row r="1455" spans="1:4" ht="16">
      <c r="A1455" s="82">
        <v>43755</v>
      </c>
      <c r="B1455" s="83">
        <v>11586.35</v>
      </c>
      <c r="C1455"/>
      <c r="D1455" s="84"/>
    </row>
    <row r="1456" spans="1:4" ht="16">
      <c r="A1456" s="82">
        <v>43754</v>
      </c>
      <c r="B1456" s="83">
        <v>11464</v>
      </c>
      <c r="C1456"/>
      <c r="D1456" s="84"/>
    </row>
    <row r="1457" spans="1:4" ht="16">
      <c r="A1457" s="82">
        <v>43753</v>
      </c>
      <c r="B1457" s="83">
        <v>11428.3</v>
      </c>
      <c r="C1457"/>
      <c r="D1457" s="84"/>
    </row>
    <row r="1458" spans="1:4" ht="16">
      <c r="A1458" s="82">
        <v>43752</v>
      </c>
      <c r="B1458" s="83">
        <v>11341.15</v>
      </c>
      <c r="C1458"/>
      <c r="D1458" s="84"/>
    </row>
    <row r="1459" spans="1:4" ht="16">
      <c r="A1459" s="82">
        <v>43749</v>
      </c>
      <c r="B1459" s="83">
        <v>11305.05</v>
      </c>
      <c r="C1459"/>
      <c r="D1459" s="84"/>
    </row>
    <row r="1460" spans="1:4" ht="16">
      <c r="A1460" s="82">
        <v>43748</v>
      </c>
      <c r="B1460" s="83">
        <v>11234.55</v>
      </c>
      <c r="C1460"/>
      <c r="D1460" s="84"/>
    </row>
    <row r="1461" spans="1:4" ht="16">
      <c r="A1461" s="82">
        <v>43747</v>
      </c>
      <c r="B1461" s="83">
        <v>11313.3</v>
      </c>
      <c r="C1461"/>
      <c r="D1461" s="84"/>
    </row>
    <row r="1462" spans="1:4" ht="16">
      <c r="A1462" s="82">
        <v>43745</v>
      </c>
      <c r="B1462" s="83">
        <v>11126.4</v>
      </c>
      <c r="C1462"/>
      <c r="D1462" s="84"/>
    </row>
    <row r="1463" spans="1:4" ht="16">
      <c r="A1463" s="82">
        <v>43742</v>
      </c>
      <c r="B1463" s="83">
        <v>11174.75</v>
      </c>
      <c r="C1463"/>
      <c r="D1463" s="84"/>
    </row>
    <row r="1464" spans="1:4" ht="16">
      <c r="A1464" s="82">
        <v>43741</v>
      </c>
      <c r="B1464" s="83">
        <v>11314</v>
      </c>
      <c r="C1464"/>
      <c r="D1464" s="84"/>
    </row>
    <row r="1465" spans="1:4" ht="16">
      <c r="A1465" s="82">
        <v>43739</v>
      </c>
      <c r="B1465" s="83">
        <v>11359.9</v>
      </c>
      <c r="C1465"/>
      <c r="D1465" s="84"/>
    </row>
    <row r="1466" spans="1:4" ht="16">
      <c r="A1466" s="82">
        <v>43738</v>
      </c>
      <c r="B1466" s="83">
        <v>11474.45</v>
      </c>
      <c r="C1466"/>
      <c r="D1466" s="84"/>
    </row>
    <row r="1467" spans="1:4" ht="16">
      <c r="A1467" s="82">
        <v>43735</v>
      </c>
      <c r="B1467" s="83">
        <v>11512.4</v>
      </c>
      <c r="C1467"/>
      <c r="D1467" s="84"/>
    </row>
    <row r="1468" spans="1:4" ht="16">
      <c r="A1468" s="82">
        <v>43734</v>
      </c>
      <c r="B1468" s="83">
        <v>11571.2</v>
      </c>
      <c r="C1468"/>
      <c r="D1468" s="84"/>
    </row>
    <row r="1469" spans="1:4" ht="16">
      <c r="A1469" s="82">
        <v>43733</v>
      </c>
      <c r="B1469" s="83">
        <v>11440.2</v>
      </c>
      <c r="C1469"/>
      <c r="D1469" s="84"/>
    </row>
    <row r="1470" spans="1:4" ht="16">
      <c r="A1470" s="82">
        <v>43732</v>
      </c>
      <c r="B1470" s="83">
        <v>11588.2</v>
      </c>
      <c r="C1470"/>
      <c r="D1470" s="84"/>
    </row>
    <row r="1471" spans="1:4" ht="16">
      <c r="A1471" s="82">
        <v>43731</v>
      </c>
      <c r="B1471" s="83">
        <v>11600.2</v>
      </c>
      <c r="C1471"/>
      <c r="D1471" s="84"/>
    </row>
    <row r="1472" spans="1:4" ht="16">
      <c r="A1472" s="82">
        <v>43728</v>
      </c>
      <c r="B1472" s="83">
        <v>11274.2</v>
      </c>
      <c r="C1472"/>
      <c r="D1472" s="84"/>
    </row>
    <row r="1473" spans="1:4" ht="16">
      <c r="A1473" s="82">
        <v>43727</v>
      </c>
      <c r="B1473" s="83">
        <v>10704.8</v>
      </c>
      <c r="C1473"/>
      <c r="D1473" s="84"/>
    </row>
    <row r="1474" spans="1:4" ht="16">
      <c r="A1474" s="82">
        <v>43726</v>
      </c>
      <c r="B1474" s="83">
        <v>10840.65</v>
      </c>
      <c r="C1474"/>
      <c r="D1474" s="84"/>
    </row>
    <row r="1475" spans="1:4" ht="16">
      <c r="A1475" s="82">
        <v>43725</v>
      </c>
      <c r="B1475" s="83">
        <v>10817.6</v>
      </c>
      <c r="C1475"/>
      <c r="D1475" s="84"/>
    </row>
    <row r="1476" spans="1:4" ht="16">
      <c r="A1476" s="82">
        <v>43724</v>
      </c>
      <c r="B1476" s="83">
        <v>11003.5</v>
      </c>
      <c r="C1476"/>
      <c r="D1476" s="84"/>
    </row>
    <row r="1477" spans="1:4" ht="16">
      <c r="A1477" s="82">
        <v>43721</v>
      </c>
      <c r="B1477" s="83">
        <v>11075.9</v>
      </c>
      <c r="C1477"/>
      <c r="D1477" s="84"/>
    </row>
    <row r="1478" spans="1:4" ht="16">
      <c r="A1478" s="82">
        <v>43720</v>
      </c>
      <c r="B1478" s="83">
        <v>10982.8</v>
      </c>
      <c r="C1478"/>
      <c r="D1478" s="84"/>
    </row>
    <row r="1479" spans="1:4" ht="16">
      <c r="A1479" s="82">
        <v>43719</v>
      </c>
      <c r="B1479" s="83">
        <v>11035.7</v>
      </c>
      <c r="C1479"/>
      <c r="D1479" s="84"/>
    </row>
    <row r="1480" spans="1:4" ht="16">
      <c r="A1480" s="82">
        <v>43717</v>
      </c>
      <c r="B1480" s="83">
        <v>11003.05</v>
      </c>
      <c r="C1480"/>
      <c r="D1480" s="84"/>
    </row>
    <row r="1481" spans="1:4" ht="16">
      <c r="A1481" s="82">
        <v>43714</v>
      </c>
      <c r="B1481" s="83">
        <v>10946.2</v>
      </c>
      <c r="C1481"/>
      <c r="D1481" s="84"/>
    </row>
    <row r="1482" spans="1:4" ht="16">
      <c r="A1482" s="82">
        <v>43713</v>
      </c>
      <c r="B1482" s="83">
        <v>10847.9</v>
      </c>
      <c r="C1482"/>
      <c r="D1482" s="84"/>
    </row>
    <row r="1483" spans="1:4" ht="16">
      <c r="A1483" s="82">
        <v>43712</v>
      </c>
      <c r="B1483" s="83">
        <v>10844.65</v>
      </c>
      <c r="C1483"/>
      <c r="D1483" s="84"/>
    </row>
    <row r="1484" spans="1:4" ht="16">
      <c r="A1484" s="82">
        <v>43711</v>
      </c>
      <c r="B1484" s="83">
        <v>10797.9</v>
      </c>
      <c r="C1484"/>
      <c r="D1484" s="84"/>
    </row>
    <row r="1485" spans="1:4" ht="16">
      <c r="A1485" s="82">
        <v>43707</v>
      </c>
      <c r="B1485" s="83">
        <v>11023.25</v>
      </c>
      <c r="C1485"/>
      <c r="D1485" s="84"/>
    </row>
    <row r="1486" spans="1:4" ht="16">
      <c r="A1486" s="82">
        <v>43706</v>
      </c>
      <c r="B1486" s="83">
        <v>10948.3</v>
      </c>
      <c r="C1486"/>
      <c r="D1486" s="84"/>
    </row>
    <row r="1487" spans="1:4" ht="16">
      <c r="A1487" s="82">
        <v>43705</v>
      </c>
      <c r="B1487" s="83">
        <v>11046.1</v>
      </c>
      <c r="C1487"/>
      <c r="D1487" s="84"/>
    </row>
    <row r="1488" spans="1:4" ht="16">
      <c r="A1488" s="82">
        <v>43704</v>
      </c>
      <c r="B1488" s="83">
        <v>11105.35</v>
      </c>
      <c r="C1488"/>
      <c r="D1488" s="84"/>
    </row>
    <row r="1489" spans="1:4" ht="16">
      <c r="A1489" s="82">
        <v>43703</v>
      </c>
      <c r="B1489" s="83">
        <v>11057.85</v>
      </c>
      <c r="C1489"/>
      <c r="D1489" s="84"/>
    </row>
    <row r="1490" spans="1:4" ht="16">
      <c r="A1490" s="82">
        <v>43700</v>
      </c>
      <c r="B1490" s="83">
        <v>10829.35</v>
      </c>
      <c r="C1490"/>
      <c r="D1490" s="84"/>
    </row>
    <row r="1491" spans="1:4" ht="16">
      <c r="A1491" s="82">
        <v>43699</v>
      </c>
      <c r="B1491" s="83">
        <v>10741.35</v>
      </c>
      <c r="C1491"/>
      <c r="D1491" s="84"/>
    </row>
    <row r="1492" spans="1:4" ht="16">
      <c r="A1492" s="82">
        <v>43698</v>
      </c>
      <c r="B1492" s="83">
        <v>10918.7</v>
      </c>
      <c r="C1492"/>
      <c r="D1492" s="84"/>
    </row>
    <row r="1493" spans="1:4" ht="16">
      <c r="A1493" s="82">
        <v>43697</v>
      </c>
      <c r="B1493" s="83">
        <v>11017</v>
      </c>
      <c r="C1493"/>
      <c r="D1493" s="84"/>
    </row>
    <row r="1494" spans="1:4" ht="16">
      <c r="A1494" s="82">
        <v>43696</v>
      </c>
      <c r="B1494" s="83">
        <v>11053.9</v>
      </c>
      <c r="C1494"/>
      <c r="D1494" s="84"/>
    </row>
    <row r="1495" spans="1:4" ht="16">
      <c r="A1495" s="82">
        <v>43693</v>
      </c>
      <c r="B1495" s="83">
        <v>11047.8</v>
      </c>
      <c r="C1495"/>
      <c r="D1495" s="84"/>
    </row>
    <row r="1496" spans="1:4" ht="16">
      <c r="A1496" s="82">
        <v>43691</v>
      </c>
      <c r="B1496" s="83">
        <v>11029.4</v>
      </c>
      <c r="C1496"/>
      <c r="D1496" s="84"/>
    </row>
    <row r="1497" spans="1:4" ht="16">
      <c r="A1497" s="82">
        <v>43690</v>
      </c>
      <c r="B1497" s="83">
        <v>10925.85</v>
      </c>
      <c r="C1497"/>
      <c r="D1497" s="84"/>
    </row>
    <row r="1498" spans="1:4" ht="16">
      <c r="A1498" s="82">
        <v>43686</v>
      </c>
      <c r="B1498" s="83">
        <v>11109.65</v>
      </c>
      <c r="C1498"/>
      <c r="D1498" s="84"/>
    </row>
    <row r="1499" spans="1:4" ht="16">
      <c r="A1499" s="82">
        <v>43685</v>
      </c>
      <c r="B1499" s="83">
        <v>11032.45</v>
      </c>
      <c r="C1499"/>
      <c r="D1499" s="84"/>
    </row>
    <row r="1500" spans="1:4" ht="16">
      <c r="A1500" s="82">
        <v>43684</v>
      </c>
      <c r="B1500" s="83">
        <v>10855.5</v>
      </c>
      <c r="C1500"/>
      <c r="D1500" s="84"/>
    </row>
    <row r="1501" spans="1:4" ht="16">
      <c r="A1501" s="82">
        <v>43683</v>
      </c>
      <c r="B1501" s="83">
        <v>10948.25</v>
      </c>
      <c r="C1501"/>
      <c r="D1501" s="84"/>
    </row>
    <row r="1502" spans="1:4" ht="16">
      <c r="A1502" s="82">
        <v>43682</v>
      </c>
      <c r="B1502" s="83">
        <v>10862.6</v>
      </c>
      <c r="C1502"/>
      <c r="D1502" s="84"/>
    </row>
    <row r="1503" spans="1:4" ht="16">
      <c r="A1503" s="82">
        <v>43679</v>
      </c>
      <c r="B1503" s="83">
        <v>10997.35</v>
      </c>
      <c r="C1503"/>
      <c r="D1503" s="84"/>
    </row>
    <row r="1504" spans="1:4" ht="16">
      <c r="A1504" s="82">
        <v>43678</v>
      </c>
      <c r="B1504" s="83">
        <v>10980</v>
      </c>
      <c r="C1504"/>
      <c r="D1504" s="84"/>
    </row>
    <row r="1505" spans="1:4" ht="16">
      <c r="A1505" s="82">
        <v>43677</v>
      </c>
      <c r="B1505" s="83">
        <v>11118</v>
      </c>
      <c r="C1505"/>
      <c r="D1505" s="84"/>
    </row>
    <row r="1506" spans="1:4" ht="16">
      <c r="A1506" s="82">
        <v>43676</v>
      </c>
      <c r="B1506" s="83">
        <v>11085.4</v>
      </c>
      <c r="C1506"/>
      <c r="D1506" s="84"/>
    </row>
    <row r="1507" spans="1:4" ht="16">
      <c r="A1507" s="82">
        <v>43675</v>
      </c>
      <c r="B1507" s="83">
        <v>11189.2</v>
      </c>
      <c r="C1507"/>
      <c r="D1507" s="84"/>
    </row>
    <row r="1508" spans="1:4" ht="16">
      <c r="A1508" s="82">
        <v>43672</v>
      </c>
      <c r="B1508" s="83">
        <v>11284.3</v>
      </c>
      <c r="C1508"/>
      <c r="D1508" s="84"/>
    </row>
    <row r="1509" spans="1:4" ht="16">
      <c r="A1509" s="82">
        <v>43671</v>
      </c>
      <c r="B1509" s="83">
        <v>11252.15</v>
      </c>
      <c r="C1509"/>
      <c r="D1509" s="84"/>
    </row>
    <row r="1510" spans="1:4" ht="16">
      <c r="A1510" s="82">
        <v>43670</v>
      </c>
      <c r="B1510" s="83">
        <v>11271.3</v>
      </c>
      <c r="C1510"/>
      <c r="D1510" s="84"/>
    </row>
    <row r="1511" spans="1:4" ht="16">
      <c r="A1511" s="82">
        <v>43669</v>
      </c>
      <c r="B1511" s="83">
        <v>11331.05</v>
      </c>
      <c r="C1511"/>
      <c r="D1511" s="84"/>
    </row>
    <row r="1512" spans="1:4" ht="16">
      <c r="A1512" s="82">
        <v>43668</v>
      </c>
      <c r="B1512" s="83">
        <v>11346.2</v>
      </c>
      <c r="C1512"/>
      <c r="D1512" s="84"/>
    </row>
    <row r="1513" spans="1:4" ht="16">
      <c r="A1513" s="82">
        <v>43665</v>
      </c>
      <c r="B1513" s="83">
        <v>11419.25</v>
      </c>
      <c r="C1513"/>
      <c r="D1513" s="84"/>
    </row>
    <row r="1514" spans="1:4" ht="16">
      <c r="A1514" s="82">
        <v>43664</v>
      </c>
      <c r="B1514" s="83">
        <v>11596.9</v>
      </c>
      <c r="C1514"/>
      <c r="D1514" s="84"/>
    </row>
    <row r="1515" spans="1:4" ht="16">
      <c r="A1515" s="82">
        <v>43663</v>
      </c>
      <c r="B1515" s="83">
        <v>11687.5</v>
      </c>
      <c r="C1515"/>
      <c r="D1515" s="84"/>
    </row>
    <row r="1516" spans="1:4" ht="16">
      <c r="A1516" s="82">
        <v>43662</v>
      </c>
      <c r="B1516" s="83">
        <v>11662.6</v>
      </c>
      <c r="C1516"/>
      <c r="D1516" s="84"/>
    </row>
    <row r="1517" spans="1:4" ht="16">
      <c r="A1517" s="82">
        <v>43661</v>
      </c>
      <c r="B1517" s="83">
        <v>11588.35</v>
      </c>
      <c r="C1517"/>
      <c r="D1517" s="84"/>
    </row>
    <row r="1518" spans="1:4" ht="16">
      <c r="A1518" s="82">
        <v>43658</v>
      </c>
      <c r="B1518" s="83">
        <v>11552.5</v>
      </c>
      <c r="C1518"/>
      <c r="D1518" s="84"/>
    </row>
    <row r="1519" spans="1:4" ht="16">
      <c r="A1519" s="82">
        <v>43657</v>
      </c>
      <c r="B1519" s="83">
        <v>11582.9</v>
      </c>
      <c r="C1519"/>
      <c r="D1519" s="84"/>
    </row>
    <row r="1520" spans="1:4" ht="16">
      <c r="A1520" s="82">
        <v>43656</v>
      </c>
      <c r="B1520" s="83">
        <v>11498.9</v>
      </c>
      <c r="C1520"/>
      <c r="D1520" s="84"/>
    </row>
    <row r="1521" spans="1:4" ht="16">
      <c r="A1521" s="82">
        <v>43655</v>
      </c>
      <c r="B1521" s="83">
        <v>11555.9</v>
      </c>
      <c r="C1521"/>
      <c r="D1521" s="84"/>
    </row>
    <row r="1522" spans="1:4" ht="16">
      <c r="A1522" s="82">
        <v>43654</v>
      </c>
      <c r="B1522" s="83">
        <v>11558.6</v>
      </c>
      <c r="C1522"/>
      <c r="D1522" s="84"/>
    </row>
    <row r="1523" spans="1:4" ht="16">
      <c r="A1523" s="82">
        <v>43651</v>
      </c>
      <c r="B1523" s="83">
        <v>11811.15</v>
      </c>
      <c r="C1523"/>
      <c r="D1523" s="84"/>
    </row>
    <row r="1524" spans="1:4" ht="16">
      <c r="A1524" s="82">
        <v>43650</v>
      </c>
      <c r="B1524" s="83">
        <v>11946.75</v>
      </c>
      <c r="C1524"/>
      <c r="D1524" s="84"/>
    </row>
    <row r="1525" spans="1:4" ht="16">
      <c r="A1525" s="82">
        <v>43649</v>
      </c>
      <c r="B1525" s="83">
        <v>11916.75</v>
      </c>
      <c r="C1525"/>
      <c r="D1525" s="84"/>
    </row>
    <row r="1526" spans="1:4" ht="16">
      <c r="A1526" s="82">
        <v>43648</v>
      </c>
      <c r="B1526" s="83">
        <v>11910.3</v>
      </c>
      <c r="C1526"/>
      <c r="D1526" s="84"/>
    </row>
    <row r="1527" spans="1:4" ht="16">
      <c r="A1527" s="82">
        <v>43647</v>
      </c>
      <c r="B1527" s="83">
        <v>11865.6</v>
      </c>
      <c r="C1527"/>
      <c r="D1527" s="84"/>
    </row>
    <row r="1528" spans="1:4" ht="16">
      <c r="A1528" s="82">
        <v>43644</v>
      </c>
      <c r="B1528" s="83">
        <v>11788.85</v>
      </c>
      <c r="C1528"/>
      <c r="D1528" s="84"/>
    </row>
    <row r="1529" spans="1:4" ht="16">
      <c r="A1529" s="82">
        <v>43643</v>
      </c>
      <c r="B1529" s="83">
        <v>11841.55</v>
      </c>
      <c r="C1529"/>
      <c r="D1529" s="84"/>
    </row>
    <row r="1530" spans="1:4" ht="16">
      <c r="A1530" s="82">
        <v>43642</v>
      </c>
      <c r="B1530" s="83">
        <v>11847.55</v>
      </c>
      <c r="C1530"/>
      <c r="D1530" s="84"/>
    </row>
    <row r="1531" spans="1:4" ht="16">
      <c r="A1531" s="82">
        <v>43641</v>
      </c>
      <c r="B1531" s="83">
        <v>11796.45</v>
      </c>
      <c r="C1531"/>
      <c r="D1531" s="84"/>
    </row>
    <row r="1532" spans="1:4" ht="16">
      <c r="A1532" s="82">
        <v>43640</v>
      </c>
      <c r="B1532" s="83">
        <v>11699.65</v>
      </c>
      <c r="C1532"/>
      <c r="D1532" s="84"/>
    </row>
    <row r="1533" spans="1:4" ht="16">
      <c r="A1533" s="82">
        <v>43637</v>
      </c>
      <c r="B1533" s="83">
        <v>11724.1</v>
      </c>
      <c r="C1533"/>
      <c r="D1533" s="84"/>
    </row>
    <row r="1534" spans="1:4" ht="16">
      <c r="A1534" s="82">
        <v>43636</v>
      </c>
      <c r="B1534" s="83">
        <v>11831.75</v>
      </c>
      <c r="C1534"/>
      <c r="D1534" s="84"/>
    </row>
    <row r="1535" spans="1:4" ht="16">
      <c r="A1535" s="82">
        <v>43635</v>
      </c>
      <c r="B1535" s="83">
        <v>11691.45</v>
      </c>
      <c r="C1535"/>
      <c r="D1535" s="84"/>
    </row>
    <row r="1536" spans="1:4" ht="16">
      <c r="A1536" s="82">
        <v>43634</v>
      </c>
      <c r="B1536" s="83">
        <v>11691.5</v>
      </c>
      <c r="C1536"/>
      <c r="D1536" s="84"/>
    </row>
    <row r="1537" spans="1:4" ht="16">
      <c r="A1537" s="82">
        <v>43633</v>
      </c>
      <c r="B1537" s="83">
        <v>11672.15</v>
      </c>
      <c r="C1537"/>
      <c r="D1537" s="84"/>
    </row>
    <row r="1538" spans="1:4" ht="16">
      <c r="A1538" s="82">
        <v>43630</v>
      </c>
      <c r="B1538" s="83">
        <v>11823.3</v>
      </c>
      <c r="C1538"/>
      <c r="D1538" s="84"/>
    </row>
    <row r="1539" spans="1:4" ht="16">
      <c r="A1539" s="82">
        <v>43629</v>
      </c>
      <c r="B1539" s="83">
        <v>11914.05</v>
      </c>
      <c r="C1539"/>
      <c r="D1539" s="84"/>
    </row>
    <row r="1540" spans="1:4" ht="16">
      <c r="A1540" s="82">
        <v>43628</v>
      </c>
      <c r="B1540" s="83">
        <v>11906.2</v>
      </c>
      <c r="C1540"/>
      <c r="D1540" s="84"/>
    </row>
    <row r="1541" spans="1:4" ht="16">
      <c r="A1541" s="82">
        <v>43627</v>
      </c>
      <c r="B1541" s="83">
        <v>11965.6</v>
      </c>
      <c r="C1541"/>
      <c r="D1541" s="84"/>
    </row>
    <row r="1542" spans="1:4" ht="16">
      <c r="A1542" s="82">
        <v>43626</v>
      </c>
      <c r="B1542" s="83">
        <v>11922.7</v>
      </c>
      <c r="C1542"/>
      <c r="D1542" s="84"/>
    </row>
    <row r="1543" spans="1:4" ht="16">
      <c r="A1543" s="82">
        <v>43623</v>
      </c>
      <c r="B1543" s="83">
        <v>11870.65</v>
      </c>
      <c r="C1543"/>
      <c r="D1543" s="84"/>
    </row>
    <row r="1544" spans="1:4" ht="16">
      <c r="A1544" s="82">
        <v>43622</v>
      </c>
      <c r="B1544" s="83">
        <v>11843.75</v>
      </c>
      <c r="C1544"/>
      <c r="D1544" s="84"/>
    </row>
    <row r="1545" spans="1:4" ht="16">
      <c r="A1545" s="82">
        <v>43620</v>
      </c>
      <c r="B1545" s="83">
        <v>12021.65</v>
      </c>
      <c r="C1545"/>
      <c r="D1545" s="84"/>
    </row>
    <row r="1546" spans="1:4" ht="16">
      <c r="A1546" s="82">
        <v>43619</v>
      </c>
      <c r="B1546" s="83">
        <v>12088.55</v>
      </c>
      <c r="C1546"/>
      <c r="D1546" s="84"/>
    </row>
    <row r="1547" spans="1:4" ht="16">
      <c r="A1547" s="82">
        <v>43616</v>
      </c>
      <c r="B1547" s="83">
        <v>11922.8</v>
      </c>
      <c r="C1547"/>
      <c r="D1547" s="84"/>
    </row>
    <row r="1548" spans="1:4" ht="16">
      <c r="A1548" s="82">
        <v>43615</v>
      </c>
      <c r="B1548" s="83">
        <v>11945.9</v>
      </c>
      <c r="C1548"/>
      <c r="D1548" s="84"/>
    </row>
    <row r="1549" spans="1:4" ht="16">
      <c r="A1549" s="82">
        <v>43614</v>
      </c>
      <c r="B1549" s="83">
        <v>11861.1</v>
      </c>
      <c r="C1549"/>
      <c r="D1549" s="84"/>
    </row>
    <row r="1550" spans="1:4" ht="16">
      <c r="A1550" s="82">
        <v>43613</v>
      </c>
      <c r="B1550" s="83">
        <v>11928.75</v>
      </c>
      <c r="C1550"/>
      <c r="D1550" s="84"/>
    </row>
    <row r="1551" spans="1:4" ht="16">
      <c r="A1551" s="82">
        <v>43612</v>
      </c>
      <c r="B1551" s="83">
        <v>11924.75</v>
      </c>
      <c r="C1551"/>
      <c r="D1551" s="84"/>
    </row>
    <row r="1552" spans="1:4" ht="16">
      <c r="A1552" s="82">
        <v>43609</v>
      </c>
      <c r="B1552" s="83">
        <v>11844.1</v>
      </c>
      <c r="C1552"/>
      <c r="D1552" s="84"/>
    </row>
    <row r="1553" spans="1:4" ht="16">
      <c r="A1553" s="82">
        <v>43608</v>
      </c>
      <c r="B1553" s="83">
        <v>11657.05</v>
      </c>
      <c r="C1553"/>
      <c r="D1553" s="84"/>
    </row>
    <row r="1554" spans="1:4" ht="16">
      <c r="A1554" s="82">
        <v>43607</v>
      </c>
      <c r="B1554" s="83">
        <v>11737.9</v>
      </c>
      <c r="C1554"/>
      <c r="D1554" s="84"/>
    </row>
    <row r="1555" spans="1:4" ht="16">
      <c r="A1555" s="82">
        <v>43606</v>
      </c>
      <c r="B1555" s="83">
        <v>11709.1</v>
      </c>
      <c r="C1555"/>
      <c r="D1555" s="84"/>
    </row>
    <row r="1556" spans="1:4" ht="16">
      <c r="A1556" s="82">
        <v>43605</v>
      </c>
      <c r="B1556" s="83">
        <v>11828.25</v>
      </c>
      <c r="C1556"/>
      <c r="D1556" s="84"/>
    </row>
    <row r="1557" spans="1:4" ht="16">
      <c r="A1557" s="82">
        <v>43602</v>
      </c>
      <c r="B1557" s="83">
        <v>11407.15</v>
      </c>
      <c r="C1557"/>
      <c r="D1557" s="84"/>
    </row>
    <row r="1558" spans="1:4" ht="16">
      <c r="A1558" s="82">
        <v>43601</v>
      </c>
      <c r="B1558" s="83">
        <v>11257.1</v>
      </c>
      <c r="C1558"/>
      <c r="D1558" s="84"/>
    </row>
    <row r="1559" spans="1:4" ht="16">
      <c r="A1559" s="82">
        <v>43600</v>
      </c>
      <c r="B1559" s="83">
        <v>11157</v>
      </c>
      <c r="C1559"/>
      <c r="D1559" s="84"/>
    </row>
    <row r="1560" spans="1:4" ht="16">
      <c r="A1560" s="82">
        <v>43599</v>
      </c>
      <c r="B1560" s="83">
        <v>11222.05</v>
      </c>
      <c r="C1560"/>
      <c r="D1560" s="84"/>
    </row>
    <row r="1561" spans="1:4" ht="16">
      <c r="A1561" s="82">
        <v>43598</v>
      </c>
      <c r="B1561" s="83">
        <v>11148.2</v>
      </c>
      <c r="C1561"/>
      <c r="D1561" s="84"/>
    </row>
    <row r="1562" spans="1:4" ht="16">
      <c r="A1562" s="82">
        <v>43595</v>
      </c>
      <c r="B1562" s="83">
        <v>11278.9</v>
      </c>
      <c r="C1562"/>
      <c r="D1562" s="84"/>
    </row>
    <row r="1563" spans="1:4" ht="16">
      <c r="A1563" s="82">
        <v>43594</v>
      </c>
      <c r="B1563" s="83">
        <v>11301.8</v>
      </c>
      <c r="C1563"/>
      <c r="D1563" s="84"/>
    </row>
    <row r="1564" spans="1:4" ht="16">
      <c r="A1564" s="82">
        <v>43593</v>
      </c>
      <c r="B1564" s="83">
        <v>11359.45</v>
      </c>
      <c r="C1564"/>
      <c r="D1564" s="84"/>
    </row>
    <row r="1565" spans="1:4" ht="16">
      <c r="A1565" s="82">
        <v>43592</v>
      </c>
      <c r="B1565" s="83">
        <v>11497.9</v>
      </c>
      <c r="C1565"/>
      <c r="D1565" s="84"/>
    </row>
    <row r="1566" spans="1:4" ht="16">
      <c r="A1566" s="82">
        <v>43591</v>
      </c>
      <c r="B1566" s="83">
        <v>11598.25</v>
      </c>
      <c r="C1566"/>
      <c r="D1566" s="84"/>
    </row>
    <row r="1567" spans="1:4" ht="16">
      <c r="A1567" s="82">
        <v>43588</v>
      </c>
      <c r="B1567" s="83">
        <v>11712.25</v>
      </c>
      <c r="C1567"/>
      <c r="D1567" s="84"/>
    </row>
    <row r="1568" spans="1:4" ht="16">
      <c r="A1568" s="82">
        <v>43587</v>
      </c>
      <c r="B1568" s="83">
        <v>11724.75</v>
      </c>
      <c r="C1568"/>
      <c r="D1568" s="84"/>
    </row>
    <row r="1569" spans="1:4" ht="16">
      <c r="A1569" s="82">
        <v>43585</v>
      </c>
      <c r="B1569" s="83">
        <v>11748.15</v>
      </c>
      <c r="C1569"/>
      <c r="D1569" s="84"/>
    </row>
    <row r="1570" spans="1:4" ht="16">
      <c r="A1570" s="82">
        <v>43581</v>
      </c>
      <c r="B1570" s="83">
        <v>11754.65</v>
      </c>
      <c r="C1570"/>
      <c r="D1570" s="84"/>
    </row>
    <row r="1571" spans="1:4" ht="16">
      <c r="A1571" s="82">
        <v>43580</v>
      </c>
      <c r="B1571" s="83">
        <v>11641.8</v>
      </c>
      <c r="C1571"/>
      <c r="D1571" s="84"/>
    </row>
    <row r="1572" spans="1:4" ht="16">
      <c r="A1572" s="82">
        <v>43579</v>
      </c>
      <c r="B1572" s="83">
        <v>11726.15</v>
      </c>
      <c r="C1572"/>
      <c r="D1572" s="84"/>
    </row>
    <row r="1573" spans="1:4" ht="16">
      <c r="A1573" s="82">
        <v>43578</v>
      </c>
      <c r="B1573" s="83">
        <v>11575.95</v>
      </c>
      <c r="C1573"/>
      <c r="D1573" s="84"/>
    </row>
    <row r="1574" spans="1:4" ht="16">
      <c r="A1574" s="82">
        <v>43577</v>
      </c>
      <c r="B1574" s="83">
        <v>11594.45</v>
      </c>
      <c r="C1574"/>
      <c r="D1574" s="84"/>
    </row>
    <row r="1575" spans="1:4" ht="16">
      <c r="A1575" s="82">
        <v>43573</v>
      </c>
      <c r="B1575" s="83">
        <v>11752.8</v>
      </c>
      <c r="C1575"/>
      <c r="D1575" s="84"/>
    </row>
    <row r="1576" spans="1:4" ht="16">
      <c r="A1576" s="82">
        <v>43571</v>
      </c>
      <c r="B1576" s="83">
        <v>11787.15</v>
      </c>
      <c r="C1576"/>
      <c r="D1576" s="84"/>
    </row>
    <row r="1577" spans="1:4" ht="16">
      <c r="A1577" s="82">
        <v>43570</v>
      </c>
      <c r="B1577" s="83">
        <v>11690.35</v>
      </c>
      <c r="C1577"/>
      <c r="D1577" s="84"/>
    </row>
    <row r="1578" spans="1:4" ht="16">
      <c r="A1578" s="82">
        <v>43567</v>
      </c>
      <c r="B1578" s="83">
        <v>11643.45</v>
      </c>
      <c r="C1578"/>
      <c r="D1578" s="84"/>
    </row>
    <row r="1579" spans="1:4" ht="16">
      <c r="A1579" s="82">
        <v>43566</v>
      </c>
      <c r="B1579" s="83">
        <v>11596.7</v>
      </c>
      <c r="C1579"/>
      <c r="D1579" s="84"/>
    </row>
    <row r="1580" spans="1:4" ht="16">
      <c r="A1580" s="82">
        <v>43565</v>
      </c>
      <c r="B1580" s="83">
        <v>11584.3</v>
      </c>
      <c r="C1580"/>
      <c r="D1580" s="84"/>
    </row>
    <row r="1581" spans="1:4" ht="16">
      <c r="A1581" s="82">
        <v>43564</v>
      </c>
      <c r="B1581" s="83">
        <v>11671.95</v>
      </c>
      <c r="C1581"/>
      <c r="D1581" s="84"/>
    </row>
    <row r="1582" spans="1:4" ht="16">
      <c r="A1582" s="82">
        <v>43563</v>
      </c>
      <c r="B1582" s="83">
        <v>11604.5</v>
      </c>
      <c r="C1582"/>
      <c r="D1582" s="84"/>
    </row>
    <row r="1583" spans="1:4" ht="16">
      <c r="A1583" s="82">
        <v>43560</v>
      </c>
      <c r="B1583" s="83">
        <v>11665.95</v>
      </c>
      <c r="C1583"/>
      <c r="D1583" s="84"/>
    </row>
    <row r="1584" spans="1:4" ht="16">
      <c r="A1584" s="82">
        <v>43559</v>
      </c>
      <c r="B1584" s="83">
        <v>11598</v>
      </c>
      <c r="C1584"/>
      <c r="D1584" s="84"/>
    </row>
    <row r="1585" spans="1:4" ht="16">
      <c r="A1585" s="82">
        <v>43558</v>
      </c>
      <c r="B1585" s="83">
        <v>11643.95</v>
      </c>
      <c r="C1585"/>
      <c r="D1585" s="84"/>
    </row>
    <row r="1586" spans="1:4" ht="16">
      <c r="A1586" s="82">
        <v>43557</v>
      </c>
      <c r="B1586" s="83">
        <v>11713.2</v>
      </c>
      <c r="C1586"/>
      <c r="D1586" s="84"/>
    </row>
    <row r="1587" spans="1:4" ht="16">
      <c r="A1587" s="82">
        <v>43556</v>
      </c>
      <c r="B1587" s="83">
        <v>11669.15</v>
      </c>
      <c r="C1587"/>
      <c r="D1587" s="84"/>
    </row>
    <row r="1588" spans="1:4" ht="16">
      <c r="A1588" s="82">
        <v>43553</v>
      </c>
      <c r="B1588" s="83">
        <v>11623.9</v>
      </c>
      <c r="C1588"/>
      <c r="D1588" s="84"/>
    </row>
    <row r="1589" spans="1:4" ht="16">
      <c r="A1589" s="82">
        <v>43552</v>
      </c>
      <c r="B1589" s="83">
        <v>11570</v>
      </c>
      <c r="C1589"/>
      <c r="D1589" s="84"/>
    </row>
    <row r="1590" spans="1:4" ht="16">
      <c r="A1590" s="82">
        <v>43551</v>
      </c>
      <c r="B1590" s="83">
        <v>11445.05</v>
      </c>
      <c r="C1590"/>
      <c r="D1590" s="84"/>
    </row>
    <row r="1591" spans="1:4" ht="16">
      <c r="A1591" s="82">
        <v>43550</v>
      </c>
      <c r="B1591" s="83">
        <v>11483.25</v>
      </c>
      <c r="C1591"/>
      <c r="D1591" s="84"/>
    </row>
    <row r="1592" spans="1:4" ht="16">
      <c r="A1592" s="82">
        <v>43549</v>
      </c>
      <c r="B1592" s="83">
        <v>11354.25</v>
      </c>
      <c r="C1592"/>
      <c r="D1592" s="84"/>
    </row>
    <row r="1593" spans="1:4" ht="16">
      <c r="A1593" s="82">
        <v>43546</v>
      </c>
      <c r="B1593" s="83">
        <v>11456.9</v>
      </c>
      <c r="C1593"/>
      <c r="D1593" s="84"/>
    </row>
    <row r="1594" spans="1:4" ht="16">
      <c r="A1594" s="82">
        <v>43544</v>
      </c>
      <c r="B1594" s="83">
        <v>11521.05</v>
      </c>
      <c r="C1594"/>
      <c r="D1594" s="84"/>
    </row>
    <row r="1595" spans="1:4" ht="16">
      <c r="A1595" s="82">
        <v>43543</v>
      </c>
      <c r="B1595" s="83">
        <v>11532.4</v>
      </c>
      <c r="C1595"/>
      <c r="D1595" s="84"/>
    </row>
    <row r="1596" spans="1:4" ht="16">
      <c r="A1596" s="82">
        <v>43542</v>
      </c>
      <c r="B1596" s="83">
        <v>11462.2</v>
      </c>
      <c r="C1596"/>
      <c r="D1596" s="84"/>
    </row>
    <row r="1597" spans="1:4" ht="16">
      <c r="A1597" s="82">
        <v>43539</v>
      </c>
      <c r="B1597" s="83">
        <v>11426.85</v>
      </c>
      <c r="C1597"/>
      <c r="D1597" s="84"/>
    </row>
    <row r="1598" spans="1:4" ht="16">
      <c r="A1598" s="82">
        <v>43538</v>
      </c>
      <c r="B1598" s="83">
        <v>11343.25</v>
      </c>
      <c r="C1598"/>
      <c r="D1598" s="84"/>
    </row>
    <row r="1599" spans="1:4" ht="16">
      <c r="A1599" s="82">
        <v>43537</v>
      </c>
      <c r="B1599" s="83">
        <v>11341.7</v>
      </c>
      <c r="C1599"/>
      <c r="D1599" s="84"/>
    </row>
    <row r="1600" spans="1:4" ht="16">
      <c r="A1600" s="82">
        <v>43536</v>
      </c>
      <c r="B1600" s="83">
        <v>11301.2</v>
      </c>
      <c r="C1600"/>
      <c r="D1600" s="84"/>
    </row>
    <row r="1601" spans="1:4" ht="16">
      <c r="A1601" s="82">
        <v>43535</v>
      </c>
      <c r="B1601" s="83">
        <v>11168.05</v>
      </c>
      <c r="C1601"/>
      <c r="D1601" s="84"/>
    </row>
    <row r="1602" spans="1:4" ht="16">
      <c r="A1602" s="82">
        <v>43532</v>
      </c>
      <c r="B1602" s="83">
        <v>11035.4</v>
      </c>
      <c r="C1602"/>
      <c r="D1602" s="84"/>
    </row>
    <row r="1603" spans="1:4" ht="16">
      <c r="A1603" s="82">
        <v>43531</v>
      </c>
      <c r="B1603" s="83">
        <v>11058.2</v>
      </c>
      <c r="C1603"/>
      <c r="D1603" s="84"/>
    </row>
    <row r="1604" spans="1:4" ht="16">
      <c r="A1604" s="82">
        <v>43530</v>
      </c>
      <c r="B1604" s="83">
        <v>11053</v>
      </c>
      <c r="C1604"/>
      <c r="D1604" s="84"/>
    </row>
    <row r="1605" spans="1:4" ht="16">
      <c r="A1605" s="82">
        <v>43529</v>
      </c>
      <c r="B1605" s="83">
        <v>10987.45</v>
      </c>
      <c r="C1605"/>
      <c r="D1605" s="84"/>
    </row>
    <row r="1606" spans="1:4" ht="16">
      <c r="A1606" s="82">
        <v>43525</v>
      </c>
      <c r="B1606" s="83">
        <v>10863.5</v>
      </c>
      <c r="C1606"/>
      <c r="D1606" s="84"/>
    </row>
    <row r="1607" spans="1:4" ht="16">
      <c r="A1607" s="82">
        <v>43524</v>
      </c>
      <c r="B1607" s="83">
        <v>10792.5</v>
      </c>
      <c r="C1607"/>
      <c r="D1607" s="84"/>
    </row>
    <row r="1608" spans="1:4" ht="16">
      <c r="A1608" s="82">
        <v>43523</v>
      </c>
      <c r="B1608" s="83">
        <v>10806.65</v>
      </c>
      <c r="C1608"/>
      <c r="D1608" s="84"/>
    </row>
    <row r="1609" spans="1:4" ht="16">
      <c r="A1609" s="82">
        <v>43522</v>
      </c>
      <c r="B1609" s="83">
        <v>10835.3</v>
      </c>
      <c r="C1609"/>
      <c r="D1609" s="84"/>
    </row>
    <row r="1610" spans="1:4" ht="16">
      <c r="A1610" s="82">
        <v>43521</v>
      </c>
      <c r="B1610" s="83">
        <v>10880.1</v>
      </c>
      <c r="C1610"/>
      <c r="D1610" s="84"/>
    </row>
    <row r="1611" spans="1:4" ht="16">
      <c r="A1611" s="82">
        <v>43518</v>
      </c>
      <c r="B1611" s="83">
        <v>10791.65</v>
      </c>
      <c r="C1611"/>
      <c r="D1611" s="84"/>
    </row>
    <row r="1612" spans="1:4" ht="16">
      <c r="A1612" s="82">
        <v>43517</v>
      </c>
      <c r="B1612" s="83">
        <v>10789.85</v>
      </c>
      <c r="C1612"/>
      <c r="D1612" s="84"/>
    </row>
    <row r="1613" spans="1:4" ht="16">
      <c r="A1613" s="82">
        <v>43516</v>
      </c>
      <c r="B1613" s="83">
        <v>10735.45</v>
      </c>
      <c r="C1613"/>
      <c r="D1613" s="84"/>
    </row>
    <row r="1614" spans="1:4" ht="16">
      <c r="A1614" s="82">
        <v>43515</v>
      </c>
      <c r="B1614" s="83">
        <v>10604.35</v>
      </c>
      <c r="C1614"/>
      <c r="D1614" s="84"/>
    </row>
    <row r="1615" spans="1:4" ht="16">
      <c r="A1615" s="82">
        <v>43514</v>
      </c>
      <c r="B1615" s="83">
        <v>10640.95</v>
      </c>
      <c r="C1615"/>
      <c r="D1615" s="84"/>
    </row>
    <row r="1616" spans="1:4" ht="16">
      <c r="A1616" s="82">
        <v>43511</v>
      </c>
      <c r="B1616" s="83">
        <v>10724.4</v>
      </c>
      <c r="C1616"/>
      <c r="D1616" s="84"/>
    </row>
    <row r="1617" spans="1:4" ht="16">
      <c r="A1617" s="82">
        <v>43510</v>
      </c>
      <c r="B1617" s="83">
        <v>10746.05</v>
      </c>
      <c r="C1617"/>
      <c r="D1617" s="84"/>
    </row>
    <row r="1618" spans="1:4" ht="16">
      <c r="A1618" s="82">
        <v>43509</v>
      </c>
      <c r="B1618" s="83">
        <v>10793.65</v>
      </c>
      <c r="C1618"/>
      <c r="D1618" s="84"/>
    </row>
    <row r="1619" spans="1:4" ht="16">
      <c r="A1619" s="82">
        <v>43508</v>
      </c>
      <c r="B1619" s="83">
        <v>10831.4</v>
      </c>
      <c r="C1619"/>
      <c r="D1619" s="84"/>
    </row>
    <row r="1620" spans="1:4" ht="16">
      <c r="A1620" s="82">
        <v>43507</v>
      </c>
      <c r="B1620" s="83">
        <v>10888.8</v>
      </c>
      <c r="C1620"/>
      <c r="D1620" s="84"/>
    </row>
    <row r="1621" spans="1:4" ht="16">
      <c r="A1621" s="82">
        <v>43504</v>
      </c>
      <c r="B1621" s="83">
        <v>10943.6</v>
      </c>
      <c r="C1621"/>
      <c r="D1621" s="84"/>
    </row>
    <row r="1622" spans="1:4" ht="16">
      <c r="A1622" s="82">
        <v>43503</v>
      </c>
      <c r="B1622" s="83">
        <v>11069.4</v>
      </c>
      <c r="C1622"/>
      <c r="D1622" s="84"/>
    </row>
    <row r="1623" spans="1:4" ht="16">
      <c r="A1623" s="82">
        <v>43502</v>
      </c>
      <c r="B1623" s="83">
        <v>11062.45</v>
      </c>
      <c r="C1623"/>
      <c r="D1623" s="84"/>
    </row>
    <row r="1624" spans="1:4" ht="16">
      <c r="A1624" s="82">
        <v>43501</v>
      </c>
      <c r="B1624" s="83">
        <v>10934.35</v>
      </c>
      <c r="C1624"/>
      <c r="D1624" s="84"/>
    </row>
    <row r="1625" spans="1:4" ht="16">
      <c r="A1625" s="82">
        <v>43500</v>
      </c>
      <c r="B1625" s="83">
        <v>10912.25</v>
      </c>
      <c r="C1625"/>
      <c r="D1625" s="84"/>
    </row>
    <row r="1626" spans="1:4" ht="16">
      <c r="A1626" s="82">
        <v>43497</v>
      </c>
      <c r="B1626" s="83">
        <v>10893.65</v>
      </c>
      <c r="C1626"/>
      <c r="D1626" s="84"/>
    </row>
    <row r="1627" spans="1:4" ht="16">
      <c r="A1627" s="82">
        <v>43496</v>
      </c>
      <c r="B1627" s="83">
        <v>10830.95</v>
      </c>
      <c r="C1627"/>
      <c r="D1627" s="84"/>
    </row>
    <row r="1628" spans="1:4" ht="16">
      <c r="A1628" s="82">
        <v>43495</v>
      </c>
      <c r="B1628" s="83">
        <v>10651.8</v>
      </c>
      <c r="C1628"/>
      <c r="D1628" s="84"/>
    </row>
    <row r="1629" spans="1:4" ht="16">
      <c r="A1629" s="82">
        <v>43494</v>
      </c>
      <c r="B1629" s="83">
        <v>10652.2</v>
      </c>
      <c r="C1629"/>
      <c r="D1629" s="84"/>
    </row>
    <row r="1630" spans="1:4" ht="16">
      <c r="A1630" s="82">
        <v>43493</v>
      </c>
      <c r="B1630" s="83">
        <v>10661.55</v>
      </c>
      <c r="C1630"/>
      <c r="D1630" s="84"/>
    </row>
    <row r="1631" spans="1:4" ht="16">
      <c r="A1631" s="82">
        <v>43490</v>
      </c>
      <c r="B1631" s="83">
        <v>10780.55</v>
      </c>
      <c r="C1631"/>
      <c r="D1631" s="84"/>
    </row>
    <row r="1632" spans="1:4" ht="16">
      <c r="A1632" s="82">
        <v>43489</v>
      </c>
      <c r="B1632" s="83">
        <v>10849.8</v>
      </c>
      <c r="C1632"/>
      <c r="D1632" s="84"/>
    </row>
    <row r="1633" spans="1:4" ht="16">
      <c r="A1633" s="82">
        <v>43488</v>
      </c>
      <c r="B1633" s="83">
        <v>10831.5</v>
      </c>
      <c r="C1633"/>
      <c r="D1633" s="84"/>
    </row>
    <row r="1634" spans="1:4" ht="16">
      <c r="A1634" s="82">
        <v>43487</v>
      </c>
      <c r="B1634" s="83">
        <v>10922.75</v>
      </c>
      <c r="C1634"/>
      <c r="D1634" s="84"/>
    </row>
    <row r="1635" spans="1:4" ht="16">
      <c r="A1635" s="82">
        <v>43486</v>
      </c>
      <c r="B1635" s="83">
        <v>10961.85</v>
      </c>
      <c r="C1635"/>
      <c r="D1635" s="84"/>
    </row>
    <row r="1636" spans="1:4" ht="16">
      <c r="A1636" s="82">
        <v>43483</v>
      </c>
      <c r="B1636" s="83">
        <v>10906.95</v>
      </c>
      <c r="C1636"/>
      <c r="D1636" s="84"/>
    </row>
    <row r="1637" spans="1:4" ht="16">
      <c r="A1637" s="82">
        <v>43482</v>
      </c>
      <c r="B1637" s="83">
        <v>10905.2</v>
      </c>
      <c r="C1637"/>
      <c r="D1637" s="84"/>
    </row>
    <row r="1638" spans="1:4" ht="16">
      <c r="A1638" s="82">
        <v>43481</v>
      </c>
      <c r="B1638" s="83">
        <v>10890.3</v>
      </c>
      <c r="C1638"/>
      <c r="D1638" s="84"/>
    </row>
    <row r="1639" spans="1:4" ht="16">
      <c r="A1639" s="82">
        <v>43480</v>
      </c>
      <c r="B1639" s="83">
        <v>10886.8</v>
      </c>
      <c r="C1639"/>
      <c r="D1639" s="84"/>
    </row>
    <row r="1640" spans="1:4" ht="16">
      <c r="A1640" s="82">
        <v>43479</v>
      </c>
      <c r="B1640" s="83">
        <v>10737.6</v>
      </c>
      <c r="C1640"/>
      <c r="D1640" s="84"/>
    </row>
    <row r="1641" spans="1:4" ht="16">
      <c r="A1641" s="82">
        <v>43476</v>
      </c>
      <c r="B1641" s="83">
        <v>10794.95</v>
      </c>
      <c r="C1641"/>
      <c r="D1641" s="84"/>
    </row>
    <row r="1642" spans="1:4" ht="16">
      <c r="A1642" s="82">
        <v>43475</v>
      </c>
      <c r="B1642" s="83">
        <v>10821.6</v>
      </c>
      <c r="C1642"/>
      <c r="D1642" s="84"/>
    </row>
    <row r="1643" spans="1:4" ht="16">
      <c r="A1643" s="82">
        <v>43474</v>
      </c>
      <c r="B1643" s="83">
        <v>10855.15</v>
      </c>
      <c r="C1643"/>
      <c r="D1643" s="84"/>
    </row>
    <row r="1644" spans="1:4" ht="16">
      <c r="A1644" s="82">
        <v>43473</v>
      </c>
      <c r="B1644" s="83">
        <v>10802.15</v>
      </c>
      <c r="C1644"/>
      <c r="D1644" s="84"/>
    </row>
    <row r="1645" spans="1:4" ht="16">
      <c r="A1645" s="82">
        <v>43472</v>
      </c>
      <c r="B1645" s="83">
        <v>10771.8</v>
      </c>
      <c r="C1645"/>
      <c r="D1645" s="84"/>
    </row>
    <row r="1646" spans="1:4" ht="16">
      <c r="A1646" s="82">
        <v>43469</v>
      </c>
      <c r="B1646" s="83">
        <v>10727.35</v>
      </c>
      <c r="C1646"/>
      <c r="D1646" s="84"/>
    </row>
    <row r="1647" spans="1:4" ht="16">
      <c r="A1647" s="82">
        <v>43468</v>
      </c>
      <c r="B1647" s="83">
        <v>10672.25</v>
      </c>
      <c r="C1647"/>
      <c r="D1647" s="84"/>
    </row>
    <row r="1648" spans="1:4" ht="16">
      <c r="A1648" s="82">
        <v>43467</v>
      </c>
      <c r="B1648" s="83">
        <v>10792.5</v>
      </c>
      <c r="C1648"/>
      <c r="D1648" s="84"/>
    </row>
    <row r="1649" spans="1:4" ht="16">
      <c r="A1649" s="82">
        <v>43466</v>
      </c>
      <c r="B1649" s="83">
        <v>10910.1</v>
      </c>
      <c r="C1649"/>
      <c r="D1649" s="84"/>
    </row>
    <row r="1650" spans="1:4" ht="16">
      <c r="A1650" s="82">
        <v>43465</v>
      </c>
      <c r="B1650" s="83">
        <v>10862.55</v>
      </c>
      <c r="C1650"/>
      <c r="D1650" s="84"/>
    </row>
    <row r="1651" spans="1:4" ht="16">
      <c r="A1651" s="82">
        <v>43462</v>
      </c>
      <c r="B1651" s="83">
        <v>10859.9</v>
      </c>
      <c r="C1651"/>
      <c r="D1651" s="84"/>
    </row>
    <row r="1652" spans="1:4" ht="16">
      <c r="A1652" s="82">
        <v>43461</v>
      </c>
      <c r="B1652" s="83">
        <v>10779.8</v>
      </c>
      <c r="C1652"/>
      <c r="D1652" s="84"/>
    </row>
    <row r="1653" spans="1:4" ht="16">
      <c r="A1653" s="82">
        <v>43460</v>
      </c>
      <c r="B1653" s="83">
        <v>10729.85</v>
      </c>
      <c r="C1653"/>
      <c r="D1653" s="84"/>
    </row>
    <row r="1654" spans="1:4" ht="16">
      <c r="A1654" s="82">
        <v>43458</v>
      </c>
      <c r="B1654" s="83">
        <v>10663.5</v>
      </c>
      <c r="C1654"/>
      <c r="D1654" s="84"/>
    </row>
    <row r="1655" spans="1:4" ht="16">
      <c r="A1655" s="82">
        <v>43455</v>
      </c>
      <c r="B1655" s="83">
        <v>10754</v>
      </c>
      <c r="C1655"/>
      <c r="D1655" s="84"/>
    </row>
    <row r="1656" spans="1:4" ht="16">
      <c r="A1656" s="82">
        <v>43454</v>
      </c>
      <c r="B1656" s="83">
        <v>10951.7</v>
      </c>
      <c r="C1656"/>
      <c r="D1656" s="84"/>
    </row>
    <row r="1657" spans="1:4" ht="16">
      <c r="A1657" s="82">
        <v>43453</v>
      </c>
      <c r="B1657" s="83">
        <v>10967.3</v>
      </c>
      <c r="C1657"/>
      <c r="D1657" s="84"/>
    </row>
    <row r="1658" spans="1:4" ht="16">
      <c r="A1658" s="82">
        <v>43452</v>
      </c>
      <c r="B1658" s="83">
        <v>10908.7</v>
      </c>
      <c r="C1658"/>
      <c r="D1658" s="84"/>
    </row>
    <row r="1659" spans="1:4" ht="16">
      <c r="A1659" s="82">
        <v>43451</v>
      </c>
      <c r="B1659" s="83">
        <v>10888.35</v>
      </c>
      <c r="C1659"/>
      <c r="D1659" s="84"/>
    </row>
    <row r="1660" spans="1:4" ht="16">
      <c r="A1660" s="82">
        <v>43448</v>
      </c>
      <c r="B1660" s="83">
        <v>10805.45</v>
      </c>
      <c r="C1660"/>
      <c r="D1660" s="84"/>
    </row>
    <row r="1661" spans="1:4" ht="16">
      <c r="A1661" s="82">
        <v>43447</v>
      </c>
      <c r="B1661" s="83">
        <v>10791.55</v>
      </c>
      <c r="C1661"/>
      <c r="D1661" s="84"/>
    </row>
    <row r="1662" spans="1:4" ht="16">
      <c r="A1662" s="82">
        <v>43446</v>
      </c>
      <c r="B1662" s="83">
        <v>10737.6</v>
      </c>
      <c r="C1662"/>
      <c r="D1662" s="84"/>
    </row>
    <row r="1663" spans="1:4" ht="16">
      <c r="A1663" s="82">
        <v>43445</v>
      </c>
      <c r="B1663" s="83">
        <v>10549.15</v>
      </c>
      <c r="C1663"/>
      <c r="D1663" s="84"/>
    </row>
    <row r="1664" spans="1:4" ht="16">
      <c r="A1664" s="82">
        <v>43444</v>
      </c>
      <c r="B1664" s="83">
        <v>10488.45</v>
      </c>
      <c r="C1664"/>
      <c r="D1664" s="84"/>
    </row>
    <row r="1665" spans="1:4" ht="16">
      <c r="A1665" s="82">
        <v>43441</v>
      </c>
      <c r="B1665" s="83">
        <v>10693.7</v>
      </c>
      <c r="C1665"/>
      <c r="D1665" s="84"/>
    </row>
    <row r="1666" spans="1:4" ht="16">
      <c r="A1666" s="82">
        <v>43440</v>
      </c>
      <c r="B1666" s="83">
        <v>10601.15</v>
      </c>
      <c r="C1666"/>
      <c r="D1666" s="84"/>
    </row>
    <row r="1667" spans="1:4" ht="16">
      <c r="A1667" s="82">
        <v>43439</v>
      </c>
      <c r="B1667" s="83">
        <v>10782.9</v>
      </c>
      <c r="C1667"/>
      <c r="D1667" s="84"/>
    </row>
    <row r="1668" spans="1:4" ht="16">
      <c r="A1668" s="82">
        <v>43438</v>
      </c>
      <c r="B1668" s="83">
        <v>10869.5</v>
      </c>
      <c r="C1668"/>
      <c r="D1668" s="84"/>
    </row>
    <row r="1669" spans="1:4" ht="16">
      <c r="A1669" s="82">
        <v>43437</v>
      </c>
      <c r="B1669" s="83">
        <v>10883.75</v>
      </c>
      <c r="C1669"/>
      <c r="D1669" s="84"/>
    </row>
    <row r="1670" spans="1:4" ht="16">
      <c r="A1670" s="82">
        <v>43434</v>
      </c>
      <c r="B1670" s="83">
        <v>10876.75</v>
      </c>
      <c r="C1670"/>
      <c r="D1670" s="84"/>
    </row>
    <row r="1671" spans="1:4" ht="16">
      <c r="A1671" s="82">
        <v>43433</v>
      </c>
      <c r="B1671" s="83">
        <v>10858.7</v>
      </c>
      <c r="C1671"/>
      <c r="D1671" s="84"/>
    </row>
    <row r="1672" spans="1:4" ht="16">
      <c r="A1672" s="82">
        <v>43432</v>
      </c>
      <c r="B1672" s="83">
        <v>10728.85</v>
      </c>
      <c r="C1672"/>
      <c r="D1672" s="84"/>
    </row>
    <row r="1673" spans="1:4" ht="16">
      <c r="A1673" s="82">
        <v>43431</v>
      </c>
      <c r="B1673" s="83">
        <v>10685.6</v>
      </c>
      <c r="C1673"/>
      <c r="D1673" s="84"/>
    </row>
    <row r="1674" spans="1:4" ht="16">
      <c r="A1674" s="82">
        <v>43430</v>
      </c>
      <c r="B1674" s="83">
        <v>10628.6</v>
      </c>
      <c r="C1674"/>
      <c r="D1674" s="84"/>
    </row>
    <row r="1675" spans="1:4" ht="16">
      <c r="A1675" s="82">
        <v>43426</v>
      </c>
      <c r="B1675" s="83">
        <v>10526.75</v>
      </c>
      <c r="C1675"/>
      <c r="D1675" s="84"/>
    </row>
    <row r="1676" spans="1:4" ht="16">
      <c r="A1676" s="82">
        <v>43425</v>
      </c>
      <c r="B1676" s="83">
        <v>10600.05</v>
      </c>
      <c r="C1676"/>
      <c r="D1676" s="84"/>
    </row>
    <row r="1677" spans="1:4" ht="16">
      <c r="A1677" s="82">
        <v>43424</v>
      </c>
      <c r="B1677" s="83">
        <v>10656.2</v>
      </c>
      <c r="C1677"/>
      <c r="D1677" s="84"/>
    </row>
    <row r="1678" spans="1:4" ht="16">
      <c r="A1678" s="82">
        <v>43423</v>
      </c>
      <c r="B1678" s="83">
        <v>10763.4</v>
      </c>
      <c r="C1678"/>
      <c r="D1678" s="84"/>
    </row>
    <row r="1679" spans="1:4" ht="16">
      <c r="A1679" s="82">
        <v>43420</v>
      </c>
      <c r="B1679" s="83">
        <v>10682.2</v>
      </c>
      <c r="C1679"/>
      <c r="D1679" s="84"/>
    </row>
    <row r="1680" spans="1:4" ht="16">
      <c r="A1680" s="82">
        <v>43419</v>
      </c>
      <c r="B1680" s="83">
        <v>10616.7</v>
      </c>
      <c r="C1680"/>
      <c r="D1680" s="84"/>
    </row>
    <row r="1681" spans="1:4" ht="16">
      <c r="A1681" s="82">
        <v>43418</v>
      </c>
      <c r="B1681" s="83">
        <v>10576.3</v>
      </c>
      <c r="C1681"/>
      <c r="D1681" s="84"/>
    </row>
    <row r="1682" spans="1:4" ht="16">
      <c r="A1682" s="82">
        <v>43417</v>
      </c>
      <c r="B1682" s="83">
        <v>10582.5</v>
      </c>
      <c r="C1682"/>
      <c r="D1682" s="84"/>
    </row>
    <row r="1683" spans="1:4" ht="16">
      <c r="A1683" s="82">
        <v>43416</v>
      </c>
      <c r="B1683" s="83">
        <v>10482.200000000001</v>
      </c>
      <c r="C1683"/>
      <c r="D1683" s="84"/>
    </row>
    <row r="1684" spans="1:4" ht="16">
      <c r="A1684" s="82">
        <v>43413</v>
      </c>
      <c r="B1684" s="83">
        <v>10585.2</v>
      </c>
      <c r="C1684"/>
      <c r="D1684" s="84"/>
    </row>
    <row r="1685" spans="1:4" ht="16">
      <c r="A1685" s="82">
        <v>43411</v>
      </c>
      <c r="B1685" s="83">
        <v>10598.4</v>
      </c>
      <c r="C1685"/>
      <c r="D1685" s="84"/>
    </row>
    <row r="1686" spans="1:4" ht="16">
      <c r="A1686" s="82">
        <v>43410</v>
      </c>
      <c r="B1686" s="83">
        <v>10530</v>
      </c>
      <c r="C1686"/>
      <c r="D1686" s="84"/>
    </row>
    <row r="1687" spans="1:4" ht="16">
      <c r="A1687" s="82">
        <v>43409</v>
      </c>
      <c r="B1687" s="83">
        <v>10524</v>
      </c>
      <c r="C1687"/>
      <c r="D1687" s="84"/>
    </row>
    <row r="1688" spans="1:4" ht="16">
      <c r="A1688" s="82">
        <v>43406</v>
      </c>
      <c r="B1688" s="83">
        <v>10553</v>
      </c>
      <c r="C1688"/>
      <c r="D1688" s="84"/>
    </row>
    <row r="1689" spans="1:4" ht="16">
      <c r="A1689" s="82">
        <v>43405</v>
      </c>
      <c r="B1689" s="83">
        <v>10380.450000000001</v>
      </c>
      <c r="C1689"/>
      <c r="D1689" s="84"/>
    </row>
    <row r="1690" spans="1:4" ht="16">
      <c r="A1690" s="82">
        <v>43404</v>
      </c>
      <c r="B1690" s="83">
        <v>10386.6</v>
      </c>
      <c r="C1690"/>
      <c r="D1690" s="84"/>
    </row>
    <row r="1691" spans="1:4" ht="16">
      <c r="A1691" s="82">
        <v>43403</v>
      </c>
      <c r="B1691" s="83">
        <v>10198.4</v>
      </c>
      <c r="C1691"/>
      <c r="D1691" s="84"/>
    </row>
    <row r="1692" spans="1:4" ht="16">
      <c r="A1692" s="82">
        <v>43402</v>
      </c>
      <c r="B1692" s="83">
        <v>10250.85</v>
      </c>
      <c r="C1692"/>
      <c r="D1692" s="84"/>
    </row>
    <row r="1693" spans="1:4" ht="16">
      <c r="A1693" s="82">
        <v>43399</v>
      </c>
      <c r="B1693" s="83">
        <v>10030</v>
      </c>
      <c r="C1693"/>
      <c r="D1693" s="84"/>
    </row>
    <row r="1694" spans="1:4" ht="16">
      <c r="A1694" s="82">
        <v>43398</v>
      </c>
      <c r="B1694" s="83">
        <v>10124.9</v>
      </c>
      <c r="C1694"/>
      <c r="D1694" s="84"/>
    </row>
    <row r="1695" spans="1:4" ht="16">
      <c r="A1695" s="82">
        <v>43397</v>
      </c>
      <c r="B1695" s="83">
        <v>10224.75</v>
      </c>
      <c r="C1695"/>
      <c r="D1695" s="84"/>
    </row>
    <row r="1696" spans="1:4" ht="16">
      <c r="A1696" s="82">
        <v>43396</v>
      </c>
      <c r="B1696" s="83">
        <v>10146.799999999999</v>
      </c>
      <c r="C1696"/>
      <c r="D1696" s="84"/>
    </row>
    <row r="1697" spans="1:4" ht="16">
      <c r="A1697" s="82">
        <v>43395</v>
      </c>
      <c r="B1697" s="83">
        <v>10245.25</v>
      </c>
      <c r="C1697"/>
      <c r="D1697" s="84"/>
    </row>
    <row r="1698" spans="1:4" ht="16">
      <c r="A1698" s="82">
        <v>43392</v>
      </c>
      <c r="B1698" s="83">
        <v>10303.549999999999</v>
      </c>
      <c r="C1698"/>
      <c r="D1698" s="84"/>
    </row>
    <row r="1699" spans="1:4" ht="16">
      <c r="A1699" s="82">
        <v>43390</v>
      </c>
      <c r="B1699" s="83">
        <v>10453.049999999999</v>
      </c>
      <c r="C1699"/>
      <c r="D1699" s="84"/>
    </row>
    <row r="1700" spans="1:4" ht="16">
      <c r="A1700" s="82">
        <v>43389</v>
      </c>
      <c r="B1700" s="83">
        <v>10584.75</v>
      </c>
      <c r="C1700"/>
      <c r="D1700" s="84"/>
    </row>
    <row r="1701" spans="1:4" ht="16">
      <c r="A1701" s="82">
        <v>43388</v>
      </c>
      <c r="B1701" s="83">
        <v>10512.5</v>
      </c>
      <c r="C1701"/>
      <c r="D1701" s="84"/>
    </row>
    <row r="1702" spans="1:4" ht="16">
      <c r="A1702" s="82">
        <v>43385</v>
      </c>
      <c r="B1702" s="83">
        <v>10472.5</v>
      </c>
      <c r="C1702"/>
      <c r="D1702" s="84"/>
    </row>
    <row r="1703" spans="1:4" ht="16">
      <c r="A1703" s="82">
        <v>43384</v>
      </c>
      <c r="B1703" s="83">
        <v>10234.65</v>
      </c>
      <c r="C1703"/>
      <c r="D1703" s="84"/>
    </row>
    <row r="1704" spans="1:4" ht="16">
      <c r="A1704" s="82">
        <v>43383</v>
      </c>
      <c r="B1704" s="83">
        <v>10460.1</v>
      </c>
      <c r="C1704"/>
      <c r="D1704" s="84"/>
    </row>
    <row r="1705" spans="1:4" ht="16">
      <c r="A1705" s="82">
        <v>43382</v>
      </c>
      <c r="B1705" s="83">
        <v>10301.049999999999</v>
      </c>
      <c r="C1705"/>
      <c r="D1705" s="84"/>
    </row>
    <row r="1706" spans="1:4" ht="16">
      <c r="A1706" s="82">
        <v>43381</v>
      </c>
      <c r="B1706" s="83">
        <v>10348.049999999999</v>
      </c>
      <c r="C1706"/>
      <c r="D1706" s="84"/>
    </row>
    <row r="1707" spans="1:4" ht="16">
      <c r="A1707" s="82">
        <v>43378</v>
      </c>
      <c r="B1707" s="83">
        <v>10316.450000000001</v>
      </c>
      <c r="C1707"/>
      <c r="D1707" s="84"/>
    </row>
    <row r="1708" spans="1:4" ht="16">
      <c r="A1708" s="82">
        <v>43377</v>
      </c>
      <c r="B1708" s="83">
        <v>10599.25</v>
      </c>
      <c r="C1708"/>
      <c r="D1708" s="84"/>
    </row>
    <row r="1709" spans="1:4" ht="16">
      <c r="A1709" s="82">
        <v>43376</v>
      </c>
      <c r="B1709" s="83">
        <v>10858.25</v>
      </c>
      <c r="C1709"/>
      <c r="D1709" s="84"/>
    </row>
    <row r="1710" spans="1:4" ht="16">
      <c r="A1710" s="82">
        <v>43374</v>
      </c>
      <c r="B1710" s="83">
        <v>11008.3</v>
      </c>
      <c r="C1710"/>
      <c r="D1710" s="84"/>
    </row>
    <row r="1711" spans="1:4" ht="16">
      <c r="A1711" s="82">
        <v>43371</v>
      </c>
      <c r="B1711" s="83">
        <v>10930.45</v>
      </c>
      <c r="C1711"/>
      <c r="D1711" s="84"/>
    </row>
    <row r="1712" spans="1:4" ht="16">
      <c r="A1712" s="82">
        <v>43370</v>
      </c>
      <c r="B1712" s="83">
        <v>10977.55</v>
      </c>
      <c r="C1712"/>
      <c r="D1712" s="84"/>
    </row>
    <row r="1713" spans="1:4" ht="16">
      <c r="A1713" s="82">
        <v>43369</v>
      </c>
      <c r="B1713" s="83">
        <v>11053.8</v>
      </c>
      <c r="C1713"/>
      <c r="D1713" s="84"/>
    </row>
    <row r="1714" spans="1:4" ht="16">
      <c r="A1714" s="82">
        <v>43368</v>
      </c>
      <c r="B1714" s="83">
        <v>11067.45</v>
      </c>
      <c r="C1714"/>
      <c r="D1714" s="84"/>
    </row>
    <row r="1715" spans="1:4" ht="16">
      <c r="A1715" s="82">
        <v>43367</v>
      </c>
      <c r="B1715" s="83">
        <v>10967.4</v>
      </c>
      <c r="C1715"/>
      <c r="D1715" s="84"/>
    </row>
    <row r="1716" spans="1:4" ht="16">
      <c r="A1716" s="82">
        <v>43364</v>
      </c>
      <c r="B1716" s="83">
        <v>11143.1</v>
      </c>
      <c r="C1716"/>
      <c r="D1716" s="84"/>
    </row>
    <row r="1717" spans="1:4" ht="16">
      <c r="A1717" s="82">
        <v>43362</v>
      </c>
      <c r="B1717" s="83">
        <v>11234.35</v>
      </c>
      <c r="C1717"/>
      <c r="D1717" s="84"/>
    </row>
    <row r="1718" spans="1:4" ht="16">
      <c r="A1718" s="82">
        <v>43361</v>
      </c>
      <c r="B1718" s="83">
        <v>11278.9</v>
      </c>
      <c r="C1718"/>
      <c r="D1718" s="84"/>
    </row>
    <row r="1719" spans="1:4" ht="16">
      <c r="A1719" s="82">
        <v>43360</v>
      </c>
      <c r="B1719" s="83">
        <v>11377.75</v>
      </c>
      <c r="C1719"/>
      <c r="D1719" s="84"/>
    </row>
    <row r="1720" spans="1:4" ht="16">
      <c r="A1720" s="82">
        <v>43357</v>
      </c>
      <c r="B1720" s="83">
        <v>11515.2</v>
      </c>
      <c r="C1720"/>
      <c r="D1720" s="84"/>
    </row>
    <row r="1721" spans="1:4" ht="16">
      <c r="A1721" s="82">
        <v>43355</v>
      </c>
      <c r="B1721" s="83">
        <v>11369.9</v>
      </c>
      <c r="C1721"/>
      <c r="D1721" s="84"/>
    </row>
    <row r="1722" spans="1:4" ht="16">
      <c r="A1722" s="82">
        <v>43354</v>
      </c>
      <c r="B1722" s="83">
        <v>11287.5</v>
      </c>
      <c r="C1722"/>
      <c r="D1722" s="84"/>
    </row>
    <row r="1723" spans="1:4" ht="16">
      <c r="A1723" s="82">
        <v>43353</v>
      </c>
      <c r="B1723" s="83">
        <v>11438.1</v>
      </c>
      <c r="C1723"/>
      <c r="D1723" s="84"/>
    </row>
    <row r="1724" spans="1:4" ht="16">
      <c r="A1724" s="82">
        <v>43350</v>
      </c>
      <c r="B1724" s="83">
        <v>11589.1</v>
      </c>
      <c r="C1724"/>
      <c r="D1724" s="84"/>
    </row>
    <row r="1725" spans="1:4" ht="16">
      <c r="A1725" s="82">
        <v>43349</v>
      </c>
      <c r="B1725" s="83">
        <v>11536.9</v>
      </c>
      <c r="C1725"/>
      <c r="D1725" s="84"/>
    </row>
    <row r="1726" spans="1:4" ht="16">
      <c r="A1726" s="82">
        <v>43348</v>
      </c>
      <c r="B1726" s="83">
        <v>11476.95</v>
      </c>
      <c r="C1726"/>
      <c r="D1726" s="84"/>
    </row>
    <row r="1727" spans="1:4" ht="16">
      <c r="A1727" s="82">
        <v>43347</v>
      </c>
      <c r="B1727" s="83">
        <v>11520.3</v>
      </c>
      <c r="C1727"/>
      <c r="D1727" s="84"/>
    </row>
    <row r="1728" spans="1:4" ht="16">
      <c r="A1728" s="82">
        <v>43346</v>
      </c>
      <c r="B1728" s="83">
        <v>11582.35</v>
      </c>
      <c r="C1728"/>
      <c r="D1728" s="84"/>
    </row>
    <row r="1729" spans="1:4" ht="16">
      <c r="A1729" s="82">
        <v>43343</v>
      </c>
      <c r="B1729" s="83">
        <v>11680.5</v>
      </c>
      <c r="C1729"/>
      <c r="D1729" s="84"/>
    </row>
    <row r="1730" spans="1:4" ht="16">
      <c r="A1730" s="82">
        <v>43342</v>
      </c>
      <c r="B1730" s="83">
        <v>11676.8</v>
      </c>
      <c r="C1730"/>
      <c r="D1730" s="84"/>
    </row>
    <row r="1731" spans="1:4" ht="16">
      <c r="A1731" s="82">
        <v>43341</v>
      </c>
      <c r="B1731" s="83">
        <v>11691.9</v>
      </c>
      <c r="C1731"/>
      <c r="D1731" s="84"/>
    </row>
    <row r="1732" spans="1:4" ht="16">
      <c r="A1732" s="82">
        <v>43340</v>
      </c>
      <c r="B1732" s="83">
        <v>11738.5</v>
      </c>
      <c r="C1732"/>
      <c r="D1732" s="84"/>
    </row>
    <row r="1733" spans="1:4" ht="16">
      <c r="A1733" s="82">
        <v>43339</v>
      </c>
      <c r="B1733" s="83">
        <v>11691.95</v>
      </c>
      <c r="C1733"/>
      <c r="D1733" s="84"/>
    </row>
    <row r="1734" spans="1:4" ht="16">
      <c r="A1734" s="82">
        <v>43336</v>
      </c>
      <c r="B1734" s="83">
        <v>11557.1</v>
      </c>
      <c r="C1734"/>
      <c r="D1734" s="84"/>
    </row>
    <row r="1735" spans="1:4" ht="16">
      <c r="A1735" s="82">
        <v>43335</v>
      </c>
      <c r="B1735" s="83">
        <v>11582.75</v>
      </c>
      <c r="C1735"/>
      <c r="D1735" s="84"/>
    </row>
    <row r="1736" spans="1:4" ht="16">
      <c r="A1736" s="82">
        <v>43333</v>
      </c>
      <c r="B1736" s="83">
        <v>11570.9</v>
      </c>
      <c r="C1736"/>
      <c r="D1736" s="84"/>
    </row>
    <row r="1737" spans="1:4" ht="16">
      <c r="A1737" s="82">
        <v>43332</v>
      </c>
      <c r="B1737" s="83">
        <v>11551.75</v>
      </c>
      <c r="C1737"/>
      <c r="D1737" s="84"/>
    </row>
    <row r="1738" spans="1:4" ht="16">
      <c r="A1738" s="82">
        <v>43329</v>
      </c>
      <c r="B1738" s="83">
        <v>11470.75</v>
      </c>
      <c r="C1738"/>
      <c r="D1738" s="84"/>
    </row>
    <row r="1739" spans="1:4" ht="16">
      <c r="A1739" s="82">
        <v>43328</v>
      </c>
      <c r="B1739" s="83">
        <v>11385.05</v>
      </c>
      <c r="C1739"/>
      <c r="D1739" s="84"/>
    </row>
    <row r="1740" spans="1:4" ht="16">
      <c r="A1740" s="82">
        <v>43326</v>
      </c>
      <c r="B1740" s="83">
        <v>11435.1</v>
      </c>
      <c r="C1740"/>
      <c r="D1740" s="84"/>
    </row>
    <row r="1741" spans="1:4" ht="16">
      <c r="A1741" s="82">
        <v>43325</v>
      </c>
      <c r="B1741" s="83">
        <v>11355.75</v>
      </c>
      <c r="C1741"/>
      <c r="D1741" s="84"/>
    </row>
    <row r="1742" spans="1:4" ht="16">
      <c r="A1742" s="82">
        <v>43322</v>
      </c>
      <c r="B1742" s="83">
        <v>11429.5</v>
      </c>
      <c r="C1742"/>
      <c r="D1742" s="84"/>
    </row>
    <row r="1743" spans="1:4" ht="16">
      <c r="A1743" s="82">
        <v>43321</v>
      </c>
      <c r="B1743" s="83">
        <v>11470.7</v>
      </c>
      <c r="C1743"/>
      <c r="D1743" s="84"/>
    </row>
    <row r="1744" spans="1:4" ht="16">
      <c r="A1744" s="82">
        <v>43320</v>
      </c>
      <c r="B1744" s="83">
        <v>11450</v>
      </c>
      <c r="C1744"/>
      <c r="D1744" s="84"/>
    </row>
    <row r="1745" spans="1:4" ht="16">
      <c r="A1745" s="82">
        <v>43319</v>
      </c>
      <c r="B1745" s="83">
        <v>11389.45</v>
      </c>
      <c r="C1745"/>
      <c r="D1745" s="84"/>
    </row>
    <row r="1746" spans="1:4" ht="16">
      <c r="A1746" s="82">
        <v>43318</v>
      </c>
      <c r="B1746" s="83">
        <v>11387.1</v>
      </c>
      <c r="C1746"/>
      <c r="D1746" s="84"/>
    </row>
    <row r="1747" spans="1:4" ht="16">
      <c r="A1747" s="82">
        <v>43315</v>
      </c>
      <c r="B1747" s="83">
        <v>11360.8</v>
      </c>
      <c r="C1747"/>
      <c r="D1747" s="84"/>
    </row>
    <row r="1748" spans="1:4" ht="16">
      <c r="A1748" s="82">
        <v>43314</v>
      </c>
      <c r="B1748" s="83">
        <v>11244.7</v>
      </c>
      <c r="C1748"/>
      <c r="D1748" s="84"/>
    </row>
    <row r="1749" spans="1:4" ht="16">
      <c r="A1749" s="82">
        <v>43313</v>
      </c>
      <c r="B1749" s="83">
        <v>11346.2</v>
      </c>
      <c r="C1749"/>
      <c r="D1749" s="84"/>
    </row>
    <row r="1750" spans="1:4" ht="16">
      <c r="A1750" s="82">
        <v>43312</v>
      </c>
      <c r="B1750" s="83">
        <v>11356.5</v>
      </c>
      <c r="C1750"/>
      <c r="D1750" s="84"/>
    </row>
    <row r="1751" spans="1:4" ht="16">
      <c r="A1751" s="82">
        <v>43311</v>
      </c>
      <c r="B1751" s="83">
        <v>11319.55</v>
      </c>
      <c r="C1751"/>
      <c r="D1751" s="84"/>
    </row>
    <row r="1752" spans="1:4" ht="16">
      <c r="A1752" s="82">
        <v>43308</v>
      </c>
      <c r="B1752" s="83">
        <v>11278.35</v>
      </c>
      <c r="C1752"/>
      <c r="D1752" s="84"/>
    </row>
    <row r="1753" spans="1:4" ht="16">
      <c r="A1753" s="82">
        <v>43307</v>
      </c>
      <c r="B1753" s="83">
        <v>11167.3</v>
      </c>
      <c r="C1753"/>
      <c r="D1753" s="84"/>
    </row>
    <row r="1754" spans="1:4" ht="16">
      <c r="A1754" s="82">
        <v>43306</v>
      </c>
      <c r="B1754" s="83">
        <v>11132</v>
      </c>
      <c r="C1754"/>
      <c r="D1754" s="84"/>
    </row>
    <row r="1755" spans="1:4" ht="16">
      <c r="A1755" s="82">
        <v>43305</v>
      </c>
      <c r="B1755" s="83">
        <v>11134.3</v>
      </c>
      <c r="C1755"/>
      <c r="D1755" s="84"/>
    </row>
    <row r="1756" spans="1:4" ht="16">
      <c r="A1756" s="82">
        <v>43304</v>
      </c>
      <c r="B1756" s="83">
        <v>11084.75</v>
      </c>
      <c r="C1756"/>
      <c r="D1756" s="84"/>
    </row>
    <row r="1757" spans="1:4" ht="16">
      <c r="A1757" s="82">
        <v>43301</v>
      </c>
      <c r="B1757" s="83">
        <v>11010.2</v>
      </c>
      <c r="C1757"/>
      <c r="D1757" s="84"/>
    </row>
    <row r="1758" spans="1:4" ht="16">
      <c r="A1758" s="82">
        <v>43300</v>
      </c>
      <c r="B1758" s="83">
        <v>10957.1</v>
      </c>
      <c r="C1758"/>
      <c r="D1758" s="84"/>
    </row>
    <row r="1759" spans="1:4" ht="16">
      <c r="A1759" s="82">
        <v>43299</v>
      </c>
      <c r="B1759" s="83">
        <v>10980.45</v>
      </c>
      <c r="C1759"/>
      <c r="D1759" s="84"/>
    </row>
    <row r="1760" spans="1:4" ht="16">
      <c r="A1760" s="82">
        <v>43298</v>
      </c>
      <c r="B1760" s="83">
        <v>11008.05</v>
      </c>
      <c r="C1760"/>
      <c r="D1760" s="84"/>
    </row>
    <row r="1761" spans="1:4" ht="16">
      <c r="A1761" s="82">
        <v>43297</v>
      </c>
      <c r="B1761" s="83">
        <v>10936.85</v>
      </c>
      <c r="C1761"/>
      <c r="D1761" s="84"/>
    </row>
    <row r="1762" spans="1:4" ht="16">
      <c r="A1762" s="82">
        <v>43294</v>
      </c>
      <c r="B1762" s="83">
        <v>11018.9</v>
      </c>
      <c r="C1762"/>
      <c r="D1762" s="84"/>
    </row>
    <row r="1763" spans="1:4" ht="16">
      <c r="A1763" s="82">
        <v>43293</v>
      </c>
      <c r="B1763" s="83">
        <v>11023.2</v>
      </c>
      <c r="C1763"/>
      <c r="D1763" s="84"/>
    </row>
    <row r="1764" spans="1:4" ht="16">
      <c r="A1764" s="82">
        <v>43292</v>
      </c>
      <c r="B1764" s="83">
        <v>10948.3</v>
      </c>
      <c r="C1764"/>
      <c r="D1764" s="84"/>
    </row>
    <row r="1765" spans="1:4" ht="16">
      <c r="A1765" s="82">
        <v>43291</v>
      </c>
      <c r="B1765" s="83">
        <v>10947.25</v>
      </c>
      <c r="C1765"/>
      <c r="D1765" s="84"/>
    </row>
    <row r="1766" spans="1:4" ht="16">
      <c r="A1766" s="82">
        <v>43290</v>
      </c>
      <c r="B1766" s="83">
        <v>10852.9</v>
      </c>
      <c r="C1766"/>
      <c r="D1766" s="84"/>
    </row>
    <row r="1767" spans="1:4" ht="16">
      <c r="A1767" s="82">
        <v>43287</v>
      </c>
      <c r="B1767" s="83">
        <v>10772.65</v>
      </c>
      <c r="C1767"/>
      <c r="D1767" s="84"/>
    </row>
    <row r="1768" spans="1:4" ht="16">
      <c r="A1768" s="82">
        <v>43286</v>
      </c>
      <c r="B1768" s="83">
        <v>10749.75</v>
      </c>
      <c r="C1768"/>
      <c r="D1768" s="84"/>
    </row>
    <row r="1769" spans="1:4" ht="16">
      <c r="A1769" s="82">
        <v>43285</v>
      </c>
      <c r="B1769" s="83">
        <v>10769.9</v>
      </c>
      <c r="C1769"/>
      <c r="D1769" s="84"/>
    </row>
    <row r="1770" spans="1:4" ht="16">
      <c r="A1770" s="82">
        <v>43284</v>
      </c>
      <c r="B1770" s="83">
        <v>10699.9</v>
      </c>
      <c r="C1770"/>
      <c r="D1770" s="84"/>
    </row>
    <row r="1771" spans="1:4" ht="16">
      <c r="A1771" s="82">
        <v>43283</v>
      </c>
      <c r="B1771" s="83">
        <v>10657.3</v>
      </c>
      <c r="C1771"/>
      <c r="D1771" s="84"/>
    </row>
    <row r="1772" spans="1:4" ht="16">
      <c r="A1772" s="82">
        <v>43280</v>
      </c>
      <c r="B1772" s="83">
        <v>10714.3</v>
      </c>
      <c r="C1772"/>
      <c r="D1772" s="84"/>
    </row>
    <row r="1773" spans="1:4" ht="16">
      <c r="A1773" s="82">
        <v>43279</v>
      </c>
      <c r="B1773" s="83">
        <v>10589.1</v>
      </c>
      <c r="C1773"/>
      <c r="D1773" s="84"/>
    </row>
    <row r="1774" spans="1:4" ht="16">
      <c r="A1774" s="82">
        <v>43278</v>
      </c>
      <c r="B1774" s="83">
        <v>10671.4</v>
      </c>
      <c r="C1774"/>
      <c r="D1774" s="84"/>
    </row>
    <row r="1775" spans="1:4" ht="16">
      <c r="A1775" s="82">
        <v>43277</v>
      </c>
      <c r="B1775" s="83">
        <v>10769.15</v>
      </c>
      <c r="C1775"/>
      <c r="D1775" s="84"/>
    </row>
    <row r="1776" spans="1:4" ht="16">
      <c r="A1776" s="82">
        <v>43276</v>
      </c>
      <c r="B1776" s="83">
        <v>10762.45</v>
      </c>
      <c r="C1776"/>
      <c r="D1776" s="84"/>
    </row>
    <row r="1777" spans="1:4" ht="16">
      <c r="A1777" s="82">
        <v>43273</v>
      </c>
      <c r="B1777" s="83">
        <v>10821.85</v>
      </c>
      <c r="C1777"/>
      <c r="D1777" s="84"/>
    </row>
    <row r="1778" spans="1:4" ht="16">
      <c r="A1778" s="82">
        <v>43272</v>
      </c>
      <c r="B1778" s="83">
        <v>10741.1</v>
      </c>
      <c r="C1778"/>
      <c r="D1778" s="84"/>
    </row>
    <row r="1779" spans="1:4" ht="16">
      <c r="A1779" s="82">
        <v>43271</v>
      </c>
      <c r="B1779" s="83">
        <v>10772.05</v>
      </c>
      <c r="C1779"/>
      <c r="D1779" s="84"/>
    </row>
    <row r="1780" spans="1:4" ht="16">
      <c r="A1780" s="82">
        <v>43270</v>
      </c>
      <c r="B1780" s="83">
        <v>10710.45</v>
      </c>
      <c r="C1780"/>
      <c r="D1780" s="84"/>
    </row>
    <row r="1781" spans="1:4" ht="16">
      <c r="A1781" s="82">
        <v>43269</v>
      </c>
      <c r="B1781" s="83">
        <v>10799.85</v>
      </c>
      <c r="C1781"/>
      <c r="D1781" s="84"/>
    </row>
    <row r="1782" spans="1:4" ht="16">
      <c r="A1782" s="82">
        <v>43266</v>
      </c>
      <c r="B1782" s="83">
        <v>10817.7</v>
      </c>
      <c r="C1782"/>
      <c r="D1782" s="84"/>
    </row>
    <row r="1783" spans="1:4" ht="16">
      <c r="A1783" s="82">
        <v>43265</v>
      </c>
      <c r="B1783" s="83">
        <v>10808.05</v>
      </c>
      <c r="C1783"/>
      <c r="D1783" s="84"/>
    </row>
    <row r="1784" spans="1:4" ht="16">
      <c r="A1784" s="82">
        <v>43264</v>
      </c>
      <c r="B1784" s="83">
        <v>10856.7</v>
      </c>
      <c r="C1784"/>
      <c r="D1784" s="84"/>
    </row>
    <row r="1785" spans="1:4" ht="16">
      <c r="A1785" s="82">
        <v>43263</v>
      </c>
      <c r="B1785" s="83">
        <v>10842.85</v>
      </c>
      <c r="C1785"/>
      <c r="D1785" s="84"/>
    </row>
    <row r="1786" spans="1:4" ht="16">
      <c r="A1786" s="82">
        <v>43262</v>
      </c>
      <c r="B1786" s="83">
        <v>10786.95</v>
      </c>
      <c r="C1786"/>
      <c r="D1786" s="84"/>
    </row>
    <row r="1787" spans="1:4" ht="16">
      <c r="A1787" s="82">
        <v>43259</v>
      </c>
      <c r="B1787" s="83">
        <v>10767.65</v>
      </c>
      <c r="C1787"/>
      <c r="D1787" s="84"/>
    </row>
    <row r="1788" spans="1:4" ht="16">
      <c r="A1788" s="82">
        <v>43258</v>
      </c>
      <c r="B1788" s="83">
        <v>10768.35</v>
      </c>
      <c r="C1788"/>
      <c r="D1788" s="84"/>
    </row>
    <row r="1789" spans="1:4" ht="16">
      <c r="A1789" s="82">
        <v>43257</v>
      </c>
      <c r="B1789" s="83">
        <v>10684.65</v>
      </c>
      <c r="C1789"/>
      <c r="D1789" s="84"/>
    </row>
    <row r="1790" spans="1:4" ht="16">
      <c r="A1790" s="82">
        <v>43256</v>
      </c>
      <c r="B1790" s="83">
        <v>10593.15</v>
      </c>
      <c r="C1790"/>
      <c r="D1790" s="84"/>
    </row>
    <row r="1791" spans="1:4" ht="16">
      <c r="A1791" s="82">
        <v>43255</v>
      </c>
      <c r="B1791" s="83">
        <v>10628.5</v>
      </c>
      <c r="C1791"/>
      <c r="D1791" s="84"/>
    </row>
    <row r="1792" spans="1:4" ht="16">
      <c r="A1792" s="82">
        <v>43252</v>
      </c>
      <c r="B1792" s="83">
        <v>10696.2</v>
      </c>
      <c r="C1792"/>
      <c r="D1792" s="84"/>
    </row>
    <row r="1793" spans="1:4" ht="16">
      <c r="A1793" s="82">
        <v>43251</v>
      </c>
      <c r="B1793" s="83">
        <v>10736.15</v>
      </c>
      <c r="C1793"/>
      <c r="D1793" s="84"/>
    </row>
    <row r="1794" spans="1:4" ht="16">
      <c r="A1794" s="82">
        <v>43250</v>
      </c>
      <c r="B1794" s="83">
        <v>10614.35</v>
      </c>
      <c r="C1794"/>
      <c r="D1794" s="84"/>
    </row>
    <row r="1795" spans="1:4" ht="16">
      <c r="A1795" s="82">
        <v>43249</v>
      </c>
      <c r="B1795" s="83">
        <v>10633.3</v>
      </c>
      <c r="C1795"/>
      <c r="D1795" s="84"/>
    </row>
    <row r="1796" spans="1:4" ht="16">
      <c r="A1796" s="82">
        <v>43248</v>
      </c>
      <c r="B1796" s="83">
        <v>10688.65</v>
      </c>
      <c r="C1796"/>
      <c r="D1796" s="84"/>
    </row>
    <row r="1797" spans="1:4" ht="16">
      <c r="A1797" s="82">
        <v>43245</v>
      </c>
      <c r="B1797" s="83">
        <v>10605.15</v>
      </c>
      <c r="C1797"/>
      <c r="D1797" s="84"/>
    </row>
    <row r="1798" spans="1:4" ht="16">
      <c r="A1798" s="82">
        <v>43244</v>
      </c>
      <c r="B1798" s="83">
        <v>10513.85</v>
      </c>
      <c r="C1798"/>
      <c r="D1798" s="84"/>
    </row>
    <row r="1799" spans="1:4" ht="16">
      <c r="A1799" s="82">
        <v>43243</v>
      </c>
      <c r="B1799" s="83">
        <v>10430.35</v>
      </c>
      <c r="C1799"/>
      <c r="D1799" s="84"/>
    </row>
    <row r="1800" spans="1:4" ht="16">
      <c r="A1800" s="82">
        <v>43242</v>
      </c>
      <c r="B1800" s="83">
        <v>10536.7</v>
      </c>
      <c r="C1800"/>
      <c r="D1800" s="84"/>
    </row>
    <row r="1801" spans="1:4" ht="16">
      <c r="A1801" s="82">
        <v>43241</v>
      </c>
      <c r="B1801" s="83">
        <v>10516.7</v>
      </c>
      <c r="C1801"/>
      <c r="D1801" s="84"/>
    </row>
    <row r="1802" spans="1:4" ht="16">
      <c r="A1802" s="82">
        <v>43238</v>
      </c>
      <c r="B1802" s="83">
        <v>10596.4</v>
      </c>
      <c r="C1802"/>
      <c r="D1802" s="84"/>
    </row>
    <row r="1803" spans="1:4" ht="16">
      <c r="A1803" s="82">
        <v>43237</v>
      </c>
      <c r="B1803" s="83">
        <v>10682.7</v>
      </c>
      <c r="C1803"/>
      <c r="D1803" s="84"/>
    </row>
    <row r="1804" spans="1:4" ht="16">
      <c r="A1804" s="82">
        <v>43236</v>
      </c>
      <c r="B1804" s="83">
        <v>10741.1</v>
      </c>
      <c r="C1804"/>
      <c r="D1804" s="84"/>
    </row>
    <row r="1805" spans="1:4" ht="16">
      <c r="A1805" s="82">
        <v>43235</v>
      </c>
      <c r="B1805" s="83">
        <v>10801.85</v>
      </c>
      <c r="C1805"/>
      <c r="D1805" s="84"/>
    </row>
    <row r="1806" spans="1:4" ht="16">
      <c r="A1806" s="82">
        <v>43234</v>
      </c>
      <c r="B1806" s="83">
        <v>10806.6</v>
      </c>
      <c r="C1806"/>
      <c r="D1806" s="84"/>
    </row>
    <row r="1807" spans="1:4" ht="16">
      <c r="A1807" s="82">
        <v>43231</v>
      </c>
      <c r="B1807" s="83">
        <v>10806.5</v>
      </c>
      <c r="C1807"/>
      <c r="D1807" s="84"/>
    </row>
    <row r="1808" spans="1:4" ht="16">
      <c r="A1808" s="82">
        <v>43230</v>
      </c>
      <c r="B1808" s="83">
        <v>10716.55</v>
      </c>
      <c r="C1808"/>
      <c r="D1808" s="84"/>
    </row>
    <row r="1809" spans="1:4" ht="16">
      <c r="A1809" s="82">
        <v>43229</v>
      </c>
      <c r="B1809" s="83">
        <v>10741.7</v>
      </c>
      <c r="C1809"/>
      <c r="D1809" s="84"/>
    </row>
    <row r="1810" spans="1:4" ht="16">
      <c r="A1810" s="82">
        <v>43228</v>
      </c>
      <c r="B1810" s="83">
        <v>10717.8</v>
      </c>
      <c r="C1810"/>
      <c r="D1810" s="84"/>
    </row>
    <row r="1811" spans="1:4" ht="16">
      <c r="A1811" s="82">
        <v>43227</v>
      </c>
      <c r="B1811" s="83">
        <v>10715.5</v>
      </c>
      <c r="C1811"/>
      <c r="D1811" s="84"/>
    </row>
    <row r="1812" spans="1:4" ht="16">
      <c r="A1812" s="82">
        <v>43224</v>
      </c>
      <c r="B1812" s="83">
        <v>10618.25</v>
      </c>
      <c r="C1812"/>
      <c r="D1812" s="84"/>
    </row>
    <row r="1813" spans="1:4" ht="16">
      <c r="A1813" s="82">
        <v>43223</v>
      </c>
      <c r="B1813" s="83">
        <v>10679.65</v>
      </c>
      <c r="C1813"/>
      <c r="D1813" s="84"/>
    </row>
    <row r="1814" spans="1:4" ht="16">
      <c r="A1814" s="82">
        <v>43222</v>
      </c>
      <c r="B1814" s="83">
        <v>10718.05</v>
      </c>
      <c r="C1814"/>
      <c r="D1814" s="84"/>
    </row>
    <row r="1815" spans="1:4" ht="16">
      <c r="A1815" s="82">
        <v>43220</v>
      </c>
      <c r="B1815" s="83">
        <v>10739.35</v>
      </c>
      <c r="C1815"/>
      <c r="D1815" s="84"/>
    </row>
    <row r="1816" spans="1:4" ht="16">
      <c r="A1816" s="82">
        <v>43217</v>
      </c>
      <c r="B1816" s="83">
        <v>10692.3</v>
      </c>
      <c r="C1816"/>
      <c r="D1816" s="84"/>
    </row>
    <row r="1817" spans="1:4" ht="16">
      <c r="A1817" s="82">
        <v>43216</v>
      </c>
      <c r="B1817" s="83">
        <v>10617.8</v>
      </c>
      <c r="C1817"/>
      <c r="D1817" s="84"/>
    </row>
    <row r="1818" spans="1:4" ht="16">
      <c r="A1818" s="82">
        <v>43215</v>
      </c>
      <c r="B1818" s="83">
        <v>10570.55</v>
      </c>
      <c r="C1818"/>
      <c r="D1818" s="84"/>
    </row>
    <row r="1819" spans="1:4" ht="16">
      <c r="A1819" s="82">
        <v>43214</v>
      </c>
      <c r="B1819" s="83">
        <v>10614.35</v>
      </c>
      <c r="C1819"/>
      <c r="D1819" s="84"/>
    </row>
    <row r="1820" spans="1:4" ht="16">
      <c r="A1820" s="82">
        <v>43213</v>
      </c>
      <c r="B1820" s="83">
        <v>10584.7</v>
      </c>
      <c r="C1820"/>
      <c r="D1820" s="84"/>
    </row>
    <row r="1821" spans="1:4" ht="16">
      <c r="A1821" s="82">
        <v>43210</v>
      </c>
      <c r="B1821" s="83">
        <v>10564.05</v>
      </c>
      <c r="C1821"/>
      <c r="D1821" s="84"/>
    </row>
    <row r="1822" spans="1:4" ht="16">
      <c r="A1822" s="82">
        <v>43209</v>
      </c>
      <c r="B1822" s="83">
        <v>10565.3</v>
      </c>
      <c r="C1822"/>
      <c r="D1822" s="84"/>
    </row>
    <row r="1823" spans="1:4" ht="16">
      <c r="A1823" s="82">
        <v>43208</v>
      </c>
      <c r="B1823" s="83">
        <v>10526.2</v>
      </c>
      <c r="C1823"/>
      <c r="D1823" s="84"/>
    </row>
    <row r="1824" spans="1:4" ht="16">
      <c r="A1824" s="82">
        <v>43207</v>
      </c>
      <c r="B1824" s="83">
        <v>10548.7</v>
      </c>
      <c r="C1824"/>
      <c r="D1824" s="84"/>
    </row>
    <row r="1825" spans="1:4" ht="16">
      <c r="A1825" s="82">
        <v>43206</v>
      </c>
      <c r="B1825" s="83">
        <v>10528.35</v>
      </c>
      <c r="C1825"/>
      <c r="D1825" s="84"/>
    </row>
    <row r="1826" spans="1:4" ht="16">
      <c r="A1826" s="82">
        <v>43203</v>
      </c>
      <c r="B1826" s="83">
        <v>10480.6</v>
      </c>
      <c r="C1826"/>
      <c r="D1826" s="84"/>
    </row>
    <row r="1827" spans="1:4" ht="16">
      <c r="A1827" s="82">
        <v>43202</v>
      </c>
      <c r="B1827" s="83">
        <v>10458.65</v>
      </c>
      <c r="C1827"/>
      <c r="D1827" s="84"/>
    </row>
    <row r="1828" spans="1:4" ht="16">
      <c r="A1828" s="82">
        <v>43201</v>
      </c>
      <c r="B1828" s="83">
        <v>10417.15</v>
      </c>
      <c r="C1828"/>
      <c r="D1828" s="84"/>
    </row>
    <row r="1829" spans="1:4" ht="16">
      <c r="A1829" s="82">
        <v>43200</v>
      </c>
      <c r="B1829" s="83">
        <v>10402.25</v>
      </c>
      <c r="C1829"/>
      <c r="D1829" s="84"/>
    </row>
    <row r="1830" spans="1:4" ht="16">
      <c r="A1830" s="82">
        <v>43199</v>
      </c>
      <c r="B1830" s="83">
        <v>10379.35</v>
      </c>
      <c r="C1830"/>
      <c r="D1830" s="84"/>
    </row>
    <row r="1831" spans="1:4" ht="16">
      <c r="A1831" s="82">
        <v>43196</v>
      </c>
      <c r="B1831" s="83">
        <v>10331.6</v>
      </c>
      <c r="C1831"/>
      <c r="D1831" s="84"/>
    </row>
    <row r="1832" spans="1:4" ht="16">
      <c r="A1832" s="82">
        <v>43195</v>
      </c>
      <c r="B1832" s="83">
        <v>10325.15</v>
      </c>
      <c r="C1832"/>
      <c r="D1832" s="84"/>
    </row>
    <row r="1833" spans="1:4" ht="16">
      <c r="A1833" s="82">
        <v>43194</v>
      </c>
      <c r="B1833" s="83">
        <v>10128.4</v>
      </c>
      <c r="C1833"/>
      <c r="D1833" s="84"/>
    </row>
    <row r="1834" spans="1:4" ht="16">
      <c r="A1834" s="82">
        <v>43193</v>
      </c>
      <c r="B1834" s="83">
        <v>10245</v>
      </c>
      <c r="C1834"/>
      <c r="D1834" s="84"/>
    </row>
    <row r="1835" spans="1:4" ht="16">
      <c r="A1835" s="82">
        <v>43192</v>
      </c>
      <c r="B1835" s="83">
        <v>10211.799999999999</v>
      </c>
      <c r="C1835"/>
      <c r="D1835" s="84"/>
    </row>
    <row r="1836" spans="1:4" ht="16">
      <c r="A1836" s="82">
        <v>43187</v>
      </c>
      <c r="B1836" s="83">
        <v>10113.700000000001</v>
      </c>
      <c r="C1836"/>
      <c r="D1836" s="84"/>
    </row>
    <row r="1837" spans="1:4" ht="16">
      <c r="A1837" s="82">
        <v>43186</v>
      </c>
      <c r="B1837" s="83">
        <v>10184.15</v>
      </c>
      <c r="C1837"/>
      <c r="D1837" s="84"/>
    </row>
    <row r="1838" spans="1:4" ht="16">
      <c r="A1838" s="82">
        <v>43185</v>
      </c>
      <c r="B1838" s="83">
        <v>10130.65</v>
      </c>
      <c r="C1838"/>
      <c r="D1838" s="84"/>
    </row>
    <row r="1839" spans="1:4" ht="16">
      <c r="A1839" s="82">
        <v>43182</v>
      </c>
      <c r="B1839" s="83">
        <v>9998.0499999999993</v>
      </c>
      <c r="C1839"/>
      <c r="D1839" s="84"/>
    </row>
    <row r="1840" spans="1:4" ht="16">
      <c r="A1840" s="82">
        <v>43181</v>
      </c>
      <c r="B1840" s="83">
        <v>10114.75</v>
      </c>
      <c r="C1840"/>
      <c r="D1840" s="84"/>
    </row>
    <row r="1841" spans="1:4" ht="16">
      <c r="A1841" s="82">
        <v>43180</v>
      </c>
      <c r="B1841" s="83">
        <v>10155.25</v>
      </c>
      <c r="C1841"/>
      <c r="D1841" s="84"/>
    </row>
    <row r="1842" spans="1:4" ht="16">
      <c r="A1842" s="82">
        <v>43179</v>
      </c>
      <c r="B1842" s="83">
        <v>10124.35</v>
      </c>
      <c r="C1842"/>
      <c r="D1842" s="84"/>
    </row>
    <row r="1843" spans="1:4" ht="16">
      <c r="A1843" s="82">
        <v>43178</v>
      </c>
      <c r="B1843" s="83">
        <v>10094.25</v>
      </c>
      <c r="C1843"/>
      <c r="D1843" s="84"/>
    </row>
    <row r="1844" spans="1:4" ht="16">
      <c r="A1844" s="82">
        <v>43175</v>
      </c>
      <c r="B1844" s="83">
        <v>10195.15</v>
      </c>
      <c r="C1844"/>
      <c r="D1844" s="84"/>
    </row>
    <row r="1845" spans="1:4" ht="16">
      <c r="A1845" s="82">
        <v>43174</v>
      </c>
      <c r="B1845" s="83">
        <v>10360.15</v>
      </c>
      <c r="C1845"/>
      <c r="D1845" s="84"/>
    </row>
    <row r="1846" spans="1:4" ht="16">
      <c r="A1846" s="82">
        <v>43173</v>
      </c>
      <c r="B1846" s="83">
        <v>10410.9</v>
      </c>
      <c r="C1846"/>
      <c r="D1846" s="84"/>
    </row>
    <row r="1847" spans="1:4" ht="16">
      <c r="A1847" s="82">
        <v>43172</v>
      </c>
      <c r="B1847" s="83">
        <v>10426.85</v>
      </c>
      <c r="C1847"/>
      <c r="D1847" s="84"/>
    </row>
    <row r="1848" spans="1:4" ht="16">
      <c r="A1848" s="82">
        <v>43171</v>
      </c>
      <c r="B1848" s="83">
        <v>10421.4</v>
      </c>
      <c r="C1848"/>
      <c r="D1848" s="84"/>
    </row>
    <row r="1849" spans="1:4" ht="16">
      <c r="A1849" s="82">
        <v>43168</v>
      </c>
      <c r="B1849" s="83">
        <v>10226.85</v>
      </c>
      <c r="C1849"/>
      <c r="D1849" s="84"/>
    </row>
    <row r="1850" spans="1:4" ht="16">
      <c r="A1850" s="82">
        <v>43167</v>
      </c>
      <c r="B1850" s="83">
        <v>10242.65</v>
      </c>
      <c r="C1850"/>
      <c r="D1850" s="84"/>
    </row>
    <row r="1851" spans="1:4" ht="16">
      <c r="A1851" s="82">
        <v>43166</v>
      </c>
      <c r="B1851" s="83">
        <v>10154.200000000001</v>
      </c>
      <c r="C1851"/>
      <c r="D1851" s="84"/>
    </row>
    <row r="1852" spans="1:4" ht="16">
      <c r="A1852" s="82">
        <v>43165</v>
      </c>
      <c r="B1852" s="83">
        <v>10249.25</v>
      </c>
      <c r="C1852"/>
      <c r="D1852" s="84"/>
    </row>
    <row r="1853" spans="1:4" ht="16">
      <c r="A1853" s="82">
        <v>43164</v>
      </c>
      <c r="B1853" s="83">
        <v>10358.85</v>
      </c>
      <c r="C1853"/>
      <c r="D1853" s="84"/>
    </row>
    <row r="1854" spans="1:4" ht="16">
      <c r="A1854" s="82">
        <v>43160</v>
      </c>
      <c r="B1854" s="83">
        <v>10458.35</v>
      </c>
      <c r="C1854"/>
      <c r="D1854" s="84"/>
    </row>
    <row r="1855" spans="1:4" ht="16">
      <c r="A1855" s="82">
        <v>43159</v>
      </c>
      <c r="B1855" s="83">
        <v>10492.85</v>
      </c>
      <c r="C1855"/>
      <c r="D1855" s="84"/>
    </row>
    <row r="1856" spans="1:4" ht="16">
      <c r="A1856" s="82">
        <v>43158</v>
      </c>
      <c r="B1856" s="83">
        <v>10554.3</v>
      </c>
      <c r="C1856"/>
      <c r="D1856" s="84"/>
    </row>
    <row r="1857" spans="1:4" ht="16">
      <c r="A1857" s="82">
        <v>43157</v>
      </c>
      <c r="B1857" s="83">
        <v>10582.6</v>
      </c>
      <c r="C1857"/>
      <c r="D1857" s="84"/>
    </row>
    <row r="1858" spans="1:4" ht="16">
      <c r="A1858" s="82">
        <v>43154</v>
      </c>
      <c r="B1858" s="83">
        <v>10491.05</v>
      </c>
      <c r="C1858"/>
      <c r="D1858" s="84"/>
    </row>
    <row r="1859" spans="1:4" ht="16">
      <c r="A1859" s="82">
        <v>43153</v>
      </c>
      <c r="B1859" s="83">
        <v>10382.700000000001</v>
      </c>
      <c r="C1859"/>
      <c r="D1859" s="84"/>
    </row>
    <row r="1860" spans="1:4" ht="16">
      <c r="A1860" s="82">
        <v>43152</v>
      </c>
      <c r="B1860" s="83">
        <v>10397.450000000001</v>
      </c>
      <c r="C1860"/>
      <c r="D1860" s="84"/>
    </row>
    <row r="1861" spans="1:4" ht="16">
      <c r="A1861" s="82">
        <v>43151</v>
      </c>
      <c r="B1861" s="83">
        <v>10360.4</v>
      </c>
      <c r="C1861"/>
      <c r="D1861" s="84"/>
    </row>
    <row r="1862" spans="1:4" ht="16">
      <c r="A1862" s="82">
        <v>43150</v>
      </c>
      <c r="B1862" s="83">
        <v>10378.4</v>
      </c>
      <c r="C1862"/>
      <c r="D1862" s="84"/>
    </row>
    <row r="1863" spans="1:4" ht="16">
      <c r="A1863" s="82">
        <v>43147</v>
      </c>
      <c r="B1863" s="83">
        <v>10452.299999999999</v>
      </c>
      <c r="C1863"/>
      <c r="D1863" s="84"/>
    </row>
    <row r="1864" spans="1:4" ht="16">
      <c r="A1864" s="82">
        <v>43146</v>
      </c>
      <c r="B1864" s="83">
        <v>10545.5</v>
      </c>
      <c r="C1864"/>
      <c r="D1864" s="84"/>
    </row>
    <row r="1865" spans="1:4" ht="16">
      <c r="A1865" s="82">
        <v>43145</v>
      </c>
      <c r="B1865" s="83">
        <v>10500.9</v>
      </c>
      <c r="C1865"/>
      <c r="D1865" s="84"/>
    </row>
    <row r="1866" spans="1:4" ht="16">
      <c r="A1866" s="82">
        <v>43143</v>
      </c>
      <c r="B1866" s="83">
        <v>10539.75</v>
      </c>
      <c r="C1866"/>
      <c r="D1866" s="84"/>
    </row>
    <row r="1867" spans="1:4" ht="16">
      <c r="A1867" s="82">
        <v>43140</v>
      </c>
      <c r="B1867" s="83">
        <v>10454.950000000001</v>
      </c>
      <c r="C1867"/>
      <c r="D1867" s="84"/>
    </row>
    <row r="1868" spans="1:4" ht="16">
      <c r="A1868" s="82">
        <v>43139</v>
      </c>
      <c r="B1868" s="83">
        <v>10576.85</v>
      </c>
      <c r="C1868"/>
      <c r="D1868" s="84"/>
    </row>
    <row r="1869" spans="1:4" ht="16">
      <c r="A1869" s="82">
        <v>43138</v>
      </c>
      <c r="B1869" s="83">
        <v>10476.700000000001</v>
      </c>
      <c r="C1869"/>
      <c r="D1869" s="84"/>
    </row>
    <row r="1870" spans="1:4" ht="16">
      <c r="A1870" s="82">
        <v>43137</v>
      </c>
      <c r="B1870" s="83">
        <v>10498.25</v>
      </c>
      <c r="C1870"/>
      <c r="D1870" s="84"/>
    </row>
    <row r="1871" spans="1:4" ht="16">
      <c r="A1871" s="82">
        <v>43136</v>
      </c>
      <c r="B1871" s="83">
        <v>10666.55</v>
      </c>
      <c r="C1871"/>
      <c r="D1871" s="84"/>
    </row>
    <row r="1872" spans="1:4" ht="16">
      <c r="A1872" s="82">
        <v>43133</v>
      </c>
      <c r="B1872" s="83">
        <v>10760.6</v>
      </c>
      <c r="C1872"/>
      <c r="D1872" s="84"/>
    </row>
    <row r="1873" spans="1:4" ht="16">
      <c r="A1873" s="82">
        <v>43132</v>
      </c>
      <c r="B1873" s="83">
        <v>11016.9</v>
      </c>
      <c r="C1873"/>
      <c r="D1873" s="84"/>
    </row>
    <row r="1874" spans="1:4" ht="16">
      <c r="A1874" s="82">
        <v>43131</v>
      </c>
      <c r="B1874" s="83">
        <v>11027.7</v>
      </c>
      <c r="C1874"/>
      <c r="D1874" s="84"/>
    </row>
    <row r="1875" spans="1:4" ht="16">
      <c r="A1875" s="82">
        <v>43130</v>
      </c>
      <c r="B1875" s="83">
        <v>11049.65</v>
      </c>
      <c r="C1875"/>
      <c r="D1875" s="84"/>
    </row>
    <row r="1876" spans="1:4" ht="16">
      <c r="A1876" s="82">
        <v>43129</v>
      </c>
      <c r="B1876" s="83">
        <v>11130.4</v>
      </c>
      <c r="C1876"/>
      <c r="D1876" s="84"/>
    </row>
    <row r="1877" spans="1:4" ht="16">
      <c r="A1877" s="82">
        <v>43125</v>
      </c>
      <c r="B1877" s="83">
        <v>11069.65</v>
      </c>
      <c r="C1877"/>
      <c r="D1877" s="84"/>
    </row>
    <row r="1878" spans="1:4" ht="16">
      <c r="A1878" s="82">
        <v>43124</v>
      </c>
      <c r="B1878" s="83">
        <v>11086</v>
      </c>
      <c r="C1878"/>
      <c r="D1878" s="84"/>
    </row>
    <row r="1879" spans="1:4" ht="16">
      <c r="A1879" s="82">
        <v>43123</v>
      </c>
      <c r="B1879" s="83">
        <v>11083.7</v>
      </c>
      <c r="C1879"/>
      <c r="D1879" s="84"/>
    </row>
    <row r="1880" spans="1:4" ht="16">
      <c r="A1880" s="82">
        <v>43122</v>
      </c>
      <c r="B1880" s="83">
        <v>10966.2</v>
      </c>
      <c r="C1880"/>
      <c r="D1880" s="84"/>
    </row>
    <row r="1881" spans="1:4" ht="16">
      <c r="A1881" s="82">
        <v>43119</v>
      </c>
      <c r="B1881" s="83">
        <v>10894.7</v>
      </c>
      <c r="C1881"/>
      <c r="D1881" s="84"/>
    </row>
    <row r="1882" spans="1:4" ht="16">
      <c r="A1882" s="82">
        <v>43118</v>
      </c>
      <c r="B1882" s="83">
        <v>10817</v>
      </c>
      <c r="C1882"/>
      <c r="D1882" s="84"/>
    </row>
    <row r="1883" spans="1:4" ht="16">
      <c r="A1883" s="82">
        <v>43117</v>
      </c>
      <c r="B1883" s="83">
        <v>10788.55</v>
      </c>
      <c r="C1883"/>
      <c r="D1883" s="84"/>
    </row>
    <row r="1884" spans="1:4" ht="16">
      <c r="A1884" s="82">
        <v>43116</v>
      </c>
      <c r="B1884" s="83">
        <v>10700.45</v>
      </c>
      <c r="C1884"/>
      <c r="D1884" s="84"/>
    </row>
    <row r="1885" spans="1:4" ht="16">
      <c r="A1885" s="82">
        <v>43115</v>
      </c>
      <c r="B1885" s="83">
        <v>10741.55</v>
      </c>
      <c r="C1885"/>
      <c r="D1885" s="84"/>
    </row>
    <row r="1886" spans="1:4" ht="16">
      <c r="A1886" s="82">
        <v>43112</v>
      </c>
      <c r="B1886" s="83">
        <v>10681.25</v>
      </c>
      <c r="C1886"/>
      <c r="D1886" s="84"/>
    </row>
    <row r="1887" spans="1:4" ht="16">
      <c r="A1887" s="82">
        <v>43111</v>
      </c>
      <c r="B1887" s="83">
        <v>10651.2</v>
      </c>
      <c r="C1887"/>
      <c r="D1887" s="84"/>
    </row>
    <row r="1888" spans="1:4" ht="16">
      <c r="A1888" s="82">
        <v>43110</v>
      </c>
      <c r="B1888" s="83">
        <v>10632.2</v>
      </c>
      <c r="C1888"/>
      <c r="D1888" s="84"/>
    </row>
    <row r="1889" spans="1:4" ht="16">
      <c r="A1889" s="82">
        <v>43109</v>
      </c>
      <c r="B1889" s="83">
        <v>10637</v>
      </c>
      <c r="C1889"/>
      <c r="D1889" s="84"/>
    </row>
    <row r="1890" spans="1:4" ht="16">
      <c r="A1890" s="82">
        <v>43108</v>
      </c>
      <c r="B1890" s="83">
        <v>10623.6</v>
      </c>
      <c r="C1890"/>
      <c r="D1890" s="84"/>
    </row>
    <row r="1891" spans="1:4" ht="16">
      <c r="A1891" s="82">
        <v>43105</v>
      </c>
      <c r="B1891" s="83">
        <v>10558.85</v>
      </c>
      <c r="C1891"/>
      <c r="D1891" s="84"/>
    </row>
    <row r="1892" spans="1:4" ht="16">
      <c r="A1892" s="82">
        <v>43104</v>
      </c>
      <c r="B1892" s="83">
        <v>10504.8</v>
      </c>
      <c r="C1892"/>
      <c r="D1892" s="84"/>
    </row>
    <row r="1893" spans="1:4" ht="16">
      <c r="A1893" s="82">
        <v>43103</v>
      </c>
      <c r="B1893" s="83">
        <v>10443.200000000001</v>
      </c>
      <c r="C1893"/>
      <c r="D1893" s="84"/>
    </row>
    <row r="1894" spans="1:4" ht="16">
      <c r="A1894" s="82">
        <v>43102</v>
      </c>
      <c r="B1894" s="83">
        <v>10442.200000000001</v>
      </c>
      <c r="C1894"/>
      <c r="D1894" s="84"/>
    </row>
    <row r="1895" spans="1:4" ht="16">
      <c r="A1895" s="82">
        <v>43101</v>
      </c>
      <c r="B1895" s="83">
        <v>10435.549999999999</v>
      </c>
      <c r="C1895"/>
      <c r="D1895" s="84"/>
    </row>
    <row r="1896" spans="1:4" ht="16">
      <c r="A1896" s="82">
        <v>43098</v>
      </c>
      <c r="B1896" s="83">
        <v>10530.7</v>
      </c>
      <c r="C1896"/>
      <c r="D1896" s="84"/>
    </row>
    <row r="1897" spans="1:4" ht="16">
      <c r="A1897" s="82">
        <v>43097</v>
      </c>
      <c r="B1897" s="83">
        <v>10477.9</v>
      </c>
      <c r="C1897"/>
      <c r="D1897" s="84"/>
    </row>
    <row r="1898" spans="1:4" ht="16">
      <c r="A1898" s="82">
        <v>43096</v>
      </c>
      <c r="B1898" s="83">
        <v>10490.75</v>
      </c>
      <c r="C1898"/>
      <c r="D1898" s="84"/>
    </row>
    <row r="1899" spans="1:4" ht="16">
      <c r="A1899" s="82">
        <v>43095</v>
      </c>
      <c r="B1899" s="83">
        <v>10531.5</v>
      </c>
      <c r="C1899"/>
      <c r="D1899" s="84"/>
    </row>
    <row r="1900" spans="1:4" ht="16">
      <c r="A1900" s="82">
        <v>43091</v>
      </c>
      <c r="B1900" s="83">
        <v>10493</v>
      </c>
      <c r="C1900"/>
      <c r="D1900" s="84"/>
    </row>
    <row r="1901" spans="1:4" ht="16">
      <c r="A1901" s="82">
        <v>43090</v>
      </c>
      <c r="B1901" s="83">
        <v>10440.299999999999</v>
      </c>
      <c r="C1901"/>
      <c r="D1901" s="84"/>
    </row>
    <row r="1902" spans="1:4" ht="16">
      <c r="A1902" s="82">
        <v>43089</v>
      </c>
      <c r="B1902" s="83">
        <v>10444.200000000001</v>
      </c>
      <c r="C1902"/>
      <c r="D1902" s="84"/>
    </row>
    <row r="1903" spans="1:4" ht="16">
      <c r="A1903" s="82">
        <v>43088</v>
      </c>
      <c r="B1903" s="83">
        <v>10463.200000000001</v>
      </c>
      <c r="C1903"/>
      <c r="D1903" s="84"/>
    </row>
    <row r="1904" spans="1:4" ht="16">
      <c r="A1904" s="82">
        <v>43087</v>
      </c>
      <c r="B1904" s="83">
        <v>10388.75</v>
      </c>
      <c r="C1904"/>
      <c r="D1904" s="84"/>
    </row>
    <row r="1905" spans="1:4" ht="16">
      <c r="A1905" s="82">
        <v>43084</v>
      </c>
      <c r="B1905" s="83">
        <v>10333.25</v>
      </c>
      <c r="C1905"/>
      <c r="D1905" s="84"/>
    </row>
    <row r="1906" spans="1:4" ht="16">
      <c r="A1906" s="82">
        <v>43083</v>
      </c>
      <c r="B1906" s="83">
        <v>10252.1</v>
      </c>
      <c r="C1906"/>
      <c r="D1906" s="84"/>
    </row>
    <row r="1907" spans="1:4" ht="16">
      <c r="A1907" s="82">
        <v>43082</v>
      </c>
      <c r="B1907" s="83">
        <v>10192.950000000001</v>
      </c>
      <c r="C1907"/>
      <c r="D1907" s="84"/>
    </row>
    <row r="1908" spans="1:4" ht="16">
      <c r="A1908" s="82">
        <v>43081</v>
      </c>
      <c r="B1908" s="83">
        <v>10240.15</v>
      </c>
      <c r="C1908"/>
      <c r="D1908" s="84"/>
    </row>
    <row r="1909" spans="1:4" ht="16">
      <c r="A1909" s="82">
        <v>43080</v>
      </c>
      <c r="B1909" s="83">
        <v>10322.25</v>
      </c>
      <c r="C1909"/>
      <c r="D1909" s="84"/>
    </row>
    <row r="1910" spans="1:4" ht="16">
      <c r="A1910" s="82">
        <v>43077</v>
      </c>
      <c r="B1910" s="83">
        <v>10265.65</v>
      </c>
      <c r="C1910"/>
      <c r="D1910" s="84"/>
    </row>
    <row r="1911" spans="1:4" ht="16">
      <c r="A1911" s="82">
        <v>43076</v>
      </c>
      <c r="B1911" s="83">
        <v>10166.700000000001</v>
      </c>
      <c r="C1911"/>
      <c r="D1911" s="84"/>
    </row>
    <row r="1912" spans="1:4" ht="16">
      <c r="A1912" s="82">
        <v>43075</v>
      </c>
      <c r="B1912" s="83">
        <v>10044.1</v>
      </c>
      <c r="C1912"/>
      <c r="D1912" s="84"/>
    </row>
    <row r="1913" spans="1:4" ht="16">
      <c r="A1913" s="82">
        <v>43074</v>
      </c>
      <c r="B1913" s="83">
        <v>10118.25</v>
      </c>
      <c r="C1913"/>
      <c r="D1913" s="84"/>
    </row>
    <row r="1914" spans="1:4" ht="16">
      <c r="A1914" s="82">
        <v>43073</v>
      </c>
      <c r="B1914" s="83">
        <v>10127.75</v>
      </c>
      <c r="C1914"/>
      <c r="D1914" s="84"/>
    </row>
    <row r="1915" spans="1:4" ht="16">
      <c r="A1915" s="82">
        <v>43070</v>
      </c>
      <c r="B1915" s="83">
        <v>10121.799999999999</v>
      </c>
      <c r="C1915"/>
      <c r="D1915" s="84"/>
    </row>
    <row r="1916" spans="1:4" ht="16">
      <c r="A1916" s="82">
        <v>43069</v>
      </c>
      <c r="B1916" s="83">
        <v>10226.549999999999</v>
      </c>
      <c r="C1916"/>
      <c r="D1916" s="84"/>
    </row>
    <row r="1917" spans="1:4" ht="16">
      <c r="A1917" s="82">
        <v>43068</v>
      </c>
      <c r="B1917" s="83">
        <v>10361.299999999999</v>
      </c>
      <c r="C1917"/>
      <c r="D1917" s="84"/>
    </row>
    <row r="1918" spans="1:4" ht="16">
      <c r="A1918" s="82">
        <v>43067</v>
      </c>
      <c r="B1918" s="83">
        <v>10370.25</v>
      </c>
      <c r="C1918"/>
      <c r="D1918" s="84"/>
    </row>
    <row r="1919" spans="1:4" ht="16">
      <c r="A1919" s="82">
        <v>43066</v>
      </c>
      <c r="B1919" s="83">
        <v>10399.549999999999</v>
      </c>
      <c r="C1919"/>
      <c r="D1919" s="84"/>
    </row>
    <row r="1920" spans="1:4" ht="16">
      <c r="A1920" s="82">
        <v>43063</v>
      </c>
      <c r="B1920" s="83">
        <v>10389.700000000001</v>
      </c>
      <c r="C1920"/>
      <c r="D1920" s="84"/>
    </row>
    <row r="1921" spans="1:4" ht="16">
      <c r="A1921" s="82">
        <v>43062</v>
      </c>
      <c r="B1921" s="83">
        <v>10348.75</v>
      </c>
      <c r="C1921"/>
      <c r="D1921" s="84"/>
    </row>
    <row r="1922" spans="1:4" ht="16">
      <c r="A1922" s="82">
        <v>43061</v>
      </c>
      <c r="B1922" s="83">
        <v>10342.299999999999</v>
      </c>
      <c r="C1922"/>
      <c r="D1922" s="84"/>
    </row>
    <row r="1923" spans="1:4" ht="16">
      <c r="A1923" s="82">
        <v>43060</v>
      </c>
      <c r="B1923" s="83">
        <v>10326.9</v>
      </c>
      <c r="C1923"/>
      <c r="D1923" s="84"/>
    </row>
    <row r="1924" spans="1:4" ht="16">
      <c r="A1924" s="82">
        <v>43059</v>
      </c>
      <c r="B1924" s="83">
        <v>10298.75</v>
      </c>
      <c r="C1924"/>
      <c r="D1924" s="84"/>
    </row>
    <row r="1925" spans="1:4" ht="16">
      <c r="A1925" s="82">
        <v>43056</v>
      </c>
      <c r="B1925" s="83">
        <v>10283.6</v>
      </c>
      <c r="C1925"/>
      <c r="D1925" s="84"/>
    </row>
    <row r="1926" spans="1:4" ht="16">
      <c r="A1926" s="82">
        <v>43055</v>
      </c>
      <c r="B1926" s="83">
        <v>10214.75</v>
      </c>
      <c r="C1926"/>
      <c r="D1926" s="84"/>
    </row>
    <row r="1927" spans="1:4" ht="16">
      <c r="A1927" s="82">
        <v>43054</v>
      </c>
      <c r="B1927" s="83">
        <v>10118.049999999999</v>
      </c>
      <c r="C1927"/>
      <c r="D1927" s="84"/>
    </row>
    <row r="1928" spans="1:4" ht="16">
      <c r="A1928" s="82">
        <v>43053</v>
      </c>
      <c r="B1928" s="83">
        <v>10186.6</v>
      </c>
      <c r="C1928"/>
      <c r="D1928" s="84"/>
    </row>
    <row r="1929" spans="1:4" ht="16">
      <c r="A1929" s="82">
        <v>43052</v>
      </c>
      <c r="B1929" s="83">
        <v>10224.950000000001</v>
      </c>
      <c r="C1929"/>
      <c r="D1929" s="84"/>
    </row>
    <row r="1930" spans="1:4" ht="16">
      <c r="A1930" s="82">
        <v>43049</v>
      </c>
      <c r="B1930" s="83">
        <v>10321.75</v>
      </c>
      <c r="C1930"/>
      <c r="D1930" s="84"/>
    </row>
    <row r="1931" spans="1:4" ht="16">
      <c r="A1931" s="82">
        <v>43048</v>
      </c>
      <c r="B1931" s="83">
        <v>10308.950000000001</v>
      </c>
      <c r="C1931"/>
      <c r="D1931" s="84"/>
    </row>
    <row r="1932" spans="1:4" ht="16">
      <c r="A1932" s="82">
        <v>43047</v>
      </c>
      <c r="B1932" s="83">
        <v>10303.15</v>
      </c>
      <c r="C1932"/>
      <c r="D1932" s="84"/>
    </row>
    <row r="1933" spans="1:4" ht="16">
      <c r="A1933" s="82">
        <v>43046</v>
      </c>
      <c r="B1933" s="83">
        <v>10350.15</v>
      </c>
      <c r="C1933"/>
      <c r="D1933" s="84"/>
    </row>
    <row r="1934" spans="1:4" ht="16">
      <c r="A1934" s="82">
        <v>43045</v>
      </c>
      <c r="B1934" s="83">
        <v>10451.799999999999</v>
      </c>
      <c r="C1934"/>
      <c r="D1934" s="84"/>
    </row>
    <row r="1935" spans="1:4" ht="16">
      <c r="A1935" s="82">
        <v>43042</v>
      </c>
      <c r="B1935" s="83">
        <v>10452.5</v>
      </c>
      <c r="C1935"/>
      <c r="D1935" s="84"/>
    </row>
    <row r="1936" spans="1:4" ht="16">
      <c r="A1936" s="82">
        <v>43041</v>
      </c>
      <c r="B1936" s="83">
        <v>10423.799999999999</v>
      </c>
      <c r="C1936"/>
      <c r="D1936" s="84"/>
    </row>
    <row r="1937" spans="1:4" ht="16">
      <c r="A1937" s="82">
        <v>43040</v>
      </c>
      <c r="B1937" s="83">
        <v>10440.5</v>
      </c>
      <c r="C1937"/>
      <c r="D1937" s="84"/>
    </row>
    <row r="1938" spans="1:4" ht="16">
      <c r="A1938" s="82">
        <v>43039</v>
      </c>
      <c r="B1938" s="83">
        <v>10335.299999999999</v>
      </c>
      <c r="C1938"/>
      <c r="D1938" s="84"/>
    </row>
    <row r="1939" spans="1:4" ht="16">
      <c r="A1939" s="82">
        <v>43038</v>
      </c>
      <c r="B1939" s="83">
        <v>10363.65</v>
      </c>
      <c r="C1939"/>
      <c r="D1939" s="84"/>
    </row>
    <row r="1940" spans="1:4" ht="16">
      <c r="A1940" s="82">
        <v>43035</v>
      </c>
      <c r="B1940" s="83">
        <v>10323.049999999999</v>
      </c>
      <c r="C1940"/>
      <c r="D1940" s="84"/>
    </row>
    <row r="1941" spans="1:4" ht="16">
      <c r="A1941" s="82">
        <v>43034</v>
      </c>
      <c r="B1941" s="83">
        <v>10343.799999999999</v>
      </c>
      <c r="C1941"/>
      <c r="D1941" s="84"/>
    </row>
    <row r="1942" spans="1:4" ht="16">
      <c r="A1942" s="82">
        <v>43033</v>
      </c>
      <c r="B1942" s="83">
        <v>10295.35</v>
      </c>
      <c r="C1942"/>
      <c r="D1942" s="84"/>
    </row>
    <row r="1943" spans="1:4" ht="16">
      <c r="A1943" s="82">
        <v>43032</v>
      </c>
      <c r="B1943" s="83">
        <v>10207.700000000001</v>
      </c>
      <c r="C1943"/>
      <c r="D1943" s="84"/>
    </row>
    <row r="1944" spans="1:4" ht="16">
      <c r="A1944" s="82">
        <v>43031</v>
      </c>
      <c r="B1944" s="83">
        <v>10184.85</v>
      </c>
      <c r="C1944"/>
      <c r="D1944" s="84"/>
    </row>
    <row r="1945" spans="1:4" ht="16">
      <c r="A1945" s="82">
        <v>43027</v>
      </c>
      <c r="B1945" s="83">
        <v>10146.549999999999</v>
      </c>
      <c r="C1945"/>
      <c r="D1945" s="84"/>
    </row>
    <row r="1946" spans="1:4" ht="16">
      <c r="A1946" s="82">
        <v>43026</v>
      </c>
      <c r="B1946" s="83">
        <v>10210.85</v>
      </c>
      <c r="C1946"/>
      <c r="D1946" s="84"/>
    </row>
    <row r="1947" spans="1:4" ht="16">
      <c r="A1947" s="82">
        <v>43025</v>
      </c>
      <c r="B1947" s="83">
        <v>10234.450000000001</v>
      </c>
      <c r="C1947"/>
      <c r="D1947" s="84"/>
    </row>
    <row r="1948" spans="1:4" ht="16">
      <c r="A1948" s="82">
        <v>43024</v>
      </c>
      <c r="B1948" s="83">
        <v>10230.85</v>
      </c>
      <c r="C1948"/>
      <c r="D1948" s="84"/>
    </row>
    <row r="1949" spans="1:4" ht="16">
      <c r="A1949" s="82">
        <v>43021</v>
      </c>
      <c r="B1949" s="83">
        <v>10167.450000000001</v>
      </c>
      <c r="C1949"/>
      <c r="D1949" s="84"/>
    </row>
    <row r="1950" spans="1:4" ht="16">
      <c r="A1950" s="82">
        <v>43020</v>
      </c>
      <c r="B1950" s="83">
        <v>10096.4</v>
      </c>
      <c r="C1950"/>
      <c r="D1950" s="84"/>
    </row>
    <row r="1951" spans="1:4" ht="16">
      <c r="A1951" s="82">
        <v>43019</v>
      </c>
      <c r="B1951" s="83">
        <v>9984.7999999999993</v>
      </c>
      <c r="C1951"/>
      <c r="D1951" s="84"/>
    </row>
    <row r="1952" spans="1:4" ht="16">
      <c r="A1952" s="82">
        <v>43018</v>
      </c>
      <c r="B1952" s="83">
        <v>10016.950000000001</v>
      </c>
      <c r="C1952"/>
      <c r="D1952" s="84"/>
    </row>
    <row r="1953" spans="1:4" ht="16">
      <c r="A1953" s="82">
        <v>43017</v>
      </c>
      <c r="B1953" s="83">
        <v>9988.75</v>
      </c>
      <c r="C1953"/>
      <c r="D1953" s="84"/>
    </row>
    <row r="1954" spans="1:4" ht="16">
      <c r="A1954" s="82">
        <v>43014</v>
      </c>
      <c r="B1954" s="83">
        <v>9979.7000000000007</v>
      </c>
      <c r="C1954"/>
      <c r="D1954" s="84"/>
    </row>
    <row r="1955" spans="1:4" ht="16">
      <c r="A1955" s="82">
        <v>43013</v>
      </c>
      <c r="B1955" s="83">
        <v>9888.7000000000007</v>
      </c>
      <c r="C1955"/>
      <c r="D1955" s="84"/>
    </row>
    <row r="1956" spans="1:4" ht="16">
      <c r="A1956" s="82">
        <v>43012</v>
      </c>
      <c r="B1956" s="83">
        <v>9914.9</v>
      </c>
      <c r="C1956"/>
      <c r="D1956" s="84"/>
    </row>
    <row r="1957" spans="1:4" ht="16">
      <c r="A1957" s="82">
        <v>43011</v>
      </c>
      <c r="B1957" s="83">
        <v>9859.5</v>
      </c>
      <c r="C1957"/>
      <c r="D1957" s="84"/>
    </row>
    <row r="1958" spans="1:4" ht="16">
      <c r="A1958" s="82">
        <v>43007</v>
      </c>
      <c r="B1958" s="83">
        <v>9788.6</v>
      </c>
      <c r="C1958"/>
      <c r="D1958" s="84"/>
    </row>
    <row r="1959" spans="1:4" ht="16">
      <c r="A1959" s="82">
        <v>43006</v>
      </c>
      <c r="B1959" s="83">
        <v>9768.9500000000007</v>
      </c>
      <c r="C1959"/>
      <c r="D1959" s="84"/>
    </row>
    <row r="1960" spans="1:4" ht="16">
      <c r="A1960" s="82">
        <v>43005</v>
      </c>
      <c r="B1960" s="83">
        <v>9735.75</v>
      </c>
      <c r="C1960"/>
      <c r="D1960" s="84"/>
    </row>
    <row r="1961" spans="1:4" ht="16">
      <c r="A1961" s="82">
        <v>43004</v>
      </c>
      <c r="B1961" s="83">
        <v>9871.5</v>
      </c>
      <c r="C1961"/>
      <c r="D1961" s="84"/>
    </row>
    <row r="1962" spans="1:4" ht="16">
      <c r="A1962" s="82">
        <v>43003</v>
      </c>
      <c r="B1962" s="83">
        <v>9872.6</v>
      </c>
      <c r="C1962"/>
      <c r="D1962" s="84"/>
    </row>
    <row r="1963" spans="1:4" ht="16">
      <c r="A1963" s="82">
        <v>43000</v>
      </c>
      <c r="B1963" s="83">
        <v>9964.4</v>
      </c>
      <c r="C1963"/>
      <c r="D1963" s="84"/>
    </row>
    <row r="1964" spans="1:4" ht="16">
      <c r="A1964" s="82">
        <v>42999</v>
      </c>
      <c r="B1964" s="83">
        <v>10121.9</v>
      </c>
      <c r="C1964"/>
      <c r="D1964" s="84"/>
    </row>
    <row r="1965" spans="1:4" ht="16">
      <c r="A1965" s="82">
        <v>42998</v>
      </c>
      <c r="B1965" s="83">
        <v>10141.15</v>
      </c>
      <c r="C1965"/>
      <c r="D1965" s="84"/>
    </row>
    <row r="1966" spans="1:4" ht="16">
      <c r="A1966" s="82">
        <v>42997</v>
      </c>
      <c r="B1966" s="83">
        <v>10147.549999999999</v>
      </c>
      <c r="C1966"/>
      <c r="D1966" s="84"/>
    </row>
    <row r="1967" spans="1:4" ht="16">
      <c r="A1967" s="82">
        <v>42996</v>
      </c>
      <c r="B1967" s="83">
        <v>10153.1</v>
      </c>
      <c r="C1967"/>
      <c r="D1967" s="84"/>
    </row>
    <row r="1968" spans="1:4" ht="16">
      <c r="A1968" s="82">
        <v>42993</v>
      </c>
      <c r="B1968" s="83">
        <v>10085.4</v>
      </c>
      <c r="C1968"/>
      <c r="D1968" s="84"/>
    </row>
    <row r="1969" spans="1:4" ht="16">
      <c r="A1969" s="82">
        <v>42992</v>
      </c>
      <c r="B1969" s="83">
        <v>10086.6</v>
      </c>
      <c r="C1969"/>
      <c r="D1969" s="84"/>
    </row>
    <row r="1970" spans="1:4" ht="16">
      <c r="A1970" s="82">
        <v>42991</v>
      </c>
      <c r="B1970" s="83">
        <v>10079.299999999999</v>
      </c>
      <c r="C1970"/>
      <c r="D1970" s="84"/>
    </row>
    <row r="1971" spans="1:4" ht="16">
      <c r="A1971" s="82">
        <v>42990</v>
      </c>
      <c r="B1971" s="83">
        <v>10093.049999999999</v>
      </c>
      <c r="C1971"/>
      <c r="D1971" s="84"/>
    </row>
    <row r="1972" spans="1:4" ht="16">
      <c r="A1972" s="82">
        <v>42989</v>
      </c>
      <c r="B1972" s="83">
        <v>10006.049999999999</v>
      </c>
      <c r="C1972"/>
      <c r="D1972" s="84"/>
    </row>
    <row r="1973" spans="1:4" ht="16">
      <c r="A1973" s="82">
        <v>42986</v>
      </c>
      <c r="B1973" s="83">
        <v>9934.7999999999993</v>
      </c>
      <c r="C1973"/>
      <c r="D1973" s="84"/>
    </row>
    <row r="1974" spans="1:4" ht="16">
      <c r="A1974" s="82">
        <v>42985</v>
      </c>
      <c r="B1974" s="83">
        <v>9929.9</v>
      </c>
      <c r="C1974"/>
      <c r="D1974" s="84"/>
    </row>
    <row r="1975" spans="1:4" ht="16">
      <c r="A1975" s="82">
        <v>42984</v>
      </c>
      <c r="B1975" s="83">
        <v>9916.2000000000007</v>
      </c>
      <c r="C1975"/>
      <c r="D1975" s="84"/>
    </row>
    <row r="1976" spans="1:4" ht="16">
      <c r="A1976" s="82">
        <v>42983</v>
      </c>
      <c r="B1976" s="83">
        <v>9952.2000000000007</v>
      </c>
      <c r="C1976"/>
      <c r="D1976" s="84"/>
    </row>
    <row r="1977" spans="1:4" ht="16">
      <c r="A1977" s="82">
        <v>42982</v>
      </c>
      <c r="B1977" s="83">
        <v>9912.85</v>
      </c>
      <c r="C1977"/>
      <c r="D1977" s="84"/>
    </row>
    <row r="1978" spans="1:4" ht="16">
      <c r="A1978" s="82">
        <v>42979</v>
      </c>
      <c r="B1978" s="83">
        <v>9974.4</v>
      </c>
      <c r="C1978"/>
      <c r="D1978" s="84"/>
    </row>
    <row r="1979" spans="1:4" ht="16">
      <c r="A1979" s="82">
        <v>42978</v>
      </c>
      <c r="B1979" s="83">
        <v>9917.9</v>
      </c>
      <c r="C1979"/>
      <c r="D1979" s="84"/>
    </row>
    <row r="1980" spans="1:4" ht="16">
      <c r="A1980" s="82">
        <v>42977</v>
      </c>
      <c r="B1980" s="83">
        <v>9884.4</v>
      </c>
      <c r="C1980"/>
      <c r="D1980" s="84"/>
    </row>
    <row r="1981" spans="1:4" ht="16">
      <c r="A1981" s="82">
        <v>42976</v>
      </c>
      <c r="B1981" s="83">
        <v>9796.0499999999993</v>
      </c>
      <c r="C1981"/>
      <c r="D1981" s="84"/>
    </row>
    <row r="1982" spans="1:4" ht="16">
      <c r="A1982" s="82">
        <v>42975</v>
      </c>
      <c r="B1982" s="83">
        <v>9912.7999999999993</v>
      </c>
      <c r="C1982"/>
      <c r="D1982" s="84"/>
    </row>
    <row r="1983" spans="1:4" ht="16">
      <c r="A1983" s="82">
        <v>42971</v>
      </c>
      <c r="B1983" s="83">
        <v>9857.0499999999993</v>
      </c>
      <c r="C1983"/>
      <c r="D1983" s="84"/>
    </row>
    <row r="1984" spans="1:4" ht="16">
      <c r="A1984" s="82">
        <v>42970</v>
      </c>
      <c r="B1984" s="83">
        <v>9852.5</v>
      </c>
      <c r="C1984"/>
      <c r="D1984" s="84"/>
    </row>
    <row r="1985" spans="1:4" ht="16">
      <c r="A1985" s="82">
        <v>42969</v>
      </c>
      <c r="B1985" s="83">
        <v>9765.5499999999993</v>
      </c>
      <c r="C1985"/>
      <c r="D1985" s="84"/>
    </row>
    <row r="1986" spans="1:4" ht="16">
      <c r="A1986" s="82">
        <v>42968</v>
      </c>
      <c r="B1986" s="83">
        <v>9754.35</v>
      </c>
      <c r="C1986"/>
      <c r="D1986" s="84"/>
    </row>
    <row r="1987" spans="1:4" ht="16">
      <c r="A1987" s="82">
        <v>42965</v>
      </c>
      <c r="B1987" s="83">
        <v>9837.4</v>
      </c>
      <c r="C1987"/>
      <c r="D1987" s="84"/>
    </row>
    <row r="1988" spans="1:4" ht="16">
      <c r="A1988" s="82">
        <v>42964</v>
      </c>
      <c r="B1988" s="83">
        <v>9904.15</v>
      </c>
      <c r="C1988"/>
      <c r="D1988" s="84"/>
    </row>
    <row r="1989" spans="1:4" ht="16">
      <c r="A1989" s="82">
        <v>42963</v>
      </c>
      <c r="B1989" s="83">
        <v>9897.2999999999993</v>
      </c>
      <c r="C1989"/>
      <c r="D1989" s="84"/>
    </row>
    <row r="1990" spans="1:4" ht="16">
      <c r="A1990" s="82">
        <v>42961</v>
      </c>
      <c r="B1990" s="83">
        <v>9794.15</v>
      </c>
      <c r="C1990"/>
      <c r="D1990" s="84"/>
    </row>
    <row r="1991" spans="1:4" ht="16">
      <c r="A1991" s="82">
        <v>42958</v>
      </c>
      <c r="B1991" s="83">
        <v>9710.7999999999993</v>
      </c>
      <c r="C1991"/>
      <c r="D1991" s="84"/>
    </row>
    <row r="1992" spans="1:4" ht="16">
      <c r="A1992" s="82">
        <v>42957</v>
      </c>
      <c r="B1992" s="83">
        <v>9820.25</v>
      </c>
      <c r="C1992"/>
      <c r="D1992" s="84"/>
    </row>
    <row r="1993" spans="1:4" ht="16">
      <c r="A1993" s="82">
        <v>42956</v>
      </c>
      <c r="B1993" s="83">
        <v>9908.0499999999993</v>
      </c>
      <c r="C1993"/>
      <c r="D1993" s="84"/>
    </row>
    <row r="1994" spans="1:4" ht="16">
      <c r="A1994" s="82">
        <v>42955</v>
      </c>
      <c r="B1994" s="83">
        <v>9978.5499999999993</v>
      </c>
      <c r="C1994"/>
      <c r="D1994" s="84"/>
    </row>
    <row r="1995" spans="1:4" ht="16">
      <c r="A1995" s="82">
        <v>42954</v>
      </c>
      <c r="B1995" s="83">
        <v>10057.4</v>
      </c>
      <c r="C1995"/>
      <c r="D1995" s="84"/>
    </row>
    <row r="1996" spans="1:4" ht="16">
      <c r="A1996" s="82">
        <v>42951</v>
      </c>
      <c r="B1996" s="83">
        <v>10066.4</v>
      </c>
      <c r="C1996"/>
      <c r="D1996" s="84"/>
    </row>
    <row r="1997" spans="1:4" ht="16">
      <c r="A1997" s="82">
        <v>42950</v>
      </c>
      <c r="B1997" s="83">
        <v>10013.65</v>
      </c>
      <c r="C1997"/>
      <c r="D1997" s="84"/>
    </row>
    <row r="1998" spans="1:4" ht="16">
      <c r="A1998" s="82">
        <v>42949</v>
      </c>
      <c r="B1998" s="83">
        <v>10081.5</v>
      </c>
      <c r="C1998"/>
      <c r="D1998" s="84"/>
    </row>
    <row r="1999" spans="1:4" ht="16">
      <c r="A1999" s="82">
        <v>42948</v>
      </c>
      <c r="B1999" s="83">
        <v>10114.65</v>
      </c>
      <c r="C1999"/>
      <c r="D1999" s="84"/>
    </row>
    <row r="2000" spans="1:4" ht="16">
      <c r="A2000" s="82">
        <v>42947</v>
      </c>
      <c r="B2000" s="83">
        <v>10077.1</v>
      </c>
      <c r="C2000"/>
      <c r="D2000" s="84"/>
    </row>
    <row r="2001" spans="1:4" ht="16">
      <c r="A2001" s="82">
        <v>42944</v>
      </c>
      <c r="B2001" s="83">
        <v>10014.5</v>
      </c>
      <c r="C2001"/>
      <c r="D2001" s="84"/>
    </row>
    <row r="2002" spans="1:4" ht="16">
      <c r="A2002" s="82">
        <v>42943</v>
      </c>
      <c r="B2002" s="83">
        <v>10020.549999999999</v>
      </c>
      <c r="C2002"/>
      <c r="D2002" s="84"/>
    </row>
    <row r="2003" spans="1:4" ht="16">
      <c r="A2003" s="82">
        <v>42942</v>
      </c>
      <c r="B2003" s="83">
        <v>10020.65</v>
      </c>
      <c r="C2003"/>
      <c r="D2003" s="84"/>
    </row>
    <row r="2004" spans="1:4" ht="16">
      <c r="A2004" s="82">
        <v>42941</v>
      </c>
      <c r="B2004" s="83">
        <v>9964.5499999999993</v>
      </c>
      <c r="C2004"/>
      <c r="D2004" s="84"/>
    </row>
    <row r="2005" spans="1:4" ht="16">
      <c r="A2005" s="82">
        <v>42940</v>
      </c>
      <c r="B2005" s="83">
        <v>9966.4</v>
      </c>
      <c r="C2005"/>
      <c r="D2005" s="84"/>
    </row>
    <row r="2006" spans="1:4" ht="16">
      <c r="A2006" s="82">
        <v>42937</v>
      </c>
      <c r="B2006" s="83">
        <v>9915.25</v>
      </c>
      <c r="C2006"/>
      <c r="D2006" s="84"/>
    </row>
    <row r="2007" spans="1:4" ht="16">
      <c r="A2007" s="82">
        <v>42936</v>
      </c>
      <c r="B2007" s="83">
        <v>9873.2999999999993</v>
      </c>
      <c r="C2007"/>
      <c r="D2007" s="84"/>
    </row>
    <row r="2008" spans="1:4" ht="16">
      <c r="A2008" s="82">
        <v>42935</v>
      </c>
      <c r="B2008" s="83">
        <v>9899.6</v>
      </c>
      <c r="C2008"/>
      <c r="D2008" s="84"/>
    </row>
    <row r="2009" spans="1:4" ht="16">
      <c r="A2009" s="82">
        <v>42934</v>
      </c>
      <c r="B2009" s="83">
        <v>9827.15</v>
      </c>
      <c r="C2009"/>
      <c r="D2009" s="84"/>
    </row>
    <row r="2010" spans="1:4" ht="16">
      <c r="A2010" s="82">
        <v>42933</v>
      </c>
      <c r="B2010" s="83">
        <v>9915.9500000000007</v>
      </c>
      <c r="C2010"/>
      <c r="D2010" s="84"/>
    </row>
    <row r="2011" spans="1:4" ht="16">
      <c r="A2011" s="82">
        <v>42930</v>
      </c>
      <c r="B2011" s="83">
        <v>9886.35</v>
      </c>
      <c r="C2011"/>
      <c r="D2011" s="84"/>
    </row>
    <row r="2012" spans="1:4" ht="16">
      <c r="A2012" s="82">
        <v>42929</v>
      </c>
      <c r="B2012" s="83">
        <v>9891.7000000000007</v>
      </c>
      <c r="C2012"/>
      <c r="D2012" s="84"/>
    </row>
    <row r="2013" spans="1:4" ht="16">
      <c r="A2013" s="82">
        <v>42928</v>
      </c>
      <c r="B2013" s="83">
        <v>9816.1</v>
      </c>
      <c r="C2013"/>
      <c r="D2013" s="84"/>
    </row>
    <row r="2014" spans="1:4" ht="16">
      <c r="A2014" s="82">
        <v>42927</v>
      </c>
      <c r="B2014" s="83">
        <v>9786.0499999999993</v>
      </c>
      <c r="C2014"/>
      <c r="D2014" s="84"/>
    </row>
    <row r="2015" spans="1:4" ht="16">
      <c r="A2015" s="82">
        <v>42926</v>
      </c>
      <c r="B2015" s="83">
        <v>9771.0499999999993</v>
      </c>
      <c r="C2015"/>
      <c r="D2015" s="84"/>
    </row>
    <row r="2016" spans="1:4" ht="16">
      <c r="A2016" s="82">
        <v>42923</v>
      </c>
      <c r="B2016" s="83">
        <v>9665.7999999999993</v>
      </c>
      <c r="C2016"/>
      <c r="D2016" s="84"/>
    </row>
    <row r="2017" spans="1:4" ht="16">
      <c r="A2017" s="82">
        <v>42922</v>
      </c>
      <c r="B2017" s="83">
        <v>9674.5499999999993</v>
      </c>
      <c r="C2017"/>
      <c r="D2017" s="84"/>
    </row>
    <row r="2018" spans="1:4" ht="16">
      <c r="A2018" s="82">
        <v>42921</v>
      </c>
      <c r="B2018" s="83">
        <v>9637.6</v>
      </c>
      <c r="C2018"/>
      <c r="D2018" s="84"/>
    </row>
    <row r="2019" spans="1:4" ht="16">
      <c r="A2019" s="82">
        <v>42920</v>
      </c>
      <c r="B2019" s="83">
        <v>9613.2999999999993</v>
      </c>
      <c r="C2019"/>
      <c r="D2019" s="84"/>
    </row>
    <row r="2020" spans="1:4" ht="16">
      <c r="A2020" s="82">
        <v>42919</v>
      </c>
      <c r="B2020" s="83">
        <v>9615</v>
      </c>
      <c r="C2020"/>
      <c r="D2020" s="84"/>
    </row>
    <row r="2021" spans="1:4" ht="16">
      <c r="A2021" s="82">
        <v>42916</v>
      </c>
      <c r="B2021" s="83">
        <v>9520.9</v>
      </c>
      <c r="C2021"/>
      <c r="D2021" s="84"/>
    </row>
    <row r="2022" spans="1:4" ht="16">
      <c r="A2022" s="82">
        <v>42915</v>
      </c>
      <c r="B2022" s="83">
        <v>9504.1</v>
      </c>
      <c r="C2022"/>
      <c r="D2022" s="84"/>
    </row>
    <row r="2023" spans="1:4" ht="16">
      <c r="A2023" s="82">
        <v>42914</v>
      </c>
      <c r="B2023" s="83">
        <v>9491.25</v>
      </c>
      <c r="C2023"/>
      <c r="D2023" s="84"/>
    </row>
    <row r="2024" spans="1:4" ht="16">
      <c r="A2024" s="82">
        <v>42913</v>
      </c>
      <c r="B2024" s="83">
        <v>9511.4</v>
      </c>
      <c r="C2024"/>
      <c r="D2024" s="84"/>
    </row>
    <row r="2025" spans="1:4" ht="16">
      <c r="A2025" s="82">
        <v>42909</v>
      </c>
      <c r="B2025" s="83">
        <v>9574.9500000000007</v>
      </c>
      <c r="C2025"/>
      <c r="D2025" s="84"/>
    </row>
    <row r="2026" spans="1:4" ht="16">
      <c r="A2026" s="82">
        <v>42908</v>
      </c>
      <c r="B2026" s="83">
        <v>9630</v>
      </c>
      <c r="C2026"/>
      <c r="D2026" s="84"/>
    </row>
    <row r="2027" spans="1:4" ht="16">
      <c r="A2027" s="82">
        <v>42907</v>
      </c>
      <c r="B2027" s="83">
        <v>9633.6</v>
      </c>
      <c r="C2027"/>
      <c r="D2027" s="84"/>
    </row>
    <row r="2028" spans="1:4" ht="16">
      <c r="A2028" s="82">
        <v>42906</v>
      </c>
      <c r="B2028" s="83">
        <v>9653.5</v>
      </c>
      <c r="C2028"/>
      <c r="D2028" s="84"/>
    </row>
    <row r="2029" spans="1:4" ht="16">
      <c r="A2029" s="82">
        <v>42905</v>
      </c>
      <c r="B2029" s="83">
        <v>9657.5499999999993</v>
      </c>
      <c r="C2029"/>
      <c r="D2029" s="84"/>
    </row>
    <row r="2030" spans="1:4" ht="16">
      <c r="A2030" s="82">
        <v>42902</v>
      </c>
      <c r="B2030" s="83">
        <v>9588.0499999999993</v>
      </c>
      <c r="C2030"/>
      <c r="D2030" s="84"/>
    </row>
    <row r="2031" spans="1:4" ht="16">
      <c r="A2031" s="82">
        <v>42901</v>
      </c>
      <c r="B2031" s="83">
        <v>9578.0499999999993</v>
      </c>
      <c r="C2031"/>
      <c r="D2031" s="84"/>
    </row>
    <row r="2032" spans="1:4" ht="16">
      <c r="A2032" s="82">
        <v>42900</v>
      </c>
      <c r="B2032" s="83">
        <v>9618.15</v>
      </c>
      <c r="C2032"/>
      <c r="D2032" s="84"/>
    </row>
    <row r="2033" spans="1:4" ht="16">
      <c r="A2033" s="82">
        <v>42899</v>
      </c>
      <c r="B2033" s="83">
        <v>9606.9</v>
      </c>
      <c r="C2033"/>
      <c r="D2033" s="84"/>
    </row>
    <row r="2034" spans="1:4" ht="16">
      <c r="A2034" s="82">
        <v>42898</v>
      </c>
      <c r="B2034" s="83">
        <v>9616.4</v>
      </c>
      <c r="C2034"/>
      <c r="D2034" s="84"/>
    </row>
    <row r="2035" spans="1:4" ht="16">
      <c r="A2035" s="82">
        <v>42895</v>
      </c>
      <c r="B2035" s="83">
        <v>9668.25</v>
      </c>
      <c r="C2035"/>
      <c r="D2035" s="84"/>
    </row>
    <row r="2036" spans="1:4" ht="16">
      <c r="A2036" s="82">
        <v>42894</v>
      </c>
      <c r="B2036" s="83">
        <v>9647.25</v>
      </c>
      <c r="C2036"/>
      <c r="D2036" s="84"/>
    </row>
    <row r="2037" spans="1:4" ht="16">
      <c r="A2037" s="82">
        <v>42893</v>
      </c>
      <c r="B2037" s="83">
        <v>9663.9</v>
      </c>
      <c r="C2037"/>
      <c r="D2037" s="84"/>
    </row>
    <row r="2038" spans="1:4" ht="16">
      <c r="A2038" s="82">
        <v>42892</v>
      </c>
      <c r="B2038" s="83">
        <v>9637.15</v>
      </c>
      <c r="C2038"/>
      <c r="D2038" s="84"/>
    </row>
    <row r="2039" spans="1:4" ht="16">
      <c r="A2039" s="82">
        <v>42891</v>
      </c>
      <c r="B2039" s="83">
        <v>9675.1</v>
      </c>
      <c r="C2039"/>
      <c r="D2039" s="84"/>
    </row>
    <row r="2040" spans="1:4" ht="16">
      <c r="A2040" s="82">
        <v>42888</v>
      </c>
      <c r="B2040" s="83">
        <v>9653.5</v>
      </c>
      <c r="C2040"/>
      <c r="D2040" s="84"/>
    </row>
    <row r="2041" spans="1:4" ht="16">
      <c r="A2041" s="82">
        <v>42887</v>
      </c>
      <c r="B2041" s="83">
        <v>9616.1</v>
      </c>
      <c r="C2041"/>
      <c r="D2041" s="84"/>
    </row>
    <row r="2042" spans="1:4" ht="16">
      <c r="A2042" s="82">
        <v>42886</v>
      </c>
      <c r="B2042" s="83">
        <v>9621.25</v>
      </c>
      <c r="C2042"/>
      <c r="D2042" s="84"/>
    </row>
    <row r="2043" spans="1:4" ht="16">
      <c r="A2043" s="82">
        <v>42885</v>
      </c>
      <c r="B2043" s="83">
        <v>9624.5499999999993</v>
      </c>
      <c r="C2043"/>
      <c r="D2043" s="84"/>
    </row>
    <row r="2044" spans="1:4" ht="16">
      <c r="A2044" s="82">
        <v>42884</v>
      </c>
      <c r="B2044" s="83">
        <v>9604.9</v>
      </c>
      <c r="C2044"/>
      <c r="D2044" s="84"/>
    </row>
    <row r="2045" spans="1:4" ht="16">
      <c r="A2045" s="82">
        <v>42881</v>
      </c>
      <c r="B2045" s="83">
        <v>9595.1</v>
      </c>
      <c r="C2045"/>
      <c r="D2045" s="84"/>
    </row>
    <row r="2046" spans="1:4" ht="16">
      <c r="A2046" s="82">
        <v>42880</v>
      </c>
      <c r="B2046" s="83">
        <v>9509.75</v>
      </c>
      <c r="C2046"/>
      <c r="D2046" s="84"/>
    </row>
    <row r="2047" spans="1:4" ht="16">
      <c r="A2047" s="82">
        <v>42879</v>
      </c>
      <c r="B2047" s="83">
        <v>9360.5499999999993</v>
      </c>
      <c r="C2047"/>
      <c r="D2047" s="84"/>
    </row>
    <row r="2048" spans="1:4" ht="16">
      <c r="A2048" s="82">
        <v>42878</v>
      </c>
      <c r="B2048" s="83">
        <v>9386.15</v>
      </c>
      <c r="C2048"/>
      <c r="D2048" s="84"/>
    </row>
    <row r="2049" spans="1:4" ht="16">
      <c r="A2049" s="82">
        <v>42877</v>
      </c>
      <c r="B2049" s="83">
        <v>9438.25</v>
      </c>
      <c r="C2049"/>
      <c r="D2049" s="84"/>
    </row>
    <row r="2050" spans="1:4" ht="16">
      <c r="A2050" s="82">
        <v>42874</v>
      </c>
      <c r="B2050" s="83">
        <v>9427.9</v>
      </c>
      <c r="C2050"/>
      <c r="D2050" s="84"/>
    </row>
    <row r="2051" spans="1:4" ht="16">
      <c r="A2051" s="82">
        <v>42873</v>
      </c>
      <c r="B2051" s="83">
        <v>9429.4500000000007</v>
      </c>
      <c r="C2051"/>
      <c r="D2051" s="84"/>
    </row>
    <row r="2052" spans="1:4" ht="16">
      <c r="A2052" s="82">
        <v>42872</v>
      </c>
      <c r="B2052" s="83">
        <v>9525.75</v>
      </c>
      <c r="C2052"/>
      <c r="D2052" s="84"/>
    </row>
    <row r="2053" spans="1:4" ht="16">
      <c r="A2053" s="82">
        <v>42871</v>
      </c>
      <c r="B2053" s="83">
        <v>9512.25</v>
      </c>
      <c r="C2053"/>
      <c r="D2053" s="84"/>
    </row>
    <row r="2054" spans="1:4" ht="16">
      <c r="A2054" s="82">
        <v>42870</v>
      </c>
      <c r="B2054" s="83">
        <v>9445.4</v>
      </c>
      <c r="C2054"/>
      <c r="D2054" s="84"/>
    </row>
    <row r="2055" spans="1:4" ht="16">
      <c r="A2055" s="82">
        <v>42867</v>
      </c>
      <c r="B2055" s="83">
        <v>9400.9</v>
      </c>
      <c r="C2055"/>
      <c r="D2055" s="84"/>
    </row>
    <row r="2056" spans="1:4" ht="16">
      <c r="A2056" s="82">
        <v>42866</v>
      </c>
      <c r="B2056" s="83">
        <v>9422.4</v>
      </c>
      <c r="C2056"/>
      <c r="D2056" s="84"/>
    </row>
    <row r="2057" spans="1:4" ht="16">
      <c r="A2057" s="82">
        <v>42865</v>
      </c>
      <c r="B2057" s="83">
        <v>9407.2999999999993</v>
      </c>
      <c r="C2057"/>
      <c r="D2057" s="84"/>
    </row>
    <row r="2058" spans="1:4" ht="16">
      <c r="A2058" s="82">
        <v>42864</v>
      </c>
      <c r="B2058" s="83">
        <v>9316.85</v>
      </c>
      <c r="C2058"/>
      <c r="D2058" s="84"/>
    </row>
    <row r="2059" spans="1:4" ht="16">
      <c r="A2059" s="82">
        <v>42863</v>
      </c>
      <c r="B2059" s="83">
        <v>9314.0499999999993</v>
      </c>
      <c r="C2059"/>
      <c r="D2059" s="84"/>
    </row>
    <row r="2060" spans="1:4" ht="16">
      <c r="A2060" s="82">
        <v>42860</v>
      </c>
      <c r="B2060" s="83">
        <v>9285.2999999999993</v>
      </c>
      <c r="C2060"/>
      <c r="D2060" s="84"/>
    </row>
    <row r="2061" spans="1:4" ht="16">
      <c r="A2061" s="82">
        <v>42859</v>
      </c>
      <c r="B2061" s="83">
        <v>9359.9</v>
      </c>
      <c r="C2061"/>
      <c r="D2061" s="84"/>
    </row>
    <row r="2062" spans="1:4" ht="16">
      <c r="A2062" s="82">
        <v>42858</v>
      </c>
      <c r="B2062" s="83">
        <v>9311.9500000000007</v>
      </c>
      <c r="C2062"/>
      <c r="D2062" s="84"/>
    </row>
    <row r="2063" spans="1:4" ht="16">
      <c r="A2063" s="82">
        <v>42857</v>
      </c>
      <c r="B2063" s="83">
        <v>9313.7999999999993</v>
      </c>
      <c r="C2063"/>
      <c r="D2063" s="84"/>
    </row>
    <row r="2064" spans="1:4" ht="16">
      <c r="A2064" s="82">
        <v>42853</v>
      </c>
      <c r="B2064" s="83">
        <v>9304.0499999999993</v>
      </c>
      <c r="C2064"/>
      <c r="D2064" s="84"/>
    </row>
    <row r="2065" spans="1:4" ht="16">
      <c r="A2065" s="82">
        <v>42852</v>
      </c>
      <c r="B2065" s="83">
        <v>9342.15</v>
      </c>
      <c r="C2065"/>
      <c r="D2065" s="84"/>
    </row>
    <row r="2066" spans="1:4" ht="16">
      <c r="A2066" s="82">
        <v>42851</v>
      </c>
      <c r="B2066" s="83">
        <v>9351.85</v>
      </c>
      <c r="C2066"/>
      <c r="D2066" s="84"/>
    </row>
    <row r="2067" spans="1:4" ht="16">
      <c r="A2067" s="82">
        <v>42850</v>
      </c>
      <c r="B2067" s="83">
        <v>9306.6</v>
      </c>
      <c r="C2067"/>
      <c r="D2067" s="84"/>
    </row>
    <row r="2068" spans="1:4" ht="16">
      <c r="A2068" s="82">
        <v>42849</v>
      </c>
      <c r="B2068" s="83">
        <v>9217.9500000000007</v>
      </c>
      <c r="C2068"/>
      <c r="D2068" s="84"/>
    </row>
    <row r="2069" spans="1:4" ht="16">
      <c r="A2069" s="82">
        <v>42846</v>
      </c>
      <c r="B2069" s="83">
        <v>9119.4</v>
      </c>
      <c r="C2069"/>
      <c r="D2069" s="84"/>
    </row>
    <row r="2070" spans="1:4" ht="16">
      <c r="A2070" s="82">
        <v>42845</v>
      </c>
      <c r="B2070" s="83">
        <v>9136.4</v>
      </c>
      <c r="C2070"/>
      <c r="D2070" s="84"/>
    </row>
    <row r="2071" spans="1:4" ht="16">
      <c r="A2071" s="82">
        <v>42844</v>
      </c>
      <c r="B2071" s="83">
        <v>9103.5</v>
      </c>
      <c r="C2071"/>
      <c r="D2071" s="84"/>
    </row>
    <row r="2072" spans="1:4" ht="16">
      <c r="A2072" s="82">
        <v>42843</v>
      </c>
      <c r="B2072" s="83">
        <v>9105.15</v>
      </c>
      <c r="C2072"/>
      <c r="D2072" s="84"/>
    </row>
    <row r="2073" spans="1:4" ht="16">
      <c r="A2073" s="82">
        <v>42842</v>
      </c>
      <c r="B2073" s="83">
        <v>9139.2999999999993</v>
      </c>
      <c r="C2073"/>
      <c r="D2073" s="84"/>
    </row>
    <row r="2074" spans="1:4" ht="16">
      <c r="A2074" s="82">
        <v>42838</v>
      </c>
      <c r="B2074" s="83">
        <v>9150.7999999999993</v>
      </c>
      <c r="C2074"/>
      <c r="D2074" s="84"/>
    </row>
    <row r="2075" spans="1:4" ht="16">
      <c r="A2075" s="82">
        <v>42837</v>
      </c>
      <c r="B2075" s="83">
        <v>9203.4500000000007</v>
      </c>
      <c r="C2075"/>
      <c r="D2075" s="84"/>
    </row>
    <row r="2076" spans="1:4" ht="16">
      <c r="A2076" s="82">
        <v>42836</v>
      </c>
      <c r="B2076" s="83">
        <v>9237</v>
      </c>
      <c r="C2076"/>
      <c r="D2076" s="84"/>
    </row>
    <row r="2077" spans="1:4" ht="16">
      <c r="A2077" s="82">
        <v>42835</v>
      </c>
      <c r="B2077" s="83">
        <v>9181.4500000000007</v>
      </c>
      <c r="C2077"/>
      <c r="D2077" s="84"/>
    </row>
    <row r="2078" spans="1:4" ht="16">
      <c r="A2078" s="82">
        <v>42832</v>
      </c>
      <c r="B2078" s="83">
        <v>9198.2999999999993</v>
      </c>
      <c r="C2078"/>
      <c r="D2078" s="84"/>
    </row>
    <row r="2079" spans="1:4" ht="16">
      <c r="A2079" s="82">
        <v>42831</v>
      </c>
      <c r="B2079" s="83">
        <v>9261.9500000000007</v>
      </c>
      <c r="C2079"/>
      <c r="D2079" s="84"/>
    </row>
    <row r="2080" spans="1:4" ht="16">
      <c r="A2080" s="82">
        <v>42830</v>
      </c>
      <c r="B2080" s="83">
        <v>9265.15</v>
      </c>
      <c r="C2080"/>
      <c r="D2080" s="84"/>
    </row>
    <row r="2081" spans="1:4" ht="16">
      <c r="A2081" s="82">
        <v>42828</v>
      </c>
      <c r="B2081" s="83">
        <v>9237.85</v>
      </c>
      <c r="C2081"/>
      <c r="D2081" s="84"/>
    </row>
    <row r="2082" spans="1:4" ht="16">
      <c r="A2082" s="82">
        <v>42825</v>
      </c>
      <c r="B2082" s="83">
        <v>9173.75</v>
      </c>
      <c r="C2082"/>
      <c r="D2082" s="84"/>
    </row>
    <row r="2083" spans="1:4" ht="16">
      <c r="A2083" s="82">
        <v>42824</v>
      </c>
      <c r="B2083" s="83">
        <v>9173.75</v>
      </c>
      <c r="C2083"/>
      <c r="D2083" s="84"/>
    </row>
    <row r="2084" spans="1:4" ht="16">
      <c r="A2084" s="82">
        <v>42823</v>
      </c>
      <c r="B2084" s="83">
        <v>9143.7999999999993</v>
      </c>
      <c r="C2084"/>
      <c r="D2084" s="84"/>
    </row>
    <row r="2085" spans="1:4" ht="16">
      <c r="A2085" s="82">
        <v>42822</v>
      </c>
      <c r="B2085" s="83">
        <v>9100.7999999999993</v>
      </c>
      <c r="C2085"/>
      <c r="D2085" s="84"/>
    </row>
    <row r="2086" spans="1:4" ht="16">
      <c r="A2086" s="82">
        <v>42821</v>
      </c>
      <c r="B2086" s="83">
        <v>9045.2000000000007</v>
      </c>
      <c r="C2086"/>
      <c r="D2086" s="84"/>
    </row>
    <row r="2087" spans="1:4" ht="16">
      <c r="A2087" s="82">
        <v>42818</v>
      </c>
      <c r="B2087" s="83">
        <v>9108</v>
      </c>
      <c r="C2087"/>
      <c r="D2087" s="84"/>
    </row>
    <row r="2088" spans="1:4" ht="16">
      <c r="A2088" s="82">
        <v>42817</v>
      </c>
      <c r="B2088" s="83">
        <v>9086.2999999999993</v>
      </c>
      <c r="C2088"/>
      <c r="D2088" s="84"/>
    </row>
    <row r="2089" spans="1:4" ht="16">
      <c r="A2089" s="82">
        <v>42816</v>
      </c>
      <c r="B2089" s="83">
        <v>9030.4500000000007</v>
      </c>
      <c r="C2089"/>
      <c r="D2089" s="84"/>
    </row>
    <row r="2090" spans="1:4" ht="16">
      <c r="A2090" s="82">
        <v>42815</v>
      </c>
      <c r="B2090" s="83">
        <v>9121.5</v>
      </c>
      <c r="C2090"/>
      <c r="D2090" s="84"/>
    </row>
    <row r="2091" spans="1:4" ht="16">
      <c r="A2091" s="82">
        <v>42814</v>
      </c>
      <c r="B2091" s="83">
        <v>9126.85</v>
      </c>
      <c r="C2091"/>
      <c r="D2091" s="84"/>
    </row>
    <row r="2092" spans="1:4" ht="16">
      <c r="A2092" s="82">
        <v>42811</v>
      </c>
      <c r="B2092" s="83">
        <v>9160.0499999999993</v>
      </c>
      <c r="C2092"/>
      <c r="D2092" s="84"/>
    </row>
    <row r="2093" spans="1:4" ht="16">
      <c r="A2093" s="82">
        <v>42810</v>
      </c>
      <c r="B2093" s="83">
        <v>9153.7000000000007</v>
      </c>
      <c r="C2093"/>
      <c r="D2093" s="84"/>
    </row>
    <row r="2094" spans="1:4" ht="16">
      <c r="A2094" s="82">
        <v>42809</v>
      </c>
      <c r="B2094" s="83">
        <v>9084.7999999999993</v>
      </c>
      <c r="C2094"/>
      <c r="D2094" s="84"/>
    </row>
    <row r="2095" spans="1:4" ht="16">
      <c r="A2095" s="82">
        <v>42808</v>
      </c>
      <c r="B2095" s="83">
        <v>9087</v>
      </c>
      <c r="C2095"/>
      <c r="D2095" s="84"/>
    </row>
    <row r="2096" spans="1:4" ht="16">
      <c r="A2096" s="82">
        <v>42804</v>
      </c>
      <c r="B2096" s="83">
        <v>8934.5499999999993</v>
      </c>
      <c r="C2096"/>
      <c r="D2096" s="84"/>
    </row>
    <row r="2097" spans="1:4" ht="16">
      <c r="A2097" s="82">
        <v>42803</v>
      </c>
      <c r="B2097" s="83">
        <v>8927</v>
      </c>
      <c r="C2097"/>
      <c r="D2097" s="84"/>
    </row>
    <row r="2098" spans="1:4" ht="16">
      <c r="A2098" s="82">
        <v>42802</v>
      </c>
      <c r="B2098" s="83">
        <v>8924.2999999999993</v>
      </c>
      <c r="C2098"/>
      <c r="D2098" s="84"/>
    </row>
    <row r="2099" spans="1:4" ht="16">
      <c r="A2099" s="82">
        <v>42801</v>
      </c>
      <c r="B2099" s="83">
        <v>8946.9</v>
      </c>
      <c r="C2099"/>
      <c r="D2099" s="84"/>
    </row>
    <row r="2100" spans="1:4" ht="16">
      <c r="A2100" s="82">
        <v>42800</v>
      </c>
      <c r="B2100" s="83">
        <v>8963.4500000000007</v>
      </c>
      <c r="C2100"/>
      <c r="D2100" s="84"/>
    </row>
    <row r="2101" spans="1:4" ht="16">
      <c r="A2101" s="82">
        <v>42797</v>
      </c>
      <c r="B2101" s="83">
        <v>8897.5499999999993</v>
      </c>
      <c r="C2101"/>
      <c r="D2101" s="84"/>
    </row>
    <row r="2102" spans="1:4" ht="16">
      <c r="A2102" s="82">
        <v>42796</v>
      </c>
      <c r="B2102" s="83">
        <v>8899.75</v>
      </c>
      <c r="C2102"/>
      <c r="D2102" s="84"/>
    </row>
    <row r="2103" spans="1:4" ht="16">
      <c r="A2103" s="82">
        <v>42795</v>
      </c>
      <c r="B2103" s="83">
        <v>8945.7999999999993</v>
      </c>
      <c r="C2103"/>
      <c r="D2103" s="84"/>
    </row>
    <row r="2104" spans="1:4" ht="16">
      <c r="A2104" s="82">
        <v>42794</v>
      </c>
      <c r="B2104" s="83">
        <v>8879.6</v>
      </c>
      <c r="C2104"/>
      <c r="D2104" s="84"/>
    </row>
    <row r="2105" spans="1:4" ht="16">
      <c r="A2105" s="82">
        <v>42793</v>
      </c>
      <c r="B2105" s="83">
        <v>8896.7000000000007</v>
      </c>
      <c r="C2105"/>
      <c r="D2105" s="84"/>
    </row>
    <row r="2106" spans="1:4" ht="16">
      <c r="A2106" s="82">
        <v>42789</v>
      </c>
      <c r="B2106" s="83">
        <v>8939.5</v>
      </c>
      <c r="C2106"/>
      <c r="D2106" s="84"/>
    </row>
    <row r="2107" spans="1:4" ht="16">
      <c r="A2107" s="82">
        <v>42788</v>
      </c>
      <c r="B2107" s="83">
        <v>8926.9</v>
      </c>
      <c r="C2107"/>
      <c r="D2107" s="84"/>
    </row>
    <row r="2108" spans="1:4" ht="16">
      <c r="A2108" s="82">
        <v>42787</v>
      </c>
      <c r="B2108" s="83">
        <v>8907.85</v>
      </c>
      <c r="C2108"/>
      <c r="D2108" s="84"/>
    </row>
    <row r="2109" spans="1:4" ht="16">
      <c r="A2109" s="82">
        <v>42786</v>
      </c>
      <c r="B2109" s="83">
        <v>8879.2000000000007</v>
      </c>
      <c r="C2109"/>
      <c r="D2109" s="84"/>
    </row>
    <row r="2110" spans="1:4" ht="16">
      <c r="A2110" s="82">
        <v>42783</v>
      </c>
      <c r="B2110" s="83">
        <v>8821.7000000000007</v>
      </c>
      <c r="C2110"/>
      <c r="D2110" s="84"/>
    </row>
    <row r="2111" spans="1:4" ht="16">
      <c r="A2111" s="82">
        <v>42782</v>
      </c>
      <c r="B2111" s="83">
        <v>8778</v>
      </c>
      <c r="C2111"/>
      <c r="D2111" s="84"/>
    </row>
    <row r="2112" spans="1:4" ht="16">
      <c r="A2112" s="82">
        <v>42781</v>
      </c>
      <c r="B2112" s="83">
        <v>8724.7000000000007</v>
      </c>
      <c r="C2112"/>
      <c r="D2112" s="84"/>
    </row>
    <row r="2113" spans="1:4" ht="16">
      <c r="A2113" s="82">
        <v>42780</v>
      </c>
      <c r="B2113" s="83">
        <v>8792.2999999999993</v>
      </c>
      <c r="C2113"/>
      <c r="D2113" s="84"/>
    </row>
    <row r="2114" spans="1:4" ht="16">
      <c r="A2114" s="82">
        <v>42779</v>
      </c>
      <c r="B2114" s="83">
        <v>8805.0499999999993</v>
      </c>
      <c r="C2114"/>
      <c r="D2114" s="84"/>
    </row>
    <row r="2115" spans="1:4" ht="16">
      <c r="A2115" s="82">
        <v>42776</v>
      </c>
      <c r="B2115" s="83">
        <v>8793.5499999999993</v>
      </c>
      <c r="C2115"/>
      <c r="D2115" s="84"/>
    </row>
    <row r="2116" spans="1:4" ht="16">
      <c r="A2116" s="82">
        <v>42775</v>
      </c>
      <c r="B2116" s="83">
        <v>8778.4</v>
      </c>
      <c r="C2116"/>
      <c r="D2116" s="84"/>
    </row>
    <row r="2117" spans="1:4" ht="16">
      <c r="A2117" s="82">
        <v>42774</v>
      </c>
      <c r="B2117" s="83">
        <v>8769.0499999999993</v>
      </c>
      <c r="C2117"/>
      <c r="D2117" s="84"/>
    </row>
    <row r="2118" spans="1:4" ht="16">
      <c r="A2118" s="82">
        <v>42773</v>
      </c>
      <c r="B2118" s="83">
        <v>8768.2999999999993</v>
      </c>
      <c r="C2118"/>
      <c r="D2118" s="84"/>
    </row>
    <row r="2119" spans="1:4" ht="16">
      <c r="A2119" s="82">
        <v>42772</v>
      </c>
      <c r="B2119" s="83">
        <v>8801.0499999999993</v>
      </c>
      <c r="C2119"/>
      <c r="D2119" s="84"/>
    </row>
    <row r="2120" spans="1:4" ht="16">
      <c r="A2120" s="82">
        <v>42769</v>
      </c>
      <c r="B2120" s="83">
        <v>8740.9500000000007</v>
      </c>
      <c r="C2120"/>
      <c r="D2120" s="84"/>
    </row>
    <row r="2121" spans="1:4" ht="16">
      <c r="A2121" s="82">
        <v>42768</v>
      </c>
      <c r="B2121" s="83">
        <v>8734.25</v>
      </c>
      <c r="C2121"/>
      <c r="D2121" s="84"/>
    </row>
    <row r="2122" spans="1:4" ht="16">
      <c r="A2122" s="82">
        <v>42767</v>
      </c>
      <c r="B2122" s="83">
        <v>8716.4</v>
      </c>
      <c r="C2122"/>
      <c r="D2122" s="84"/>
    </row>
    <row r="2123" spans="1:4" ht="16">
      <c r="A2123" s="82">
        <v>42766</v>
      </c>
      <c r="B2123" s="83">
        <v>8561.2999999999993</v>
      </c>
      <c r="C2123"/>
      <c r="D2123" s="84"/>
    </row>
    <row r="2124" spans="1:4" ht="16">
      <c r="A2124" s="82">
        <v>42765</v>
      </c>
      <c r="B2124" s="83">
        <v>8632.75</v>
      </c>
      <c r="C2124"/>
      <c r="D2124" s="84"/>
    </row>
    <row r="2125" spans="1:4" ht="16">
      <c r="A2125" s="82">
        <v>42762</v>
      </c>
      <c r="B2125" s="83">
        <v>8641.25</v>
      </c>
      <c r="C2125"/>
      <c r="D2125" s="84"/>
    </row>
    <row r="2126" spans="1:4" ht="16">
      <c r="A2126" s="82">
        <v>42760</v>
      </c>
      <c r="B2126" s="83">
        <v>8602.75</v>
      </c>
      <c r="C2126"/>
      <c r="D2126" s="84"/>
    </row>
    <row r="2127" spans="1:4" ht="16">
      <c r="A2127" s="82">
        <v>42759</v>
      </c>
      <c r="B2127" s="83">
        <v>8475.7999999999993</v>
      </c>
      <c r="C2127"/>
      <c r="D2127" s="84"/>
    </row>
    <row r="2128" spans="1:4" ht="16">
      <c r="A2128" s="82">
        <v>42758</v>
      </c>
      <c r="B2128" s="83">
        <v>8391.5</v>
      </c>
      <c r="C2128"/>
      <c r="D2128" s="84"/>
    </row>
    <row r="2129" spans="1:4" ht="16">
      <c r="A2129" s="82">
        <v>42755</v>
      </c>
      <c r="B2129" s="83">
        <v>8349.35</v>
      </c>
      <c r="C2129"/>
      <c r="D2129" s="84"/>
    </row>
    <row r="2130" spans="1:4" ht="16">
      <c r="A2130" s="82">
        <v>42754</v>
      </c>
      <c r="B2130" s="83">
        <v>8435.1</v>
      </c>
      <c r="C2130"/>
      <c r="D2130" s="84"/>
    </row>
    <row r="2131" spans="1:4" ht="16">
      <c r="A2131" s="82">
        <v>42753</v>
      </c>
      <c r="B2131" s="83">
        <v>8417</v>
      </c>
      <c r="C2131"/>
      <c r="D2131" s="84"/>
    </row>
    <row r="2132" spans="1:4" ht="16">
      <c r="A2132" s="82">
        <v>42752</v>
      </c>
      <c r="B2132" s="83">
        <v>8398</v>
      </c>
      <c r="C2132"/>
      <c r="D2132" s="84"/>
    </row>
    <row r="2133" spans="1:4" ht="16">
      <c r="A2133" s="82">
        <v>42751</v>
      </c>
      <c r="B2133" s="83">
        <v>8412.7999999999993</v>
      </c>
      <c r="C2133"/>
      <c r="D2133" s="84"/>
    </row>
    <row r="2134" spans="1:4" ht="16">
      <c r="A2134" s="82">
        <v>42748</v>
      </c>
      <c r="B2134" s="83">
        <v>8400.35</v>
      </c>
      <c r="C2134"/>
      <c r="D2134" s="84"/>
    </row>
    <row r="2135" spans="1:4" ht="16">
      <c r="A2135" s="82">
        <v>42747</v>
      </c>
      <c r="B2135" s="83">
        <v>8407.2000000000007</v>
      </c>
      <c r="C2135"/>
      <c r="D2135" s="84"/>
    </row>
    <row r="2136" spans="1:4" ht="16">
      <c r="A2136" s="82">
        <v>42746</v>
      </c>
      <c r="B2136" s="83">
        <v>8380.65</v>
      </c>
      <c r="C2136"/>
      <c r="D2136" s="84"/>
    </row>
    <row r="2137" spans="1:4" ht="16">
      <c r="A2137" s="82">
        <v>42745</v>
      </c>
      <c r="B2137" s="83">
        <v>8288.6</v>
      </c>
      <c r="C2137"/>
      <c r="D2137" s="84"/>
    </row>
    <row r="2138" spans="1:4" ht="16">
      <c r="A2138" s="82">
        <v>42744</v>
      </c>
      <c r="B2138" s="83">
        <v>8236.0499999999993</v>
      </c>
      <c r="C2138"/>
      <c r="D2138" s="84"/>
    </row>
    <row r="2139" spans="1:4" ht="16">
      <c r="A2139" s="82">
        <v>42741</v>
      </c>
      <c r="B2139" s="83">
        <v>8243.7999999999993</v>
      </c>
      <c r="C2139"/>
      <c r="D2139" s="84"/>
    </row>
    <row r="2140" spans="1:4" ht="16">
      <c r="A2140" s="82">
        <v>42740</v>
      </c>
      <c r="B2140" s="83">
        <v>8273.7999999999993</v>
      </c>
      <c r="C2140"/>
      <c r="D2140" s="84"/>
    </row>
    <row r="2141" spans="1:4" ht="16">
      <c r="A2141" s="82">
        <v>42739</v>
      </c>
      <c r="B2141" s="83">
        <v>8190.5</v>
      </c>
      <c r="C2141"/>
      <c r="D2141" s="84"/>
    </row>
    <row r="2142" spans="1:4" ht="16">
      <c r="A2142" s="82">
        <v>42738</v>
      </c>
      <c r="B2142" s="83">
        <v>8192.25</v>
      </c>
      <c r="C2142"/>
      <c r="D2142" s="84"/>
    </row>
    <row r="2143" spans="1:4" ht="16">
      <c r="A2143" s="82">
        <v>42737</v>
      </c>
      <c r="B2143" s="83">
        <v>8179.5</v>
      </c>
      <c r="C2143"/>
      <c r="D2143" s="84"/>
    </row>
    <row r="2144" spans="1:4" ht="16">
      <c r="A2144" s="82">
        <v>42734</v>
      </c>
      <c r="B2144" s="83">
        <v>8185.8</v>
      </c>
      <c r="C2144"/>
      <c r="D2144" s="84"/>
    </row>
    <row r="2145" spans="1:4" ht="16">
      <c r="A2145" s="82">
        <v>42733</v>
      </c>
      <c r="B2145" s="83">
        <v>8103.6</v>
      </c>
      <c r="C2145"/>
      <c r="D2145" s="84"/>
    </row>
    <row r="2146" spans="1:4" ht="16">
      <c r="A2146" s="82">
        <v>42732</v>
      </c>
      <c r="B2146" s="83">
        <v>8034.85</v>
      </c>
      <c r="C2146"/>
      <c r="D2146" s="84"/>
    </row>
    <row r="2147" spans="1:4" ht="16">
      <c r="A2147" s="82">
        <v>42731</v>
      </c>
      <c r="B2147" s="83">
        <v>8032.85</v>
      </c>
      <c r="C2147"/>
      <c r="D2147" s="84"/>
    </row>
    <row r="2148" spans="1:4" ht="16">
      <c r="A2148" s="82">
        <v>42730</v>
      </c>
      <c r="B2148" s="83">
        <v>7908.25</v>
      </c>
      <c r="C2148"/>
      <c r="D2148" s="84"/>
    </row>
    <row r="2149" spans="1:4" ht="16">
      <c r="A2149" s="82">
        <v>42727</v>
      </c>
      <c r="B2149" s="83">
        <v>7985.75</v>
      </c>
      <c r="C2149"/>
      <c r="D2149" s="84"/>
    </row>
    <row r="2150" spans="1:4" ht="16">
      <c r="A2150" s="82">
        <v>42726</v>
      </c>
      <c r="B2150" s="83">
        <v>7979.1</v>
      </c>
      <c r="C2150"/>
      <c r="D2150" s="84"/>
    </row>
    <row r="2151" spans="1:4" ht="16">
      <c r="A2151" s="82">
        <v>42725</v>
      </c>
      <c r="B2151" s="83">
        <v>8061.3</v>
      </c>
      <c r="C2151"/>
      <c r="D2151" s="84"/>
    </row>
    <row r="2152" spans="1:4" ht="16">
      <c r="A2152" s="82">
        <v>42724</v>
      </c>
      <c r="B2152" s="83">
        <v>8082.4</v>
      </c>
      <c r="C2152"/>
      <c r="D2152" s="84"/>
    </row>
    <row r="2153" spans="1:4" ht="16">
      <c r="A2153" s="82">
        <v>42723</v>
      </c>
      <c r="B2153" s="83">
        <v>8104.35</v>
      </c>
      <c r="C2153"/>
      <c r="D2153" s="84"/>
    </row>
    <row r="2154" spans="1:4" ht="16">
      <c r="A2154" s="82">
        <v>42720</v>
      </c>
      <c r="B2154" s="83">
        <v>8139.45</v>
      </c>
      <c r="C2154"/>
      <c r="D2154" s="84"/>
    </row>
    <row r="2155" spans="1:4" ht="16">
      <c r="A2155" s="82">
        <v>42719</v>
      </c>
      <c r="B2155" s="83">
        <v>8153.6</v>
      </c>
      <c r="C2155"/>
      <c r="D2155" s="84"/>
    </row>
    <row r="2156" spans="1:4" ht="16">
      <c r="A2156" s="82">
        <v>42718</v>
      </c>
      <c r="B2156" s="83">
        <v>8182.45</v>
      </c>
      <c r="C2156"/>
      <c r="D2156" s="84"/>
    </row>
    <row r="2157" spans="1:4" ht="16">
      <c r="A2157" s="82">
        <v>42717</v>
      </c>
      <c r="B2157" s="83">
        <v>8221.7999999999993</v>
      </c>
      <c r="C2157"/>
      <c r="D2157" s="84"/>
    </row>
    <row r="2158" spans="1:4" ht="16">
      <c r="A2158" s="82">
        <v>42716</v>
      </c>
      <c r="B2158" s="83">
        <v>8170.8</v>
      </c>
      <c r="C2158"/>
      <c r="D2158" s="84"/>
    </row>
    <row r="2159" spans="1:4" ht="16">
      <c r="A2159" s="82">
        <v>42713</v>
      </c>
      <c r="B2159" s="83">
        <v>8261.75</v>
      </c>
      <c r="C2159"/>
      <c r="D2159" s="84"/>
    </row>
    <row r="2160" spans="1:4" ht="16">
      <c r="A2160" s="82">
        <v>42712</v>
      </c>
      <c r="B2160" s="83">
        <v>8246.85</v>
      </c>
      <c r="C2160"/>
      <c r="D2160" s="84"/>
    </row>
    <row r="2161" spans="1:4" ht="16">
      <c r="A2161" s="82">
        <v>42711</v>
      </c>
      <c r="B2161" s="83">
        <v>8102.05</v>
      </c>
      <c r="C2161"/>
      <c r="D2161" s="84"/>
    </row>
    <row r="2162" spans="1:4" ht="16">
      <c r="A2162" s="82">
        <v>42710</v>
      </c>
      <c r="B2162" s="83">
        <v>8143.15</v>
      </c>
      <c r="C2162"/>
      <c r="D2162" s="84"/>
    </row>
    <row r="2163" spans="1:4" ht="16">
      <c r="A2163" s="82">
        <v>42709</v>
      </c>
      <c r="B2163" s="83">
        <v>8128.75</v>
      </c>
      <c r="C2163"/>
      <c r="D2163" s="84"/>
    </row>
    <row r="2164" spans="1:4" ht="16">
      <c r="A2164" s="82">
        <v>42706</v>
      </c>
      <c r="B2164" s="83">
        <v>8086.8</v>
      </c>
      <c r="C2164"/>
      <c r="D2164" s="84"/>
    </row>
    <row r="2165" spans="1:4" ht="16">
      <c r="A2165" s="82">
        <v>42705</v>
      </c>
      <c r="B2165" s="83">
        <v>8192.9</v>
      </c>
      <c r="C2165"/>
      <c r="D2165" s="84"/>
    </row>
    <row r="2166" spans="1:4" ht="16">
      <c r="A2166" s="82">
        <v>42704</v>
      </c>
      <c r="B2166" s="83">
        <v>8224.5</v>
      </c>
      <c r="C2166"/>
      <c r="D2166" s="84"/>
    </row>
    <row r="2167" spans="1:4" ht="16">
      <c r="A2167" s="82">
        <v>42703</v>
      </c>
      <c r="B2167" s="83">
        <v>8142.15</v>
      </c>
      <c r="C2167"/>
      <c r="D2167" s="84"/>
    </row>
    <row r="2168" spans="1:4" ht="16">
      <c r="A2168" s="82">
        <v>42702</v>
      </c>
      <c r="B2168" s="83">
        <v>8126.9</v>
      </c>
      <c r="C2168"/>
      <c r="D2168" s="84"/>
    </row>
    <row r="2169" spans="1:4" ht="16">
      <c r="A2169" s="82">
        <v>42699</v>
      </c>
      <c r="B2169" s="83">
        <v>8114.3</v>
      </c>
      <c r="C2169"/>
      <c r="D2169" s="84"/>
    </row>
    <row r="2170" spans="1:4" ht="16">
      <c r="A2170" s="82">
        <v>42698</v>
      </c>
      <c r="B2170" s="83">
        <v>7965.5</v>
      </c>
      <c r="C2170"/>
      <c r="D2170" s="84"/>
    </row>
    <row r="2171" spans="1:4" ht="16">
      <c r="A2171" s="82">
        <v>42697</v>
      </c>
      <c r="B2171" s="83">
        <v>8033.3</v>
      </c>
      <c r="C2171"/>
      <c r="D2171" s="84"/>
    </row>
    <row r="2172" spans="1:4" ht="16">
      <c r="A2172" s="82">
        <v>42696</v>
      </c>
      <c r="B2172" s="83">
        <v>8002.3</v>
      </c>
      <c r="C2172"/>
      <c r="D2172" s="84"/>
    </row>
    <row r="2173" spans="1:4" ht="16">
      <c r="A2173" s="82">
        <v>42695</v>
      </c>
      <c r="B2173" s="83">
        <v>7929.1</v>
      </c>
      <c r="C2173"/>
      <c r="D2173" s="84"/>
    </row>
    <row r="2174" spans="1:4" ht="16">
      <c r="A2174" s="82">
        <v>42692</v>
      </c>
      <c r="B2174" s="83">
        <v>8074.1</v>
      </c>
      <c r="C2174"/>
      <c r="D2174" s="84"/>
    </row>
    <row r="2175" spans="1:4" ht="16">
      <c r="A2175" s="82">
        <v>42691</v>
      </c>
      <c r="B2175" s="83">
        <v>8079.95</v>
      </c>
      <c r="C2175"/>
      <c r="D2175" s="84"/>
    </row>
    <row r="2176" spans="1:4" ht="16">
      <c r="A2176" s="82">
        <v>42690</v>
      </c>
      <c r="B2176" s="83">
        <v>8111.6</v>
      </c>
      <c r="C2176"/>
      <c r="D2176" s="84"/>
    </row>
    <row r="2177" spans="1:4" ht="16">
      <c r="A2177" s="82">
        <v>42689</v>
      </c>
      <c r="B2177" s="83">
        <v>8108.45</v>
      </c>
      <c r="C2177"/>
      <c r="D2177" s="84"/>
    </row>
    <row r="2178" spans="1:4" ht="16">
      <c r="A2178" s="82">
        <v>42685</v>
      </c>
      <c r="B2178" s="83">
        <v>8296.2999999999993</v>
      </c>
      <c r="C2178"/>
      <c r="D2178" s="84"/>
    </row>
    <row r="2179" spans="1:4" ht="16">
      <c r="A2179" s="82">
        <v>42684</v>
      </c>
      <c r="B2179" s="83">
        <v>8525.75</v>
      </c>
      <c r="C2179"/>
      <c r="D2179" s="84"/>
    </row>
    <row r="2180" spans="1:4" ht="16">
      <c r="A2180" s="82">
        <v>42683</v>
      </c>
      <c r="B2180" s="83">
        <v>8432</v>
      </c>
      <c r="C2180"/>
      <c r="D2180" s="84"/>
    </row>
    <row r="2181" spans="1:4" ht="16">
      <c r="A2181" s="82">
        <v>42682</v>
      </c>
      <c r="B2181" s="83">
        <v>8543.5499999999993</v>
      </c>
      <c r="C2181"/>
      <c r="D2181" s="84"/>
    </row>
    <row r="2182" spans="1:4" ht="16">
      <c r="A2182" s="82">
        <v>42681</v>
      </c>
      <c r="B2182" s="83">
        <v>8497.0499999999993</v>
      </c>
      <c r="C2182"/>
      <c r="D2182" s="84"/>
    </row>
    <row r="2183" spans="1:4" ht="16">
      <c r="A2183" s="82">
        <v>42678</v>
      </c>
      <c r="B2183" s="83">
        <v>8433.75</v>
      </c>
      <c r="C2183"/>
      <c r="D2183" s="84"/>
    </row>
    <row r="2184" spans="1:4" ht="16">
      <c r="A2184" s="82">
        <v>42677</v>
      </c>
      <c r="B2184" s="83">
        <v>8484.9500000000007</v>
      </c>
      <c r="C2184"/>
      <c r="D2184" s="84"/>
    </row>
    <row r="2185" spans="1:4" ht="16">
      <c r="A2185" s="82">
        <v>42676</v>
      </c>
      <c r="B2185" s="83">
        <v>8514</v>
      </c>
      <c r="C2185"/>
      <c r="D2185" s="84"/>
    </row>
    <row r="2186" spans="1:4" ht="16">
      <c r="A2186" s="82">
        <v>42675</v>
      </c>
      <c r="B2186" s="83">
        <v>8626.25</v>
      </c>
      <c r="C2186"/>
      <c r="D2186" s="84"/>
    </row>
    <row r="2187" spans="1:4" ht="16">
      <c r="A2187" s="82">
        <v>42673</v>
      </c>
      <c r="B2187" s="83">
        <v>8625.7000000000007</v>
      </c>
      <c r="C2187"/>
      <c r="D2187" s="84"/>
    </row>
    <row r="2188" spans="1:4" ht="16">
      <c r="A2188" s="82">
        <v>42671</v>
      </c>
      <c r="B2188" s="83">
        <v>8638</v>
      </c>
      <c r="C2188"/>
      <c r="D2188" s="84"/>
    </row>
    <row r="2189" spans="1:4" ht="16">
      <c r="A2189" s="82">
        <v>42670</v>
      </c>
      <c r="B2189" s="83">
        <v>8615.25</v>
      </c>
      <c r="C2189"/>
      <c r="D2189" s="84"/>
    </row>
    <row r="2190" spans="1:4" ht="16">
      <c r="A2190" s="82">
        <v>42669</v>
      </c>
      <c r="B2190" s="83">
        <v>8615.25</v>
      </c>
      <c r="C2190"/>
      <c r="D2190" s="84"/>
    </row>
    <row r="2191" spans="1:4" ht="16">
      <c r="A2191" s="82">
        <v>42668</v>
      </c>
      <c r="B2191" s="83">
        <v>8691.2999999999993</v>
      </c>
      <c r="C2191"/>
      <c r="D2191" s="84"/>
    </row>
    <row r="2192" spans="1:4" ht="16">
      <c r="A2192" s="82">
        <v>42667</v>
      </c>
      <c r="B2192" s="83">
        <v>8708.9500000000007</v>
      </c>
      <c r="C2192"/>
      <c r="D2192" s="84"/>
    </row>
    <row r="2193" spans="1:4" ht="16">
      <c r="A2193" s="82">
        <v>42664</v>
      </c>
      <c r="B2193" s="83">
        <v>8693.0499999999993</v>
      </c>
      <c r="C2193"/>
      <c r="D2193" s="84"/>
    </row>
    <row r="2194" spans="1:4" ht="16">
      <c r="A2194" s="82">
        <v>42663</v>
      </c>
      <c r="B2194" s="83">
        <v>8699.4</v>
      </c>
      <c r="C2194"/>
      <c r="D2194" s="84"/>
    </row>
    <row r="2195" spans="1:4" ht="16">
      <c r="A2195" s="82">
        <v>42662</v>
      </c>
      <c r="B2195" s="83">
        <v>8659.1</v>
      </c>
      <c r="C2195"/>
      <c r="D2195" s="84"/>
    </row>
    <row r="2196" spans="1:4" ht="16">
      <c r="A2196" s="82">
        <v>42661</v>
      </c>
      <c r="B2196" s="83">
        <v>8677.9</v>
      </c>
      <c r="C2196"/>
      <c r="D2196" s="84"/>
    </row>
    <row r="2197" spans="1:4" ht="16">
      <c r="A2197" s="82">
        <v>42660</v>
      </c>
      <c r="B2197" s="83">
        <v>8520.4</v>
      </c>
      <c r="C2197"/>
      <c r="D2197" s="84"/>
    </row>
    <row r="2198" spans="1:4" ht="16">
      <c r="A2198" s="82">
        <v>42657</v>
      </c>
      <c r="B2198" s="83">
        <v>8583.4</v>
      </c>
      <c r="C2198"/>
      <c r="D2198" s="84"/>
    </row>
    <row r="2199" spans="1:4" ht="16">
      <c r="A2199" s="82">
        <v>42656</v>
      </c>
      <c r="B2199" s="83">
        <v>8573.35</v>
      </c>
      <c r="C2199"/>
      <c r="D2199" s="84"/>
    </row>
    <row r="2200" spans="1:4" ht="16">
      <c r="A2200" s="82">
        <v>42653</v>
      </c>
      <c r="B2200" s="83">
        <v>8708.7999999999993</v>
      </c>
      <c r="C2200"/>
      <c r="D2200" s="84"/>
    </row>
    <row r="2201" spans="1:4" ht="16">
      <c r="A2201" s="82">
        <v>42650</v>
      </c>
      <c r="B2201" s="83">
        <v>8697.6</v>
      </c>
      <c r="C2201"/>
      <c r="D2201" s="84"/>
    </row>
    <row r="2202" spans="1:4" ht="16">
      <c r="A2202" s="82">
        <v>42649</v>
      </c>
      <c r="B2202" s="83">
        <v>8709.5499999999993</v>
      </c>
      <c r="C2202"/>
      <c r="D2202" s="84"/>
    </row>
    <row r="2203" spans="1:4" ht="16">
      <c r="A2203" s="82">
        <v>42648</v>
      </c>
      <c r="B2203" s="83">
        <v>8743.9500000000007</v>
      </c>
      <c r="C2203"/>
      <c r="D2203" s="84"/>
    </row>
    <row r="2204" spans="1:4" ht="16">
      <c r="A2204" s="82">
        <v>42647</v>
      </c>
      <c r="B2204" s="83">
        <v>8769.15</v>
      </c>
      <c r="C2204"/>
      <c r="D2204" s="84"/>
    </row>
    <row r="2205" spans="1:4" ht="16">
      <c r="A2205" s="82">
        <v>42646</v>
      </c>
      <c r="B2205" s="83">
        <v>8738.1</v>
      </c>
      <c r="C2205"/>
      <c r="D2205" s="84"/>
    </row>
    <row r="2206" spans="1:4" ht="16">
      <c r="A2206" s="82">
        <v>42643</v>
      </c>
      <c r="B2206" s="83">
        <v>8611.15</v>
      </c>
      <c r="C2206"/>
      <c r="D2206" s="84"/>
    </row>
    <row r="2207" spans="1:4" ht="16">
      <c r="A2207" s="82">
        <v>42642</v>
      </c>
      <c r="B2207" s="83">
        <v>8591.25</v>
      </c>
      <c r="C2207"/>
      <c r="D2207" s="84"/>
    </row>
    <row r="2208" spans="1:4" ht="16">
      <c r="A2208" s="82">
        <v>42641</v>
      </c>
      <c r="B2208" s="83">
        <v>8745.15</v>
      </c>
      <c r="C2208"/>
      <c r="D2208" s="84"/>
    </row>
    <row r="2209" spans="1:4" ht="16">
      <c r="A2209" s="82">
        <v>42640</v>
      </c>
      <c r="B2209" s="83">
        <v>8706.4</v>
      </c>
      <c r="C2209"/>
      <c r="D2209" s="84"/>
    </row>
    <row r="2210" spans="1:4" ht="16">
      <c r="A2210" s="82">
        <v>42639</v>
      </c>
      <c r="B2210" s="83">
        <v>8723.0499999999993</v>
      </c>
      <c r="C2210"/>
      <c r="D2210" s="84"/>
    </row>
    <row r="2211" spans="1:4" ht="16">
      <c r="A2211" s="82">
        <v>42636</v>
      </c>
      <c r="B2211" s="83">
        <v>8831.5499999999993</v>
      </c>
      <c r="C2211"/>
      <c r="D2211" s="84"/>
    </row>
    <row r="2212" spans="1:4" ht="16">
      <c r="A2212" s="82">
        <v>42635</v>
      </c>
      <c r="B2212" s="83">
        <v>8867.4500000000007</v>
      </c>
      <c r="C2212"/>
      <c r="D2212" s="84"/>
    </row>
    <row r="2213" spans="1:4" ht="16">
      <c r="A2213" s="82">
        <v>42634</v>
      </c>
      <c r="B2213" s="83">
        <v>8777.15</v>
      </c>
      <c r="C2213"/>
      <c r="D2213" s="84"/>
    </row>
    <row r="2214" spans="1:4" ht="16">
      <c r="A2214" s="82">
        <v>42633</v>
      </c>
      <c r="B2214" s="83">
        <v>8775.9</v>
      </c>
      <c r="C2214"/>
      <c r="D2214" s="84"/>
    </row>
    <row r="2215" spans="1:4" ht="16">
      <c r="A2215" s="82">
        <v>42632</v>
      </c>
      <c r="B2215" s="83">
        <v>8808.4</v>
      </c>
      <c r="C2215"/>
      <c r="D2215" s="84"/>
    </row>
    <row r="2216" spans="1:4" ht="16">
      <c r="A2216" s="82">
        <v>42629</v>
      </c>
      <c r="B2216" s="83">
        <v>8779.85</v>
      </c>
      <c r="C2216"/>
      <c r="D2216" s="84"/>
    </row>
    <row r="2217" spans="1:4" ht="16">
      <c r="A2217" s="82">
        <v>42628</v>
      </c>
      <c r="B2217" s="83">
        <v>8742.5499999999993</v>
      </c>
      <c r="C2217"/>
      <c r="D2217" s="84"/>
    </row>
    <row r="2218" spans="1:4" ht="16">
      <c r="A2218" s="82">
        <v>42627</v>
      </c>
      <c r="B2218" s="83">
        <v>8726.6</v>
      </c>
      <c r="C2218"/>
      <c r="D2218" s="84"/>
    </row>
    <row r="2219" spans="1:4" ht="16">
      <c r="A2219" s="82">
        <v>42625</v>
      </c>
      <c r="B2219" s="83">
        <v>8715.6</v>
      </c>
      <c r="C2219"/>
      <c r="D2219" s="84"/>
    </row>
    <row r="2220" spans="1:4" ht="16">
      <c r="A2220" s="82">
        <v>42622</v>
      </c>
      <c r="B2220" s="83">
        <v>8866.7000000000007</v>
      </c>
      <c r="C2220"/>
      <c r="D2220" s="84"/>
    </row>
    <row r="2221" spans="1:4" ht="16">
      <c r="A2221" s="82">
        <v>42621</v>
      </c>
      <c r="B2221" s="83">
        <v>8952.5</v>
      </c>
      <c r="C2221"/>
      <c r="D2221" s="84"/>
    </row>
    <row r="2222" spans="1:4" ht="16">
      <c r="A2222" s="82">
        <v>42620</v>
      </c>
      <c r="B2222" s="83">
        <v>8917.9500000000007</v>
      </c>
      <c r="C2222"/>
      <c r="D2222" s="84"/>
    </row>
    <row r="2223" spans="1:4" ht="16">
      <c r="A2223" s="82">
        <v>42619</v>
      </c>
      <c r="B2223" s="83">
        <v>8943</v>
      </c>
      <c r="C2223"/>
      <c r="D2223" s="84"/>
    </row>
    <row r="2224" spans="1:4" ht="16">
      <c r="A2224" s="82">
        <v>42615</v>
      </c>
      <c r="B2224" s="83">
        <v>8809.65</v>
      </c>
      <c r="C2224"/>
      <c r="D2224" s="84"/>
    </row>
    <row r="2225" spans="1:4" ht="16">
      <c r="A2225" s="82">
        <v>42614</v>
      </c>
      <c r="B2225" s="83">
        <v>8774.65</v>
      </c>
      <c r="C2225"/>
      <c r="D2225" s="84"/>
    </row>
    <row r="2226" spans="1:4" ht="16">
      <c r="A2226" s="82">
        <v>42613</v>
      </c>
      <c r="B2226" s="83">
        <v>8786.2000000000007</v>
      </c>
      <c r="C2226"/>
      <c r="D2226" s="84"/>
    </row>
    <row r="2227" spans="1:4" ht="16">
      <c r="A2227" s="82">
        <v>42612</v>
      </c>
      <c r="B2227" s="83">
        <v>8744.35</v>
      </c>
      <c r="C2227"/>
      <c r="D2227" s="84"/>
    </row>
    <row r="2228" spans="1:4" ht="16">
      <c r="A2228" s="82">
        <v>42611</v>
      </c>
      <c r="B2228" s="83">
        <v>8607.4500000000007</v>
      </c>
      <c r="C2228"/>
      <c r="D2228" s="84"/>
    </row>
    <row r="2229" spans="1:4" ht="16">
      <c r="A2229" s="82">
        <v>42608</v>
      </c>
      <c r="B2229" s="83">
        <v>8572.5499999999993</v>
      </c>
      <c r="C2229"/>
      <c r="D2229" s="84"/>
    </row>
    <row r="2230" spans="1:4" ht="16">
      <c r="A2230" s="82">
        <v>42607</v>
      </c>
      <c r="B2230" s="83">
        <v>8592.2000000000007</v>
      </c>
      <c r="C2230"/>
      <c r="D2230" s="84"/>
    </row>
    <row r="2231" spans="1:4" ht="16">
      <c r="A2231" s="82">
        <v>42606</v>
      </c>
      <c r="B2231" s="83">
        <v>8650.2999999999993</v>
      </c>
      <c r="C2231"/>
      <c r="D2231" s="84"/>
    </row>
    <row r="2232" spans="1:4" ht="16">
      <c r="A2232" s="82">
        <v>42605</v>
      </c>
      <c r="B2232" s="83">
        <v>8632.6</v>
      </c>
      <c r="C2232"/>
      <c r="D2232" s="84"/>
    </row>
    <row r="2233" spans="1:4" ht="16">
      <c r="A2233" s="82">
        <v>42604</v>
      </c>
      <c r="B2233" s="83">
        <v>8629.15</v>
      </c>
      <c r="C2233"/>
      <c r="D2233" s="84"/>
    </row>
    <row r="2234" spans="1:4" ht="16">
      <c r="A2234" s="82">
        <v>42601</v>
      </c>
      <c r="B2234" s="83">
        <v>8666.9</v>
      </c>
      <c r="C2234"/>
      <c r="D2234" s="84"/>
    </row>
    <row r="2235" spans="1:4" ht="16">
      <c r="A2235" s="82">
        <v>42600</v>
      </c>
      <c r="B2235" s="83">
        <v>8673.25</v>
      </c>
      <c r="C2235"/>
      <c r="D2235" s="84"/>
    </row>
    <row r="2236" spans="1:4" ht="16">
      <c r="A2236" s="82">
        <v>42599</v>
      </c>
      <c r="B2236" s="83">
        <v>8624.0499999999993</v>
      </c>
      <c r="C2236"/>
      <c r="D2236" s="84"/>
    </row>
    <row r="2237" spans="1:4" ht="16">
      <c r="A2237" s="82">
        <v>42598</v>
      </c>
      <c r="B2237" s="83">
        <v>8642.5499999999993</v>
      </c>
      <c r="C2237"/>
      <c r="D2237" s="84"/>
    </row>
    <row r="2238" spans="1:4" ht="16">
      <c r="A2238" s="82">
        <v>42594</v>
      </c>
      <c r="B2238" s="83">
        <v>8672.15</v>
      </c>
      <c r="C2238"/>
      <c r="D2238" s="84"/>
    </row>
    <row r="2239" spans="1:4" ht="16">
      <c r="A2239" s="82">
        <v>42593</v>
      </c>
      <c r="B2239" s="83">
        <v>8592.15</v>
      </c>
      <c r="C2239"/>
      <c r="D2239" s="84"/>
    </row>
    <row r="2240" spans="1:4" ht="16">
      <c r="A2240" s="82">
        <v>42592</v>
      </c>
      <c r="B2240" s="83">
        <v>8575.2999999999993</v>
      </c>
      <c r="C2240"/>
      <c r="D2240" s="84"/>
    </row>
    <row r="2241" spans="1:4" ht="16">
      <c r="A2241" s="82">
        <v>42591</v>
      </c>
      <c r="B2241" s="83">
        <v>8678.25</v>
      </c>
      <c r="C2241"/>
      <c r="D2241" s="84"/>
    </row>
    <row r="2242" spans="1:4" ht="16">
      <c r="A2242" s="82">
        <v>42590</v>
      </c>
      <c r="B2242" s="83">
        <v>8711.35</v>
      </c>
      <c r="C2242"/>
      <c r="D2242" s="84"/>
    </row>
    <row r="2243" spans="1:4" ht="16">
      <c r="A2243" s="82">
        <v>42587</v>
      </c>
      <c r="B2243" s="83">
        <v>8683.15</v>
      </c>
      <c r="C2243"/>
      <c r="D2243" s="84"/>
    </row>
    <row r="2244" spans="1:4" ht="16">
      <c r="A2244" s="82">
        <v>42586</v>
      </c>
      <c r="B2244" s="83">
        <v>8551.1</v>
      </c>
      <c r="C2244"/>
      <c r="D2244" s="84"/>
    </row>
    <row r="2245" spans="1:4" ht="16">
      <c r="A2245" s="82">
        <v>42585</v>
      </c>
      <c r="B2245" s="83">
        <v>8544.85</v>
      </c>
      <c r="C2245"/>
      <c r="D2245" s="84"/>
    </row>
    <row r="2246" spans="1:4" ht="16">
      <c r="A2246" s="82">
        <v>42584</v>
      </c>
      <c r="B2246" s="83">
        <v>8622.9</v>
      </c>
      <c r="C2246"/>
      <c r="D2246" s="84"/>
    </row>
    <row r="2247" spans="1:4" ht="16">
      <c r="A2247" s="82">
        <v>42583</v>
      </c>
      <c r="B2247" s="83">
        <v>8636.5499999999993</v>
      </c>
      <c r="C2247"/>
      <c r="D2247" s="84"/>
    </row>
    <row r="2248" spans="1:4" ht="16">
      <c r="A2248" s="82">
        <v>42580</v>
      </c>
      <c r="B2248" s="83">
        <v>8638.5</v>
      </c>
      <c r="C2248"/>
      <c r="D2248" s="84"/>
    </row>
    <row r="2249" spans="1:4" ht="16">
      <c r="A2249" s="82">
        <v>42579</v>
      </c>
      <c r="B2249" s="83">
        <v>8666.2999999999993</v>
      </c>
      <c r="C2249"/>
      <c r="D2249" s="84"/>
    </row>
    <row r="2250" spans="1:4" ht="16">
      <c r="A2250" s="82">
        <v>42578</v>
      </c>
      <c r="B2250" s="83">
        <v>8615.7999999999993</v>
      </c>
      <c r="C2250"/>
      <c r="D2250" s="84"/>
    </row>
    <row r="2251" spans="1:4" ht="16">
      <c r="A2251" s="82">
        <v>42577</v>
      </c>
      <c r="B2251" s="83">
        <v>8590.65</v>
      </c>
      <c r="C2251"/>
      <c r="D2251" s="84"/>
    </row>
    <row r="2252" spans="1:4" ht="16">
      <c r="A2252" s="82">
        <v>42576</v>
      </c>
      <c r="B2252" s="83">
        <v>8635.65</v>
      </c>
      <c r="C2252"/>
      <c r="D2252" s="84"/>
    </row>
    <row r="2253" spans="1:4" ht="16">
      <c r="A2253" s="82">
        <v>42573</v>
      </c>
      <c r="B2253" s="83">
        <v>8541.2000000000007</v>
      </c>
      <c r="C2253"/>
      <c r="D2253" s="84"/>
    </row>
    <row r="2254" spans="1:4" ht="16">
      <c r="A2254" s="82">
        <v>42572</v>
      </c>
      <c r="B2254" s="83">
        <v>8510.1</v>
      </c>
      <c r="C2254"/>
      <c r="D2254" s="84"/>
    </row>
    <row r="2255" spans="1:4" ht="16">
      <c r="A2255" s="82">
        <v>42571</v>
      </c>
      <c r="B2255" s="83">
        <v>8565.85</v>
      </c>
      <c r="C2255"/>
      <c r="D2255" s="84"/>
    </row>
    <row r="2256" spans="1:4" ht="16">
      <c r="A2256" s="82">
        <v>42570</v>
      </c>
      <c r="B2256" s="83">
        <v>8528.5499999999993</v>
      </c>
      <c r="C2256"/>
      <c r="D2256" s="84"/>
    </row>
    <row r="2257" spans="1:4" ht="16">
      <c r="A2257" s="82">
        <v>42569</v>
      </c>
      <c r="B2257" s="83">
        <v>8508.7000000000007</v>
      </c>
      <c r="C2257"/>
      <c r="D2257" s="84"/>
    </row>
    <row r="2258" spans="1:4" ht="16">
      <c r="A2258" s="82">
        <v>42566</v>
      </c>
      <c r="B2258" s="83">
        <v>8541.4</v>
      </c>
      <c r="C2258"/>
      <c r="D2258" s="84"/>
    </row>
    <row r="2259" spans="1:4" ht="16">
      <c r="A2259" s="82">
        <v>42565</v>
      </c>
      <c r="B2259" s="83">
        <v>8565</v>
      </c>
      <c r="C2259"/>
      <c r="D2259" s="84"/>
    </row>
    <row r="2260" spans="1:4" ht="16">
      <c r="A2260" s="82">
        <v>42564</v>
      </c>
      <c r="B2260" s="83">
        <v>8519.5</v>
      </c>
      <c r="C2260"/>
      <c r="D2260" s="84"/>
    </row>
    <row r="2261" spans="1:4" ht="16">
      <c r="A2261" s="82">
        <v>42563</v>
      </c>
      <c r="B2261" s="83">
        <v>8521.0499999999993</v>
      </c>
      <c r="C2261"/>
      <c r="D2261" s="84"/>
    </row>
    <row r="2262" spans="1:4" ht="16">
      <c r="A2262" s="82">
        <v>42562</v>
      </c>
      <c r="B2262" s="83">
        <v>8467.9</v>
      </c>
      <c r="C2262"/>
      <c r="D2262" s="84"/>
    </row>
    <row r="2263" spans="1:4" ht="16">
      <c r="A2263" s="82">
        <v>42559</v>
      </c>
      <c r="B2263" s="83">
        <v>8323.2000000000007</v>
      </c>
      <c r="C2263"/>
      <c r="D2263" s="84"/>
    </row>
    <row r="2264" spans="1:4" ht="16">
      <c r="A2264" s="82">
        <v>42558</v>
      </c>
      <c r="B2264" s="83">
        <v>8337.9</v>
      </c>
      <c r="C2264"/>
      <c r="D2264" s="84"/>
    </row>
    <row r="2265" spans="1:4" ht="16">
      <c r="A2265" s="82">
        <v>42556</v>
      </c>
      <c r="B2265" s="83">
        <v>8335.9500000000007</v>
      </c>
      <c r="C2265"/>
      <c r="D2265" s="84"/>
    </row>
    <row r="2266" spans="1:4" ht="16">
      <c r="A2266" s="82">
        <v>42555</v>
      </c>
      <c r="B2266" s="83">
        <v>8370.7000000000007</v>
      </c>
      <c r="C2266"/>
      <c r="D2266" s="84"/>
    </row>
    <row r="2267" spans="1:4" ht="16">
      <c r="A2267" s="82">
        <v>42552</v>
      </c>
      <c r="B2267" s="83">
        <v>8328.35</v>
      </c>
      <c r="C2267"/>
      <c r="D2267" s="84"/>
    </row>
    <row r="2268" spans="1:4" ht="16">
      <c r="A2268" s="82">
        <v>42551</v>
      </c>
      <c r="B2268" s="83">
        <v>8287.75</v>
      </c>
      <c r="C2268"/>
      <c r="D2268" s="84"/>
    </row>
    <row r="2269" spans="1:4" ht="16">
      <c r="A2269" s="82">
        <v>42550</v>
      </c>
      <c r="B2269" s="83">
        <v>8204</v>
      </c>
      <c r="C2269"/>
      <c r="D2269" s="84"/>
    </row>
    <row r="2270" spans="1:4" ht="16">
      <c r="A2270" s="82">
        <v>42549</v>
      </c>
      <c r="B2270" s="83">
        <v>8127.85</v>
      </c>
      <c r="C2270"/>
      <c r="D2270" s="84"/>
    </row>
    <row r="2271" spans="1:4" ht="16">
      <c r="A2271" s="82">
        <v>42548</v>
      </c>
      <c r="B2271" s="83">
        <v>8094.7</v>
      </c>
      <c r="C2271"/>
      <c r="D2271" s="84"/>
    </row>
    <row r="2272" spans="1:4" ht="16">
      <c r="A2272" s="82">
        <v>42545</v>
      </c>
      <c r="B2272" s="83">
        <v>8088.6</v>
      </c>
      <c r="C2272"/>
      <c r="D2272" s="84"/>
    </row>
    <row r="2273" spans="1:4" ht="16">
      <c r="A2273" s="82">
        <v>42544</v>
      </c>
      <c r="B2273" s="83">
        <v>8270.4500000000007</v>
      </c>
      <c r="C2273"/>
      <c r="D2273" s="84"/>
    </row>
    <row r="2274" spans="1:4" ht="16">
      <c r="A2274" s="82">
        <v>42543</v>
      </c>
      <c r="B2274" s="83">
        <v>8203.7000000000007</v>
      </c>
      <c r="C2274"/>
      <c r="D2274" s="84"/>
    </row>
    <row r="2275" spans="1:4" ht="16">
      <c r="A2275" s="82">
        <v>42542</v>
      </c>
      <c r="B2275" s="83">
        <v>8219.9</v>
      </c>
      <c r="C2275"/>
      <c r="D2275" s="84"/>
    </row>
    <row r="2276" spans="1:4" ht="16">
      <c r="A2276" s="82">
        <v>42541</v>
      </c>
      <c r="B2276" s="83">
        <v>8238.5</v>
      </c>
      <c r="C2276"/>
      <c r="D2276" s="84"/>
    </row>
    <row r="2277" spans="1:4" ht="16">
      <c r="A2277" s="82">
        <v>42538</v>
      </c>
      <c r="B2277" s="83">
        <v>8170.2</v>
      </c>
      <c r="C2277"/>
      <c r="D2277" s="84"/>
    </row>
    <row r="2278" spans="1:4" ht="16">
      <c r="A2278" s="82">
        <v>42537</v>
      </c>
      <c r="B2278" s="83">
        <v>8140.75</v>
      </c>
      <c r="C2278"/>
      <c r="D2278" s="84"/>
    </row>
    <row r="2279" spans="1:4" ht="16">
      <c r="A2279" s="82">
        <v>42536</v>
      </c>
      <c r="B2279" s="83">
        <v>8206.6</v>
      </c>
      <c r="C2279"/>
      <c r="D2279" s="84"/>
    </row>
    <row r="2280" spans="1:4" ht="16">
      <c r="A2280" s="82">
        <v>42535</v>
      </c>
      <c r="B2280" s="83">
        <v>8108.85</v>
      </c>
      <c r="C2280"/>
      <c r="D2280" s="84"/>
    </row>
    <row r="2281" spans="1:4" ht="16">
      <c r="A2281" s="82">
        <v>42534</v>
      </c>
      <c r="B2281" s="83">
        <v>8110.6</v>
      </c>
      <c r="C2281"/>
      <c r="D2281" s="84"/>
    </row>
    <row r="2282" spans="1:4" ht="16">
      <c r="A2282" s="82">
        <v>42531</v>
      </c>
      <c r="B2282" s="83">
        <v>8170.05</v>
      </c>
      <c r="C2282"/>
      <c r="D2282" s="84"/>
    </row>
    <row r="2283" spans="1:4" ht="16">
      <c r="A2283" s="82">
        <v>42530</v>
      </c>
      <c r="B2283" s="83">
        <v>8203.6</v>
      </c>
      <c r="C2283"/>
      <c r="D2283" s="84"/>
    </row>
    <row r="2284" spans="1:4" ht="16">
      <c r="A2284" s="82">
        <v>42529</v>
      </c>
      <c r="B2284" s="83">
        <v>8273.0499999999993</v>
      </c>
      <c r="C2284"/>
      <c r="D2284" s="84"/>
    </row>
    <row r="2285" spans="1:4" ht="16">
      <c r="A2285" s="82">
        <v>42528</v>
      </c>
      <c r="B2285" s="83">
        <v>8266.4500000000007</v>
      </c>
      <c r="C2285"/>
      <c r="D2285" s="84"/>
    </row>
    <row r="2286" spans="1:4" ht="16">
      <c r="A2286" s="82">
        <v>42527</v>
      </c>
      <c r="B2286" s="83">
        <v>8201.0499999999993</v>
      </c>
      <c r="C2286"/>
      <c r="D2286" s="84"/>
    </row>
    <row r="2287" spans="1:4" ht="16">
      <c r="A2287" s="82">
        <v>42524</v>
      </c>
      <c r="B2287" s="83">
        <v>8220.7999999999993</v>
      </c>
      <c r="C2287"/>
      <c r="D2287" s="84"/>
    </row>
    <row r="2288" spans="1:4" ht="16">
      <c r="A2288" s="82">
        <v>42523</v>
      </c>
      <c r="B2288" s="83">
        <v>8218.9500000000007</v>
      </c>
      <c r="C2288"/>
      <c r="D2288" s="84"/>
    </row>
    <row r="2289" spans="1:4" ht="16">
      <c r="A2289" s="82">
        <v>42522</v>
      </c>
      <c r="B2289" s="83">
        <v>8179.95</v>
      </c>
      <c r="C2289"/>
      <c r="D2289" s="84"/>
    </row>
    <row r="2290" spans="1:4" ht="16">
      <c r="A2290" s="82">
        <v>42521</v>
      </c>
      <c r="B2290" s="83">
        <v>8160.1</v>
      </c>
      <c r="C2290"/>
      <c r="D2290" s="84"/>
    </row>
    <row r="2291" spans="1:4" ht="16">
      <c r="A2291" s="82">
        <v>42520</v>
      </c>
      <c r="B2291" s="83">
        <v>8178.5</v>
      </c>
      <c r="C2291"/>
      <c r="D2291" s="84"/>
    </row>
    <row r="2292" spans="1:4" ht="16">
      <c r="A2292" s="82">
        <v>42517</v>
      </c>
      <c r="B2292" s="83">
        <v>8156.65</v>
      </c>
      <c r="C2292"/>
      <c r="D2292" s="84"/>
    </row>
    <row r="2293" spans="1:4" ht="16">
      <c r="A2293" s="82">
        <v>42516</v>
      </c>
      <c r="B2293" s="83">
        <v>8069.65</v>
      </c>
      <c r="C2293"/>
      <c r="D2293" s="84"/>
    </row>
    <row r="2294" spans="1:4" ht="16">
      <c r="A2294" s="82">
        <v>42515</v>
      </c>
      <c r="B2294" s="83">
        <v>7934.9</v>
      </c>
      <c r="C2294"/>
      <c r="D2294" s="84"/>
    </row>
    <row r="2295" spans="1:4" ht="16">
      <c r="A2295" s="82">
        <v>42514</v>
      </c>
      <c r="B2295" s="83">
        <v>7748.85</v>
      </c>
      <c r="C2295"/>
      <c r="D2295" s="84"/>
    </row>
    <row r="2296" spans="1:4" ht="16">
      <c r="A2296" s="82">
        <v>42513</v>
      </c>
      <c r="B2296" s="83">
        <v>7731.05</v>
      </c>
      <c r="C2296"/>
      <c r="D2296" s="84"/>
    </row>
    <row r="2297" spans="1:4" ht="16">
      <c r="A2297" s="82">
        <v>42510</v>
      </c>
      <c r="B2297" s="83">
        <v>7749.7</v>
      </c>
      <c r="C2297"/>
      <c r="D2297" s="84"/>
    </row>
    <row r="2298" spans="1:4" ht="16">
      <c r="A2298" s="82">
        <v>42509</v>
      </c>
      <c r="B2298" s="83">
        <v>7783.4</v>
      </c>
      <c r="C2298"/>
      <c r="D2298" s="84"/>
    </row>
    <row r="2299" spans="1:4" ht="16">
      <c r="A2299" s="82">
        <v>42508</v>
      </c>
      <c r="B2299" s="83">
        <v>7870.15</v>
      </c>
      <c r="C2299"/>
      <c r="D2299" s="84"/>
    </row>
    <row r="2300" spans="1:4" ht="16">
      <c r="A2300" s="82">
        <v>42507</v>
      </c>
      <c r="B2300" s="83">
        <v>7890.75</v>
      </c>
      <c r="C2300"/>
      <c r="D2300" s="84"/>
    </row>
    <row r="2301" spans="1:4" ht="16">
      <c r="A2301" s="82">
        <v>42506</v>
      </c>
      <c r="B2301" s="83">
        <v>7860.75</v>
      </c>
      <c r="C2301"/>
      <c r="D2301" s="84"/>
    </row>
    <row r="2302" spans="1:4" ht="16">
      <c r="A2302" s="82">
        <v>42503</v>
      </c>
      <c r="B2302" s="83">
        <v>7814.9</v>
      </c>
      <c r="C2302"/>
      <c r="D2302" s="84"/>
    </row>
    <row r="2303" spans="1:4" ht="16">
      <c r="A2303" s="82">
        <v>42502</v>
      </c>
      <c r="B2303" s="83">
        <v>7900.4</v>
      </c>
      <c r="C2303"/>
      <c r="D2303" s="84"/>
    </row>
    <row r="2304" spans="1:4" ht="16">
      <c r="A2304" s="82">
        <v>42501</v>
      </c>
      <c r="B2304" s="83">
        <v>7848.85</v>
      </c>
      <c r="C2304"/>
      <c r="D2304" s="84"/>
    </row>
    <row r="2305" spans="1:4" ht="16">
      <c r="A2305" s="82">
        <v>42500</v>
      </c>
      <c r="B2305" s="83">
        <v>7887.8</v>
      </c>
      <c r="C2305"/>
      <c r="D2305" s="84"/>
    </row>
    <row r="2306" spans="1:4" ht="16">
      <c r="A2306" s="82">
        <v>42499</v>
      </c>
      <c r="B2306" s="83">
        <v>7866.05</v>
      </c>
      <c r="C2306"/>
      <c r="D2306" s="84"/>
    </row>
    <row r="2307" spans="1:4" ht="16">
      <c r="A2307" s="82">
        <v>42496</v>
      </c>
      <c r="B2307" s="83">
        <v>7733.45</v>
      </c>
      <c r="C2307"/>
      <c r="D2307" s="84"/>
    </row>
    <row r="2308" spans="1:4" ht="16">
      <c r="A2308" s="82">
        <v>42495</v>
      </c>
      <c r="B2308" s="83">
        <v>7735.5</v>
      </c>
      <c r="C2308"/>
      <c r="D2308" s="84"/>
    </row>
    <row r="2309" spans="1:4" ht="16">
      <c r="A2309" s="82">
        <v>42494</v>
      </c>
      <c r="B2309" s="83">
        <v>7706.55</v>
      </c>
      <c r="C2309"/>
      <c r="D2309" s="84"/>
    </row>
    <row r="2310" spans="1:4" ht="16">
      <c r="A2310" s="82">
        <v>42493</v>
      </c>
      <c r="B2310" s="83">
        <v>7747</v>
      </c>
      <c r="C2310"/>
      <c r="D2310" s="84"/>
    </row>
    <row r="2311" spans="1:4" ht="16">
      <c r="A2311" s="82">
        <v>42492</v>
      </c>
      <c r="B2311" s="83">
        <v>7805.9</v>
      </c>
      <c r="C2311"/>
      <c r="D2311" s="84"/>
    </row>
    <row r="2312" spans="1:4" ht="16">
      <c r="A2312" s="82">
        <v>42489</v>
      </c>
      <c r="B2312" s="83">
        <v>7849.8</v>
      </c>
      <c r="C2312"/>
      <c r="D2312" s="84"/>
    </row>
    <row r="2313" spans="1:4" ht="16">
      <c r="A2313" s="82">
        <v>42488</v>
      </c>
      <c r="B2313" s="83">
        <v>7847.25</v>
      </c>
      <c r="C2313"/>
      <c r="D2313" s="84"/>
    </row>
    <row r="2314" spans="1:4" ht="16">
      <c r="A2314" s="82">
        <v>42487</v>
      </c>
      <c r="B2314" s="83">
        <v>7979.9</v>
      </c>
      <c r="C2314"/>
      <c r="D2314" s="84"/>
    </row>
    <row r="2315" spans="1:4" ht="16">
      <c r="A2315" s="82">
        <v>42486</v>
      </c>
      <c r="B2315" s="83">
        <v>7962.65</v>
      </c>
      <c r="C2315"/>
      <c r="D2315" s="84"/>
    </row>
    <row r="2316" spans="1:4" ht="16">
      <c r="A2316" s="82">
        <v>42485</v>
      </c>
      <c r="B2316" s="83">
        <v>7855.05</v>
      </c>
      <c r="C2316"/>
      <c r="D2316" s="84"/>
    </row>
    <row r="2317" spans="1:4" ht="16">
      <c r="A2317" s="82">
        <v>42482</v>
      </c>
      <c r="B2317" s="83">
        <v>7899.3</v>
      </c>
      <c r="C2317"/>
      <c r="D2317" s="84"/>
    </row>
    <row r="2318" spans="1:4" ht="16">
      <c r="A2318" s="82">
        <v>42481</v>
      </c>
      <c r="B2318" s="83">
        <v>7912.05</v>
      </c>
      <c r="C2318"/>
      <c r="D2318" s="84"/>
    </row>
    <row r="2319" spans="1:4" ht="16">
      <c r="A2319" s="82">
        <v>42480</v>
      </c>
      <c r="B2319" s="83">
        <v>7914.75</v>
      </c>
      <c r="C2319"/>
      <c r="D2319" s="84"/>
    </row>
    <row r="2320" spans="1:4" ht="16">
      <c r="A2320" s="82">
        <v>42478</v>
      </c>
      <c r="B2320" s="83">
        <v>7914.7</v>
      </c>
      <c r="C2320"/>
      <c r="D2320" s="84"/>
    </row>
    <row r="2321" spans="1:4" ht="16">
      <c r="A2321" s="82">
        <v>42473</v>
      </c>
      <c r="B2321" s="83">
        <v>7850.45</v>
      </c>
      <c r="C2321"/>
      <c r="D2321" s="84"/>
    </row>
    <row r="2322" spans="1:4" ht="16">
      <c r="A2322" s="82">
        <v>42472</v>
      </c>
      <c r="B2322" s="83">
        <v>7708.95</v>
      </c>
      <c r="C2322"/>
      <c r="D2322" s="84"/>
    </row>
    <row r="2323" spans="1:4" ht="16">
      <c r="A2323" s="82">
        <v>42471</v>
      </c>
      <c r="B2323" s="83">
        <v>7671.4</v>
      </c>
      <c r="C2323"/>
      <c r="D2323" s="84"/>
    </row>
    <row r="2324" spans="1:4" ht="16">
      <c r="A2324" s="82">
        <v>42468</v>
      </c>
      <c r="B2324" s="83">
        <v>7555.2</v>
      </c>
      <c r="C2324"/>
      <c r="D2324" s="84"/>
    </row>
    <row r="2325" spans="1:4" ht="16">
      <c r="A2325" s="82">
        <v>42467</v>
      </c>
      <c r="B2325" s="83">
        <v>7546.45</v>
      </c>
      <c r="C2325"/>
      <c r="D2325" s="84"/>
    </row>
    <row r="2326" spans="1:4" ht="16">
      <c r="A2326" s="82">
        <v>42466</v>
      </c>
      <c r="B2326" s="83">
        <v>7614.35</v>
      </c>
      <c r="C2326"/>
      <c r="D2326" s="84"/>
    </row>
    <row r="2327" spans="1:4" ht="16">
      <c r="A2327" s="82">
        <v>42465</v>
      </c>
      <c r="B2327" s="83">
        <v>7603.2</v>
      </c>
      <c r="C2327"/>
      <c r="D2327" s="84"/>
    </row>
    <row r="2328" spans="1:4" ht="16">
      <c r="A2328" s="82">
        <v>42464</v>
      </c>
      <c r="B2328" s="83">
        <v>7758.8</v>
      </c>
      <c r="C2328"/>
      <c r="D2328" s="84"/>
    </row>
    <row r="2329" spans="1:4" ht="16">
      <c r="A2329" s="82">
        <v>42461</v>
      </c>
      <c r="B2329" s="83">
        <v>7713.05</v>
      </c>
      <c r="C2329"/>
      <c r="D2329" s="84"/>
    </row>
    <row r="2330" spans="1:4" ht="16">
      <c r="A2330" s="82">
        <v>42460</v>
      </c>
      <c r="B2330" s="83">
        <v>7738.4</v>
      </c>
      <c r="C2330"/>
      <c r="D2330" s="84"/>
    </row>
    <row r="2331" spans="1:4" ht="16">
      <c r="A2331" s="82">
        <v>42459</v>
      </c>
      <c r="B2331" s="83">
        <v>7735.2</v>
      </c>
      <c r="C2331"/>
      <c r="D2331" s="84"/>
    </row>
    <row r="2332" spans="1:4" ht="16">
      <c r="A2332" s="82">
        <v>42458</v>
      </c>
      <c r="B2332" s="83">
        <v>7597</v>
      </c>
      <c r="C2332"/>
      <c r="D2332" s="84"/>
    </row>
    <row r="2333" spans="1:4" ht="16">
      <c r="A2333" s="82">
        <v>42457</v>
      </c>
      <c r="B2333" s="83">
        <v>7615.1</v>
      </c>
      <c r="C2333"/>
      <c r="D2333" s="84"/>
    </row>
    <row r="2334" spans="1:4" ht="16">
      <c r="A2334" s="82">
        <v>42452</v>
      </c>
      <c r="B2334" s="83">
        <v>7716.5</v>
      </c>
      <c r="C2334"/>
      <c r="D2334" s="84"/>
    </row>
    <row r="2335" spans="1:4" ht="16">
      <c r="A2335" s="82">
        <v>42451</v>
      </c>
      <c r="B2335" s="83">
        <v>7714.9</v>
      </c>
      <c r="C2335"/>
      <c r="D2335" s="84"/>
    </row>
    <row r="2336" spans="1:4" ht="16">
      <c r="A2336" s="82">
        <v>42450</v>
      </c>
      <c r="B2336" s="83">
        <v>7704.25</v>
      </c>
      <c r="C2336"/>
      <c r="D2336" s="84"/>
    </row>
    <row r="2337" spans="1:4" ht="16">
      <c r="A2337" s="82">
        <v>42447</v>
      </c>
      <c r="B2337" s="83">
        <v>7604.35</v>
      </c>
      <c r="C2337"/>
      <c r="D2337" s="84"/>
    </row>
    <row r="2338" spans="1:4" ht="16">
      <c r="A2338" s="82">
        <v>42446</v>
      </c>
      <c r="B2338" s="83">
        <v>7512.55</v>
      </c>
      <c r="C2338"/>
      <c r="D2338" s="84"/>
    </row>
    <row r="2339" spans="1:4" ht="16">
      <c r="A2339" s="82">
        <v>42445</v>
      </c>
      <c r="B2339" s="83">
        <v>7498.75</v>
      </c>
      <c r="C2339"/>
      <c r="D2339" s="84"/>
    </row>
    <row r="2340" spans="1:4" ht="16">
      <c r="A2340" s="82">
        <v>42444</v>
      </c>
      <c r="B2340" s="83">
        <v>7460.6</v>
      </c>
      <c r="C2340"/>
      <c r="D2340" s="84"/>
    </row>
    <row r="2341" spans="1:4" ht="16">
      <c r="A2341" s="82">
        <v>42443</v>
      </c>
      <c r="B2341" s="83">
        <v>7538.75</v>
      </c>
      <c r="C2341"/>
      <c r="D2341" s="84"/>
    </row>
    <row r="2342" spans="1:4" ht="16">
      <c r="A2342" s="82">
        <v>42440</v>
      </c>
      <c r="B2342" s="83">
        <v>7510.2</v>
      </c>
      <c r="C2342"/>
      <c r="D2342" s="84"/>
    </row>
    <row r="2343" spans="1:4" ht="16">
      <c r="A2343" s="82">
        <v>42439</v>
      </c>
      <c r="B2343" s="83">
        <v>7486.15</v>
      </c>
      <c r="C2343"/>
      <c r="D2343" s="84"/>
    </row>
    <row r="2344" spans="1:4" ht="16">
      <c r="A2344" s="82">
        <v>42438</v>
      </c>
      <c r="B2344" s="83">
        <v>7531.8</v>
      </c>
      <c r="C2344"/>
      <c r="D2344" s="84"/>
    </row>
    <row r="2345" spans="1:4" ht="16">
      <c r="A2345" s="82">
        <v>42437</v>
      </c>
      <c r="B2345" s="83">
        <v>7485.3</v>
      </c>
      <c r="C2345"/>
      <c r="D2345" s="84"/>
    </row>
    <row r="2346" spans="1:4" ht="16">
      <c r="A2346" s="82">
        <v>42433</v>
      </c>
      <c r="B2346" s="83">
        <v>7485.35</v>
      </c>
      <c r="C2346"/>
      <c r="D2346" s="84"/>
    </row>
    <row r="2347" spans="1:4" ht="16">
      <c r="A2347" s="82">
        <v>42432</v>
      </c>
      <c r="B2347" s="83">
        <v>7475.6</v>
      </c>
      <c r="C2347"/>
      <c r="D2347" s="84"/>
    </row>
    <row r="2348" spans="1:4" ht="16">
      <c r="A2348" s="82">
        <v>42431</v>
      </c>
      <c r="B2348" s="83">
        <v>7368.85</v>
      </c>
      <c r="C2348"/>
      <c r="D2348" s="84"/>
    </row>
    <row r="2349" spans="1:4" ht="16">
      <c r="A2349" s="82">
        <v>42430</v>
      </c>
      <c r="B2349" s="83">
        <v>7222.3</v>
      </c>
      <c r="C2349"/>
      <c r="D2349" s="84"/>
    </row>
    <row r="2350" spans="1:4" ht="16">
      <c r="A2350" s="82">
        <v>42429</v>
      </c>
      <c r="B2350" s="83">
        <v>6987.05</v>
      </c>
      <c r="C2350"/>
      <c r="D2350" s="84"/>
    </row>
    <row r="2351" spans="1:4" ht="16">
      <c r="A2351" s="82">
        <v>42426</v>
      </c>
      <c r="B2351" s="83">
        <v>7029.75</v>
      </c>
      <c r="C2351"/>
      <c r="D2351" s="84"/>
    </row>
    <row r="2352" spans="1:4" ht="16">
      <c r="A2352" s="82">
        <v>42425</v>
      </c>
      <c r="B2352" s="83">
        <v>6970.6</v>
      </c>
      <c r="C2352"/>
      <c r="D2352" s="84"/>
    </row>
    <row r="2353" spans="1:4" ht="16">
      <c r="A2353" s="82">
        <v>42424</v>
      </c>
      <c r="B2353" s="83">
        <v>7018.7</v>
      </c>
      <c r="C2353"/>
      <c r="D2353" s="84"/>
    </row>
    <row r="2354" spans="1:4" ht="16">
      <c r="A2354" s="82">
        <v>42423</v>
      </c>
      <c r="B2354" s="83">
        <v>7109.55</v>
      </c>
      <c r="C2354"/>
      <c r="D2354" s="84"/>
    </row>
    <row r="2355" spans="1:4" ht="16">
      <c r="A2355" s="82">
        <v>42422</v>
      </c>
      <c r="B2355" s="83">
        <v>7234.55</v>
      </c>
      <c r="C2355"/>
      <c r="D2355" s="84"/>
    </row>
    <row r="2356" spans="1:4" ht="16">
      <c r="A2356" s="82">
        <v>42419</v>
      </c>
      <c r="B2356" s="83">
        <v>7210.75</v>
      </c>
      <c r="C2356"/>
      <c r="D2356" s="84"/>
    </row>
    <row r="2357" spans="1:4" ht="16">
      <c r="A2357" s="82">
        <v>42418</v>
      </c>
      <c r="B2357" s="83">
        <v>7191.75</v>
      </c>
      <c r="C2357"/>
      <c r="D2357" s="84"/>
    </row>
    <row r="2358" spans="1:4" ht="16">
      <c r="A2358" s="82">
        <v>42417</v>
      </c>
      <c r="B2358" s="83">
        <v>7108.45</v>
      </c>
      <c r="C2358"/>
      <c r="D2358" s="84"/>
    </row>
    <row r="2359" spans="1:4" ht="16">
      <c r="A2359" s="82">
        <v>42416</v>
      </c>
      <c r="B2359" s="83">
        <v>7048.25</v>
      </c>
      <c r="C2359"/>
      <c r="D2359" s="84"/>
    </row>
    <row r="2360" spans="1:4" ht="16">
      <c r="A2360" s="82">
        <v>42415</v>
      </c>
      <c r="B2360" s="83">
        <v>7162.95</v>
      </c>
      <c r="C2360"/>
      <c r="D2360" s="84"/>
    </row>
    <row r="2361" spans="1:4" ht="16">
      <c r="A2361" s="82">
        <v>42412</v>
      </c>
      <c r="B2361" s="83">
        <v>6980.95</v>
      </c>
      <c r="C2361"/>
      <c r="D2361" s="84"/>
    </row>
    <row r="2362" spans="1:4" ht="16">
      <c r="A2362" s="82">
        <v>42411</v>
      </c>
      <c r="B2362" s="83">
        <v>6976.35</v>
      </c>
      <c r="C2362"/>
      <c r="D2362" s="84"/>
    </row>
    <row r="2363" spans="1:4" ht="16">
      <c r="A2363" s="82">
        <v>42410</v>
      </c>
      <c r="B2363" s="83">
        <v>7215.7</v>
      </c>
      <c r="C2363"/>
      <c r="D2363" s="84"/>
    </row>
    <row r="2364" spans="1:4" ht="16">
      <c r="A2364" s="82">
        <v>42409</v>
      </c>
      <c r="B2364" s="83">
        <v>7298.2</v>
      </c>
      <c r="C2364"/>
      <c r="D2364" s="84"/>
    </row>
    <row r="2365" spans="1:4" ht="16">
      <c r="A2365" s="82">
        <v>42408</v>
      </c>
      <c r="B2365" s="83">
        <v>7387.25</v>
      </c>
      <c r="C2365"/>
      <c r="D2365" s="84"/>
    </row>
    <row r="2366" spans="1:4" ht="16">
      <c r="A2366" s="82">
        <v>42405</v>
      </c>
      <c r="B2366" s="83">
        <v>7489.1</v>
      </c>
      <c r="C2366"/>
      <c r="D2366" s="84"/>
    </row>
    <row r="2367" spans="1:4" ht="16">
      <c r="A2367" s="82">
        <v>42404</v>
      </c>
      <c r="B2367" s="83">
        <v>7404</v>
      </c>
      <c r="C2367"/>
      <c r="D2367" s="84"/>
    </row>
    <row r="2368" spans="1:4" ht="16">
      <c r="A2368" s="82">
        <v>42403</v>
      </c>
      <c r="B2368" s="83">
        <v>7361.8</v>
      </c>
      <c r="C2368"/>
      <c r="D2368" s="84"/>
    </row>
    <row r="2369" spans="1:4" ht="16">
      <c r="A2369" s="82">
        <v>42402</v>
      </c>
      <c r="B2369" s="83">
        <v>7455.55</v>
      </c>
      <c r="C2369"/>
      <c r="D2369" s="84"/>
    </row>
    <row r="2370" spans="1:4" ht="16">
      <c r="A2370" s="82">
        <v>42401</v>
      </c>
      <c r="B2370" s="83">
        <v>7555.95</v>
      </c>
      <c r="C2370"/>
      <c r="D2370" s="84"/>
    </row>
    <row r="2371" spans="1:4" ht="16">
      <c r="A2371" s="82">
        <v>42398</v>
      </c>
      <c r="B2371" s="83">
        <v>7563.55</v>
      </c>
      <c r="C2371"/>
      <c r="D2371" s="84"/>
    </row>
    <row r="2372" spans="1:4" ht="16">
      <c r="A2372" s="82">
        <v>42397</v>
      </c>
      <c r="B2372" s="83">
        <v>7424.65</v>
      </c>
      <c r="C2372"/>
      <c r="D2372" s="84"/>
    </row>
    <row r="2373" spans="1:4" ht="16">
      <c r="A2373" s="82">
        <v>42396</v>
      </c>
      <c r="B2373" s="83">
        <v>7437.75</v>
      </c>
      <c r="C2373"/>
      <c r="D2373" s="84"/>
    </row>
    <row r="2374" spans="1:4" ht="16">
      <c r="A2374" s="82">
        <v>42394</v>
      </c>
      <c r="B2374" s="83">
        <v>7436.15</v>
      </c>
      <c r="C2374"/>
      <c r="D2374" s="84"/>
    </row>
    <row r="2375" spans="1:4" ht="16">
      <c r="A2375" s="82">
        <v>42391</v>
      </c>
      <c r="B2375" s="83">
        <v>7422.45</v>
      </c>
      <c r="C2375"/>
      <c r="D2375" s="84"/>
    </row>
    <row r="2376" spans="1:4" ht="16">
      <c r="A2376" s="82">
        <v>42390</v>
      </c>
      <c r="B2376" s="83">
        <v>7276.8</v>
      </c>
      <c r="C2376"/>
      <c r="D2376" s="84"/>
    </row>
    <row r="2377" spans="1:4" ht="16">
      <c r="A2377" s="82">
        <v>42389</v>
      </c>
      <c r="B2377" s="83">
        <v>7309.3</v>
      </c>
      <c r="C2377"/>
      <c r="D2377" s="84"/>
    </row>
    <row r="2378" spans="1:4" ht="16">
      <c r="A2378" s="82">
        <v>42388</v>
      </c>
      <c r="B2378" s="83">
        <v>7435.1</v>
      </c>
      <c r="C2378"/>
      <c r="D2378" s="84"/>
    </row>
    <row r="2379" spans="1:4" ht="16">
      <c r="A2379" s="82">
        <v>42387</v>
      </c>
      <c r="B2379" s="83">
        <v>7351</v>
      </c>
      <c r="C2379"/>
      <c r="D2379" s="84"/>
    </row>
    <row r="2380" spans="1:4" ht="16">
      <c r="A2380" s="82">
        <v>42384</v>
      </c>
      <c r="B2380" s="83">
        <v>7437.8</v>
      </c>
      <c r="C2380"/>
      <c r="D2380" s="84"/>
    </row>
    <row r="2381" spans="1:4" ht="16">
      <c r="A2381" s="82">
        <v>42383</v>
      </c>
      <c r="B2381" s="83">
        <v>7536.8</v>
      </c>
      <c r="C2381"/>
      <c r="D2381" s="84"/>
    </row>
    <row r="2382" spans="1:4" ht="16">
      <c r="A2382" s="82">
        <v>42382</v>
      </c>
      <c r="B2382" s="83">
        <v>7562.4</v>
      </c>
      <c r="C2382"/>
      <c r="D2382" s="84"/>
    </row>
    <row r="2383" spans="1:4" ht="16">
      <c r="A2383" s="82">
        <v>42381</v>
      </c>
      <c r="B2383" s="83">
        <v>7510.3</v>
      </c>
      <c r="C2383"/>
      <c r="D2383" s="84"/>
    </row>
    <row r="2384" spans="1:4" ht="16">
      <c r="A2384" s="82">
        <v>42380</v>
      </c>
      <c r="B2384" s="83">
        <v>7563.85</v>
      </c>
      <c r="C2384"/>
      <c r="D2384" s="84"/>
    </row>
    <row r="2385" spans="1:4" ht="16">
      <c r="A2385" s="82">
        <v>42377</v>
      </c>
      <c r="B2385" s="83">
        <v>7601.35</v>
      </c>
      <c r="C2385"/>
      <c r="D2385" s="84"/>
    </row>
    <row r="2386" spans="1:4" ht="16">
      <c r="A2386" s="82">
        <v>42376</v>
      </c>
      <c r="B2386" s="83">
        <v>7568.3</v>
      </c>
      <c r="C2386"/>
      <c r="D2386" s="84"/>
    </row>
    <row r="2387" spans="1:4" ht="16">
      <c r="A2387" s="82">
        <v>42375</v>
      </c>
      <c r="B2387" s="83">
        <v>7741</v>
      </c>
      <c r="C2387"/>
      <c r="D2387" s="84"/>
    </row>
    <row r="2388" spans="1:4" ht="16">
      <c r="A2388" s="82">
        <v>42374</v>
      </c>
      <c r="B2388" s="83">
        <v>7784.65</v>
      </c>
      <c r="C2388"/>
      <c r="D2388" s="84"/>
    </row>
    <row r="2389" spans="1:4" ht="16">
      <c r="A2389" s="82">
        <v>42373</v>
      </c>
      <c r="B2389" s="83">
        <v>7791.3</v>
      </c>
      <c r="C2389"/>
      <c r="D2389" s="84"/>
    </row>
    <row r="2390" spans="1:4" ht="16">
      <c r="A2390" s="82">
        <v>42370</v>
      </c>
      <c r="B2390" s="83">
        <v>7963.2</v>
      </c>
      <c r="C2390"/>
      <c r="D2390" s="84"/>
    </row>
    <row r="2391" spans="1:4" ht="16">
      <c r="A2391" s="82">
        <v>42369</v>
      </c>
      <c r="B2391" s="83">
        <v>7946.35</v>
      </c>
      <c r="C2391"/>
      <c r="D2391" s="84"/>
    </row>
    <row r="2392" spans="1:4" ht="16">
      <c r="A2392" s="82">
        <v>42368</v>
      </c>
      <c r="B2392" s="83">
        <v>7896.25</v>
      </c>
      <c r="C2392"/>
      <c r="D2392" s="84"/>
    </row>
    <row r="2393" spans="1:4" ht="16">
      <c r="A2393" s="82">
        <v>42367</v>
      </c>
      <c r="B2393" s="83">
        <v>7928.95</v>
      </c>
      <c r="C2393"/>
      <c r="D2393" s="84"/>
    </row>
    <row r="2394" spans="1:4" ht="16">
      <c r="A2394" s="82">
        <v>42366</v>
      </c>
      <c r="B2394" s="83">
        <v>7925.15</v>
      </c>
      <c r="C2394"/>
      <c r="D2394" s="84"/>
    </row>
    <row r="2395" spans="1:4" ht="16">
      <c r="A2395" s="82">
        <v>42362</v>
      </c>
      <c r="B2395" s="83">
        <v>7861.05</v>
      </c>
      <c r="C2395"/>
      <c r="D2395" s="84"/>
    </row>
    <row r="2396" spans="1:4" ht="16">
      <c r="A2396" s="82">
        <v>42361</v>
      </c>
      <c r="B2396" s="83">
        <v>7865.95</v>
      </c>
      <c r="C2396"/>
      <c r="D2396" s="84"/>
    </row>
    <row r="2397" spans="1:4" ht="16">
      <c r="A2397" s="82">
        <v>42360</v>
      </c>
      <c r="B2397" s="83">
        <v>7786.1</v>
      </c>
      <c r="C2397"/>
      <c r="D2397" s="84"/>
    </row>
    <row r="2398" spans="1:4" ht="16">
      <c r="A2398" s="82">
        <v>42359</v>
      </c>
      <c r="B2398" s="83">
        <v>7834.45</v>
      </c>
      <c r="C2398"/>
      <c r="D2398" s="84"/>
    </row>
    <row r="2399" spans="1:4" ht="16">
      <c r="A2399" s="82">
        <v>42356</v>
      </c>
      <c r="B2399" s="83">
        <v>7761.95</v>
      </c>
      <c r="C2399"/>
      <c r="D2399" s="84"/>
    </row>
    <row r="2400" spans="1:4" ht="16">
      <c r="A2400" s="82">
        <v>42355</v>
      </c>
      <c r="B2400" s="83">
        <v>7844.35</v>
      </c>
      <c r="C2400"/>
      <c r="D2400" s="84"/>
    </row>
    <row r="2401" spans="1:4" ht="16">
      <c r="A2401" s="82">
        <v>42354</v>
      </c>
      <c r="B2401" s="83">
        <v>7750.9</v>
      </c>
      <c r="C2401"/>
      <c r="D2401" s="84"/>
    </row>
    <row r="2402" spans="1:4" ht="16">
      <c r="A2402" s="82">
        <v>42353</v>
      </c>
      <c r="B2402" s="83">
        <v>7700.9</v>
      </c>
      <c r="C2402"/>
      <c r="D2402" s="84"/>
    </row>
    <row r="2403" spans="1:4" ht="16">
      <c r="A2403" s="82">
        <v>42352</v>
      </c>
      <c r="B2403" s="83">
        <v>7650.05</v>
      </c>
      <c r="C2403"/>
      <c r="D2403" s="84"/>
    </row>
    <row r="2404" spans="1:4" ht="16">
      <c r="A2404" s="82">
        <v>42349</v>
      </c>
      <c r="B2404" s="83">
        <v>7610.45</v>
      </c>
      <c r="C2404"/>
      <c r="D2404" s="84"/>
    </row>
    <row r="2405" spans="1:4" ht="16">
      <c r="A2405" s="82">
        <v>42348</v>
      </c>
      <c r="B2405" s="83">
        <v>7683.3</v>
      </c>
      <c r="C2405"/>
      <c r="D2405" s="84"/>
    </row>
    <row r="2406" spans="1:4" ht="16">
      <c r="A2406" s="82">
        <v>42347</v>
      </c>
      <c r="B2406" s="83">
        <v>7612.5</v>
      </c>
      <c r="C2406"/>
      <c r="D2406" s="84"/>
    </row>
    <row r="2407" spans="1:4" ht="16">
      <c r="A2407" s="82">
        <v>42346</v>
      </c>
      <c r="B2407" s="83">
        <v>7701.7</v>
      </c>
      <c r="C2407"/>
      <c r="D2407" s="84"/>
    </row>
    <row r="2408" spans="1:4" ht="16">
      <c r="A2408" s="82">
        <v>42345</v>
      </c>
      <c r="B2408" s="83">
        <v>7765.4</v>
      </c>
      <c r="C2408"/>
      <c r="D2408" s="84"/>
    </row>
    <row r="2409" spans="1:4" ht="16">
      <c r="A2409" s="82">
        <v>42342</v>
      </c>
      <c r="B2409" s="83">
        <v>7781.9</v>
      </c>
      <c r="C2409"/>
      <c r="D2409" s="84"/>
    </row>
    <row r="2410" spans="1:4" ht="16">
      <c r="A2410" s="82">
        <v>42341</v>
      </c>
      <c r="B2410" s="83">
        <v>7864.15</v>
      </c>
      <c r="C2410"/>
      <c r="D2410" s="84"/>
    </row>
    <row r="2411" spans="1:4" ht="16">
      <c r="A2411" s="82">
        <v>42340</v>
      </c>
      <c r="B2411" s="83">
        <v>7931.35</v>
      </c>
      <c r="C2411"/>
      <c r="D2411" s="84"/>
    </row>
    <row r="2412" spans="1:4" ht="16">
      <c r="A2412" s="82">
        <v>42339</v>
      </c>
      <c r="B2412" s="83">
        <v>7954.9</v>
      </c>
      <c r="C2412"/>
      <c r="D2412" s="84"/>
    </row>
    <row r="2413" spans="1:4" ht="16">
      <c r="A2413" s="82">
        <v>42338</v>
      </c>
      <c r="B2413" s="83">
        <v>7935.25</v>
      </c>
      <c r="C2413"/>
      <c r="D2413" s="84"/>
    </row>
    <row r="2414" spans="1:4" ht="16">
      <c r="A2414" s="82">
        <v>42335</v>
      </c>
      <c r="B2414" s="83">
        <v>7942.7</v>
      </c>
      <c r="C2414"/>
      <c r="D2414" s="84"/>
    </row>
    <row r="2415" spans="1:4" ht="16">
      <c r="A2415" s="82">
        <v>42334</v>
      </c>
      <c r="B2415" s="83">
        <v>7883.8</v>
      </c>
      <c r="C2415"/>
      <c r="D2415" s="84"/>
    </row>
    <row r="2416" spans="1:4" ht="16">
      <c r="A2416" s="82">
        <v>42332</v>
      </c>
      <c r="B2416" s="83">
        <v>7831.6</v>
      </c>
      <c r="C2416"/>
      <c r="D2416" s="84"/>
    </row>
    <row r="2417" spans="1:4" ht="16">
      <c r="A2417" s="82">
        <v>42331</v>
      </c>
      <c r="B2417" s="83">
        <v>7849.25</v>
      </c>
      <c r="C2417"/>
      <c r="D2417" s="84"/>
    </row>
    <row r="2418" spans="1:4" ht="16">
      <c r="A2418" s="82">
        <v>42328</v>
      </c>
      <c r="B2418" s="83">
        <v>7856.55</v>
      </c>
      <c r="C2418"/>
      <c r="D2418" s="84"/>
    </row>
    <row r="2419" spans="1:4" ht="16">
      <c r="A2419" s="82">
        <v>42327</v>
      </c>
      <c r="B2419" s="83">
        <v>7842.75</v>
      </c>
      <c r="C2419"/>
      <c r="D2419" s="84"/>
    </row>
    <row r="2420" spans="1:4" ht="16">
      <c r="A2420" s="82">
        <v>42326</v>
      </c>
      <c r="B2420" s="83">
        <v>7731.8</v>
      </c>
      <c r="C2420"/>
      <c r="D2420" s="84"/>
    </row>
    <row r="2421" spans="1:4" ht="16">
      <c r="A2421" s="82">
        <v>42325</v>
      </c>
      <c r="B2421" s="83">
        <v>7837.55</v>
      </c>
      <c r="C2421"/>
      <c r="D2421" s="84"/>
    </row>
    <row r="2422" spans="1:4" ht="16">
      <c r="A2422" s="82">
        <v>42324</v>
      </c>
      <c r="B2422" s="83">
        <v>7806.6</v>
      </c>
      <c r="C2422"/>
      <c r="D2422" s="84"/>
    </row>
    <row r="2423" spans="1:4" ht="16">
      <c r="A2423" s="82">
        <v>42321</v>
      </c>
      <c r="B2423" s="83">
        <v>7762.25</v>
      </c>
      <c r="C2423"/>
      <c r="D2423" s="84"/>
    </row>
    <row r="2424" spans="1:4" ht="16">
      <c r="A2424" s="82">
        <v>42319</v>
      </c>
      <c r="B2424" s="83">
        <v>7825</v>
      </c>
      <c r="C2424"/>
      <c r="D2424" s="84"/>
    </row>
    <row r="2425" spans="1:4" ht="16">
      <c r="A2425" s="82">
        <v>42318</v>
      </c>
      <c r="B2425" s="83">
        <v>7783.35</v>
      </c>
      <c r="C2425"/>
      <c r="D2425" s="84"/>
    </row>
    <row r="2426" spans="1:4" ht="16">
      <c r="A2426" s="82">
        <v>42317</v>
      </c>
      <c r="B2426" s="83">
        <v>7915.2</v>
      </c>
      <c r="C2426"/>
      <c r="D2426" s="84"/>
    </row>
    <row r="2427" spans="1:4" ht="16">
      <c r="A2427" s="82">
        <v>42314</v>
      </c>
      <c r="B2427" s="83">
        <v>7954.3</v>
      </c>
      <c r="C2427"/>
      <c r="D2427" s="84"/>
    </row>
    <row r="2428" spans="1:4" ht="16">
      <c r="A2428" s="82">
        <v>42313</v>
      </c>
      <c r="B2428" s="83">
        <v>7955.45</v>
      </c>
      <c r="C2428"/>
      <c r="D2428" s="84"/>
    </row>
    <row r="2429" spans="1:4" ht="16">
      <c r="A2429" s="82">
        <v>42312</v>
      </c>
      <c r="B2429" s="83">
        <v>8040.2</v>
      </c>
      <c r="C2429"/>
      <c r="D2429" s="84"/>
    </row>
    <row r="2430" spans="1:4" ht="16">
      <c r="A2430" s="82">
        <v>42311</v>
      </c>
      <c r="B2430" s="83">
        <v>8060.7</v>
      </c>
      <c r="C2430"/>
      <c r="D2430" s="84"/>
    </row>
    <row r="2431" spans="1:4" ht="16">
      <c r="A2431" s="82">
        <v>42310</v>
      </c>
      <c r="B2431" s="83">
        <v>8050.8</v>
      </c>
      <c r="C2431"/>
      <c r="D2431" s="84"/>
    </row>
    <row r="2432" spans="1:4" ht="16">
      <c r="A2432" s="82">
        <v>42307</v>
      </c>
      <c r="B2432" s="83">
        <v>8065.8</v>
      </c>
      <c r="C2432"/>
      <c r="D2432" s="84"/>
    </row>
    <row r="2433" spans="1:4" ht="16">
      <c r="A2433" s="82">
        <v>42306</v>
      </c>
      <c r="B2433" s="83">
        <v>8111.75</v>
      </c>
      <c r="C2433"/>
      <c r="D2433" s="84"/>
    </row>
    <row r="2434" spans="1:4" ht="16">
      <c r="A2434" s="82">
        <v>42305</v>
      </c>
      <c r="B2434" s="83">
        <v>8171.2</v>
      </c>
      <c r="C2434"/>
      <c r="D2434" s="84"/>
    </row>
    <row r="2435" spans="1:4" ht="16">
      <c r="A2435" s="82">
        <v>42304</v>
      </c>
      <c r="B2435" s="83">
        <v>8232.9</v>
      </c>
      <c r="C2435"/>
      <c r="D2435" s="84"/>
    </row>
    <row r="2436" spans="1:4" ht="16">
      <c r="A2436" s="82">
        <v>42303</v>
      </c>
      <c r="B2436" s="83">
        <v>8260.5499999999993</v>
      </c>
      <c r="C2436"/>
      <c r="D2436" s="84"/>
    </row>
    <row r="2437" spans="1:4" ht="16">
      <c r="A2437" s="82">
        <v>42300</v>
      </c>
      <c r="B2437" s="83">
        <v>8295.4500000000007</v>
      </c>
      <c r="C2437"/>
      <c r="D2437" s="84"/>
    </row>
    <row r="2438" spans="1:4" ht="16">
      <c r="A2438" s="82">
        <v>42298</v>
      </c>
      <c r="B2438" s="83">
        <v>8251.7000000000007</v>
      </c>
      <c r="C2438"/>
      <c r="D2438" s="84"/>
    </row>
    <row r="2439" spans="1:4" ht="16">
      <c r="A2439" s="82">
        <v>42297</v>
      </c>
      <c r="B2439" s="83">
        <v>8261.65</v>
      </c>
      <c r="C2439"/>
      <c r="D2439" s="84"/>
    </row>
    <row r="2440" spans="1:4" ht="16">
      <c r="A2440" s="82">
        <v>42296</v>
      </c>
      <c r="B2440" s="83">
        <v>8275.0499999999993</v>
      </c>
      <c r="C2440"/>
      <c r="D2440" s="84"/>
    </row>
    <row r="2441" spans="1:4" ht="16">
      <c r="A2441" s="82">
        <v>42293</v>
      </c>
      <c r="B2441" s="83">
        <v>8238.15</v>
      </c>
      <c r="C2441"/>
      <c r="D2441" s="84"/>
    </row>
    <row r="2442" spans="1:4" ht="16">
      <c r="A2442" s="82">
        <v>42292</v>
      </c>
      <c r="B2442" s="83">
        <v>8179.5</v>
      </c>
      <c r="C2442"/>
      <c r="D2442" s="84"/>
    </row>
    <row r="2443" spans="1:4" ht="16">
      <c r="A2443" s="82">
        <v>42291</v>
      </c>
      <c r="B2443" s="83">
        <v>8107.9</v>
      </c>
      <c r="C2443"/>
      <c r="D2443" s="84"/>
    </row>
    <row r="2444" spans="1:4" ht="16">
      <c r="A2444" s="82">
        <v>42290</v>
      </c>
      <c r="B2444" s="83">
        <v>8131.7</v>
      </c>
      <c r="C2444"/>
      <c r="D2444" s="84"/>
    </row>
    <row r="2445" spans="1:4" ht="16">
      <c r="A2445" s="82">
        <v>42289</v>
      </c>
      <c r="B2445" s="83">
        <v>8143.6</v>
      </c>
      <c r="C2445"/>
      <c r="D2445" s="84"/>
    </row>
    <row r="2446" spans="1:4" ht="16">
      <c r="A2446" s="82">
        <v>42286</v>
      </c>
      <c r="B2446" s="83">
        <v>8189.7</v>
      </c>
      <c r="C2446"/>
      <c r="D2446" s="84"/>
    </row>
    <row r="2447" spans="1:4" ht="16">
      <c r="A2447" s="82">
        <v>42285</v>
      </c>
      <c r="B2447" s="83">
        <v>8129.35</v>
      </c>
      <c r="C2447"/>
      <c r="D2447" s="84"/>
    </row>
    <row r="2448" spans="1:4" ht="16">
      <c r="A2448" s="82">
        <v>42284</v>
      </c>
      <c r="B2448" s="83">
        <v>8177.4</v>
      </c>
      <c r="C2448"/>
      <c r="D2448" s="84"/>
    </row>
    <row r="2449" spans="1:4" ht="16">
      <c r="A2449" s="82">
        <v>42283</v>
      </c>
      <c r="B2449" s="83">
        <v>8152.9</v>
      </c>
      <c r="C2449"/>
      <c r="D2449" s="84"/>
    </row>
    <row r="2450" spans="1:4" ht="16">
      <c r="A2450" s="82">
        <v>42282</v>
      </c>
      <c r="B2450" s="83">
        <v>8119.3</v>
      </c>
      <c r="C2450"/>
      <c r="D2450" s="84"/>
    </row>
    <row r="2451" spans="1:4" ht="16">
      <c r="A2451" s="82">
        <v>42278</v>
      </c>
      <c r="B2451" s="83">
        <v>7950.9</v>
      </c>
      <c r="C2451"/>
      <c r="D2451" s="84"/>
    </row>
    <row r="2452" spans="1:4" ht="16">
      <c r="A2452" s="82">
        <v>42277</v>
      </c>
      <c r="B2452" s="83">
        <v>7948.9</v>
      </c>
      <c r="C2452"/>
      <c r="D2452" s="84"/>
    </row>
    <row r="2453" spans="1:4" ht="16">
      <c r="A2453" s="82">
        <v>42276</v>
      </c>
      <c r="B2453" s="83">
        <v>7843.3</v>
      </c>
      <c r="C2453"/>
      <c r="D2453" s="84"/>
    </row>
    <row r="2454" spans="1:4" ht="16">
      <c r="A2454" s="82">
        <v>42275</v>
      </c>
      <c r="B2454" s="83">
        <v>7795.7</v>
      </c>
      <c r="C2454"/>
      <c r="D2454" s="84"/>
    </row>
    <row r="2455" spans="1:4" ht="16">
      <c r="A2455" s="82">
        <v>42271</v>
      </c>
      <c r="B2455" s="83">
        <v>7868.5</v>
      </c>
      <c r="C2455"/>
      <c r="D2455" s="84"/>
    </row>
    <row r="2456" spans="1:4" ht="16">
      <c r="A2456" s="82">
        <v>42270</v>
      </c>
      <c r="B2456" s="83">
        <v>7845.95</v>
      </c>
      <c r="C2456"/>
      <c r="D2456" s="84"/>
    </row>
    <row r="2457" spans="1:4" ht="16">
      <c r="A2457" s="82">
        <v>42269</v>
      </c>
      <c r="B2457" s="83">
        <v>7812</v>
      </c>
      <c r="C2457"/>
      <c r="D2457" s="84"/>
    </row>
    <row r="2458" spans="1:4" ht="16">
      <c r="A2458" s="82">
        <v>42268</v>
      </c>
      <c r="B2458" s="83">
        <v>7977.1</v>
      </c>
      <c r="C2458"/>
      <c r="D2458" s="84"/>
    </row>
    <row r="2459" spans="1:4" ht="16">
      <c r="A2459" s="82">
        <v>42265</v>
      </c>
      <c r="B2459" s="83">
        <v>7981.9</v>
      </c>
      <c r="C2459"/>
      <c r="D2459" s="84"/>
    </row>
    <row r="2460" spans="1:4" ht="16">
      <c r="A2460" s="82">
        <v>42263</v>
      </c>
      <c r="B2460" s="83">
        <v>7899.15</v>
      </c>
      <c r="C2460"/>
      <c r="D2460" s="84"/>
    </row>
    <row r="2461" spans="1:4" ht="16">
      <c r="A2461" s="82">
        <v>42262</v>
      </c>
      <c r="B2461" s="83">
        <v>7829.1</v>
      </c>
      <c r="C2461"/>
      <c r="D2461" s="84"/>
    </row>
    <row r="2462" spans="1:4" ht="16">
      <c r="A2462" s="82">
        <v>42261</v>
      </c>
      <c r="B2462" s="83">
        <v>7872.25</v>
      </c>
      <c r="C2462"/>
      <c r="D2462" s="84"/>
    </row>
    <row r="2463" spans="1:4" ht="16">
      <c r="A2463" s="82">
        <v>42258</v>
      </c>
      <c r="B2463" s="83">
        <v>7789.3</v>
      </c>
      <c r="C2463"/>
      <c r="D2463" s="84"/>
    </row>
    <row r="2464" spans="1:4" ht="16">
      <c r="A2464" s="82">
        <v>42257</v>
      </c>
      <c r="B2464" s="83">
        <v>7788.1</v>
      </c>
      <c r="C2464"/>
      <c r="D2464" s="84"/>
    </row>
    <row r="2465" spans="1:4" ht="16">
      <c r="A2465" s="82">
        <v>42256</v>
      </c>
      <c r="B2465" s="83">
        <v>7818.6</v>
      </c>
      <c r="C2465"/>
      <c r="D2465" s="84"/>
    </row>
    <row r="2466" spans="1:4" ht="16">
      <c r="A2466" s="82">
        <v>42255</v>
      </c>
      <c r="B2466" s="83">
        <v>7688.25</v>
      </c>
      <c r="C2466"/>
      <c r="D2466" s="84"/>
    </row>
    <row r="2467" spans="1:4" ht="16">
      <c r="A2467" s="82">
        <v>42254</v>
      </c>
      <c r="B2467" s="83">
        <v>7558.8</v>
      </c>
      <c r="C2467"/>
      <c r="D2467" s="84"/>
    </row>
    <row r="2468" spans="1:4" ht="16">
      <c r="A2468" s="82">
        <v>42251</v>
      </c>
      <c r="B2468" s="83">
        <v>7655.05</v>
      </c>
      <c r="C2468"/>
      <c r="D2468" s="84"/>
    </row>
    <row r="2469" spans="1:4" ht="16">
      <c r="A2469" s="82">
        <v>42250</v>
      </c>
      <c r="B2469" s="83">
        <v>7823</v>
      </c>
      <c r="C2469"/>
      <c r="D2469" s="84"/>
    </row>
    <row r="2470" spans="1:4" ht="16">
      <c r="A2470" s="82">
        <v>42249</v>
      </c>
      <c r="B2470" s="83">
        <v>7717</v>
      </c>
      <c r="C2470"/>
      <c r="D2470" s="84"/>
    </row>
    <row r="2471" spans="1:4" ht="16">
      <c r="A2471" s="82">
        <v>42248</v>
      </c>
      <c r="B2471" s="83">
        <v>7785.85</v>
      </c>
      <c r="C2471"/>
      <c r="D2471" s="84"/>
    </row>
    <row r="2472" spans="1:4" ht="16">
      <c r="A2472" s="82">
        <v>42247</v>
      </c>
      <c r="B2472" s="83">
        <v>7971.3</v>
      </c>
      <c r="C2472"/>
      <c r="D2472" s="84"/>
    </row>
    <row r="2473" spans="1:4" ht="16">
      <c r="A2473" s="82">
        <v>42244</v>
      </c>
      <c r="B2473" s="83">
        <v>8001.95</v>
      </c>
      <c r="C2473"/>
      <c r="D2473" s="84"/>
    </row>
    <row r="2474" spans="1:4" ht="16">
      <c r="A2474" s="82">
        <v>42243</v>
      </c>
      <c r="B2474" s="83">
        <v>7948.95</v>
      </c>
      <c r="C2474"/>
      <c r="D2474" s="84"/>
    </row>
    <row r="2475" spans="1:4" ht="16">
      <c r="A2475" s="82">
        <v>42242</v>
      </c>
      <c r="B2475" s="83">
        <v>7791.85</v>
      </c>
      <c r="C2475"/>
      <c r="D2475" s="84"/>
    </row>
    <row r="2476" spans="1:4" ht="16">
      <c r="A2476" s="82">
        <v>42241</v>
      </c>
      <c r="B2476" s="83">
        <v>7880.7</v>
      </c>
      <c r="C2476"/>
      <c r="D2476" s="84"/>
    </row>
    <row r="2477" spans="1:4" ht="16">
      <c r="A2477" s="82">
        <v>42240</v>
      </c>
      <c r="B2477" s="83">
        <v>7809</v>
      </c>
      <c r="C2477"/>
      <c r="D2477" s="84"/>
    </row>
    <row r="2478" spans="1:4" ht="16">
      <c r="A2478" s="82">
        <v>42237</v>
      </c>
      <c r="B2478" s="83">
        <v>8299.9500000000007</v>
      </c>
      <c r="C2478"/>
      <c r="D2478" s="84"/>
    </row>
    <row r="2479" spans="1:4" ht="16">
      <c r="A2479" s="82">
        <v>42236</v>
      </c>
      <c r="B2479" s="83">
        <v>8372.75</v>
      </c>
      <c r="C2479"/>
      <c r="D2479" s="84"/>
    </row>
    <row r="2480" spans="1:4" ht="16">
      <c r="A2480" s="82">
        <v>42235</v>
      </c>
      <c r="B2480" s="83">
        <v>8495.15</v>
      </c>
      <c r="C2480"/>
      <c r="D2480" s="84"/>
    </row>
    <row r="2481" spans="1:4" ht="16">
      <c r="A2481" s="82">
        <v>42234</v>
      </c>
      <c r="B2481" s="83">
        <v>8466.5499999999993</v>
      </c>
      <c r="C2481"/>
      <c r="D2481" s="84"/>
    </row>
    <row r="2482" spans="1:4" ht="16">
      <c r="A2482" s="82">
        <v>42233</v>
      </c>
      <c r="B2482" s="83">
        <v>8477.2999999999993</v>
      </c>
      <c r="C2482"/>
      <c r="D2482" s="84"/>
    </row>
    <row r="2483" spans="1:4" ht="16">
      <c r="A2483" s="82">
        <v>42230</v>
      </c>
      <c r="B2483" s="83">
        <v>8518.5499999999993</v>
      </c>
      <c r="C2483"/>
      <c r="D2483" s="84"/>
    </row>
    <row r="2484" spans="1:4">
      <c r="A2484" s="82"/>
      <c r="B2484" s="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633A-E47A-1D42-857C-62A32137C119}">
  <dimension ref="A1:Q46"/>
  <sheetViews>
    <sheetView showGridLines="0" zoomScale="134" zoomScaleNormal="100" workbookViewId="0">
      <selection activeCell="H27" sqref="H27"/>
    </sheetView>
  </sheetViews>
  <sheetFormatPr baseColWidth="10" defaultColWidth="11.6640625" defaultRowHeight="16"/>
  <cols>
    <col min="1" max="3" width="1.1640625" style="89" customWidth="1"/>
    <col min="4" max="4" width="40.6640625" style="89" customWidth="1"/>
    <col min="5" max="6" width="12.6640625" style="89" customWidth="1"/>
    <col min="7" max="7" width="2.6640625" style="89" customWidth="1"/>
    <col min="8" max="16384" width="11.6640625" style="89"/>
  </cols>
  <sheetData>
    <row r="1" spans="1:17" ht="33">
      <c r="A1" s="225" t="str">
        <f>Historical!A1</f>
        <v>Shree Cement Limited</v>
      </c>
      <c r="B1" s="226"/>
      <c r="C1" s="226"/>
      <c r="D1" s="226"/>
      <c r="E1" s="226"/>
      <c r="F1" s="226"/>
      <c r="G1" s="226"/>
      <c r="H1" s="226"/>
      <c r="I1" s="226"/>
      <c r="J1" s="226"/>
      <c r="K1" s="226"/>
      <c r="L1" s="226"/>
      <c r="M1" s="226"/>
      <c r="N1" s="226"/>
    </row>
    <row r="2" spans="1:17" s="90" customFormat="1" ht="19">
      <c r="A2" s="224" t="s">
        <v>224</v>
      </c>
      <c r="B2" s="227"/>
      <c r="C2" s="227"/>
      <c r="D2" s="227"/>
      <c r="E2" s="227"/>
      <c r="F2" s="227"/>
      <c r="G2" s="227"/>
      <c r="H2" s="227"/>
      <c r="I2" s="227"/>
      <c r="J2" s="227"/>
      <c r="K2" s="227"/>
      <c r="L2" s="227"/>
      <c r="M2" s="227"/>
      <c r="N2" s="227"/>
      <c r="O2" s="89"/>
    </row>
    <row r="3" spans="1:17" ht="16.5" customHeight="1">
      <c r="A3" s="228" t="s">
        <v>255</v>
      </c>
      <c r="B3" s="229"/>
      <c r="C3" s="229"/>
      <c r="D3" s="229"/>
      <c r="E3" s="229"/>
      <c r="F3" s="229"/>
      <c r="G3" s="229"/>
      <c r="H3" s="229"/>
      <c r="I3" s="229"/>
      <c r="J3" s="229"/>
      <c r="K3" s="229"/>
      <c r="L3" s="229"/>
      <c r="M3" s="229"/>
      <c r="N3" s="229"/>
    </row>
    <row r="6" spans="1:17" ht="16.5" customHeight="1">
      <c r="A6" s="230" t="s">
        <v>225</v>
      </c>
      <c r="B6" s="230"/>
      <c r="C6" s="230"/>
      <c r="D6" s="230"/>
      <c r="E6" s="230"/>
      <c r="F6" s="230"/>
      <c r="G6" s="230"/>
      <c r="H6" s="230"/>
      <c r="I6" s="230"/>
      <c r="J6" s="230"/>
      <c r="K6" s="230"/>
      <c r="L6" s="230"/>
      <c r="M6" s="230"/>
      <c r="N6" s="230"/>
      <c r="Q6" s="91"/>
    </row>
    <row r="7" spans="1:17" ht="5.25" customHeight="1"/>
    <row r="8" spans="1:17" ht="16.5" customHeight="1">
      <c r="B8" s="92"/>
      <c r="C8" s="93"/>
      <c r="H8" s="94" t="s">
        <v>23</v>
      </c>
      <c r="I8" s="94" t="s">
        <v>226</v>
      </c>
      <c r="J8" s="94" t="s">
        <v>227</v>
      </c>
      <c r="K8" s="94" t="s">
        <v>227</v>
      </c>
      <c r="L8" s="93" t="s">
        <v>470</v>
      </c>
      <c r="M8" s="94" t="s">
        <v>228</v>
      </c>
      <c r="N8" s="94" t="s">
        <v>229</v>
      </c>
    </row>
    <row r="9" spans="1:17" ht="16.5" customHeight="1">
      <c r="C9" s="95"/>
      <c r="D9" s="96" t="s">
        <v>203</v>
      </c>
      <c r="E9" s="97"/>
      <c r="F9" s="97"/>
      <c r="G9" s="97"/>
      <c r="H9" s="98" t="s">
        <v>230</v>
      </c>
      <c r="I9" s="98" t="s">
        <v>106</v>
      </c>
      <c r="J9" s="98" t="s">
        <v>23</v>
      </c>
      <c r="K9" s="98" t="s">
        <v>231</v>
      </c>
      <c r="L9" s="98" t="s">
        <v>232</v>
      </c>
      <c r="M9" s="98" t="s">
        <v>233</v>
      </c>
      <c r="N9" s="98" t="s">
        <v>233</v>
      </c>
    </row>
    <row r="10" spans="1:17" ht="16.5" customHeight="1">
      <c r="D10" s="65" t="str">
        <f>'Comps Data'!D8</f>
        <v>UltraTech Cement</v>
      </c>
      <c r="H10" s="99">
        <f>Comps!J8</f>
        <v>362451.52999999997</v>
      </c>
      <c r="I10" s="138">
        <f>Comps!K8</f>
        <v>24102</v>
      </c>
      <c r="J10" s="100">
        <f>I10/H10</f>
        <v>6.6497167221228184E-2</v>
      </c>
      <c r="K10" s="100">
        <f>I10/(H10+I10)</f>
        <v>6.2351002201428612E-2</v>
      </c>
      <c r="L10" s="101">
        <f>'Comps Data'!P8</f>
        <v>0.2</v>
      </c>
      <c r="M10" s="102">
        <v>0.43</v>
      </c>
      <c r="N10" s="103">
        <f>M10/(1+J10*(1-L10))</f>
        <v>0.40828040757164569</v>
      </c>
    </row>
    <row r="11" spans="1:17" ht="16.5" customHeight="1">
      <c r="D11" s="65" t="str">
        <f>'Comps Data'!D9</f>
        <v>Ambuja Cements</v>
      </c>
      <c r="H11" s="99">
        <f>Comps!J9</f>
        <v>142367.18</v>
      </c>
      <c r="I11" s="138">
        <f>Comps!K9</f>
        <v>788</v>
      </c>
      <c r="J11" s="100">
        <f t="shared" ref="J11:J15" si="0">I11/H11</f>
        <v>5.5349835544961984E-3</v>
      </c>
      <c r="K11" s="100">
        <f t="shared" ref="K11:K15" si="1">I11/(H11+I11)</f>
        <v>5.5045161481407801E-3</v>
      </c>
      <c r="L11" s="101">
        <f>'Comps Data'!P9</f>
        <v>0.13</v>
      </c>
      <c r="M11" s="102">
        <v>-0.06</v>
      </c>
      <c r="N11" s="103">
        <f t="shared" ref="N11:N15" si="2">M11/(1+J11*(1-L11))</f>
        <v>-5.9712458496076336E-2</v>
      </c>
    </row>
    <row r="12" spans="1:17" ht="16.5" customHeight="1">
      <c r="D12" s="65" t="str">
        <f>'Comps Data'!D10</f>
        <v>JK Cement</v>
      </c>
      <c r="H12" s="99">
        <f>Comps!J10</f>
        <v>54110</v>
      </c>
      <c r="I12" s="138">
        <f>Comps!K10</f>
        <v>6028</v>
      </c>
      <c r="J12" s="100">
        <f t="shared" si="0"/>
        <v>0.11140269820735539</v>
      </c>
      <c r="K12" s="100">
        <f t="shared" si="1"/>
        <v>0.10023612358242709</v>
      </c>
      <c r="L12" s="101">
        <f>'Comps Data'!P10</f>
        <v>0.3</v>
      </c>
      <c r="M12" s="102">
        <v>0.48</v>
      </c>
      <c r="N12" s="103">
        <f t="shared" si="2"/>
        <v>0.44527649769585248</v>
      </c>
      <c r="Q12" s="104"/>
    </row>
    <row r="13" spans="1:17" ht="16.5" customHeight="1">
      <c r="D13" s="65" t="str">
        <f>'Comps Data'!D11</f>
        <v>Dalmia Bharat</v>
      </c>
      <c r="H13" s="99">
        <f>Comps!J11</f>
        <v>42622.720000000001</v>
      </c>
      <c r="I13" s="138">
        <f>Comps!K11</f>
        <v>5702</v>
      </c>
      <c r="J13" s="100">
        <f t="shared" si="0"/>
        <v>0.13377841676927235</v>
      </c>
      <c r="K13" s="100">
        <f t="shared" si="1"/>
        <v>0.11799344103804429</v>
      </c>
      <c r="L13" s="101">
        <f>'Comps Data'!P11</f>
        <v>0.14000000000000001</v>
      </c>
      <c r="M13" s="102">
        <v>0.4</v>
      </c>
      <c r="N13" s="103">
        <f t="shared" si="2"/>
        <v>0.35872848881590969</v>
      </c>
    </row>
    <row r="14" spans="1:17" ht="16.5" customHeight="1">
      <c r="D14" s="65" t="str">
        <f>'Comps Data'!D12</f>
        <v>ACC Ltd.</v>
      </c>
      <c r="H14" s="99">
        <f>Comps!J12</f>
        <v>33454.692000000003</v>
      </c>
      <c r="I14" s="138">
        <f>Comps!K12</f>
        <v>430</v>
      </c>
      <c r="J14" s="100">
        <f t="shared" si="0"/>
        <v>1.2853204566940864E-2</v>
      </c>
      <c r="K14" s="100">
        <f t="shared" si="1"/>
        <v>1.26900961649585E-2</v>
      </c>
      <c r="L14" s="101">
        <f>'Comps Data'!P12</f>
        <v>0.23</v>
      </c>
      <c r="M14" s="102">
        <v>7.0000000000000007E-2</v>
      </c>
      <c r="N14" s="103">
        <f t="shared" si="2"/>
        <v>6.9314001577941403E-2</v>
      </c>
    </row>
    <row r="15" spans="1:17" ht="16.5" customHeight="1">
      <c r="D15" s="65" t="str">
        <f>'Comps Data'!D13</f>
        <v>The Ramco Cements</v>
      </c>
      <c r="H15" s="99">
        <f>Comps!J13</f>
        <v>25206.120999999999</v>
      </c>
      <c r="I15" s="138">
        <f>Comps!K13</f>
        <v>4675</v>
      </c>
      <c r="J15" s="100">
        <f t="shared" si="0"/>
        <v>0.1854708227418253</v>
      </c>
      <c r="K15" s="100">
        <f t="shared" si="1"/>
        <v>0.15645330039659489</v>
      </c>
      <c r="L15" s="101">
        <f>'Comps Data'!P13</f>
        <v>0.16</v>
      </c>
      <c r="M15" s="102">
        <v>-0.04</v>
      </c>
      <c r="N15" s="103">
        <f t="shared" si="2"/>
        <v>-3.4608198689045369E-2</v>
      </c>
    </row>
    <row r="16" spans="1:17" ht="16.5" customHeight="1">
      <c r="D16" s="65"/>
      <c r="H16" s="99"/>
      <c r="I16" s="138"/>
      <c r="J16" s="100"/>
      <c r="K16" s="100"/>
      <c r="L16" s="101"/>
      <c r="M16" s="102"/>
      <c r="N16" s="103"/>
    </row>
    <row r="17" spans="1:16" ht="16.5" customHeight="1">
      <c r="D17" s="263" t="s">
        <v>165</v>
      </c>
      <c r="E17" s="264"/>
      <c r="F17" s="264"/>
      <c r="G17" s="264"/>
      <c r="H17" s="265"/>
      <c r="I17" s="266"/>
      <c r="J17" s="267">
        <f>AVERAGE(J10:J15)</f>
        <v>8.5922882176853052E-2</v>
      </c>
      <c r="K17" s="267">
        <f>AVERAGE(K10:K15)</f>
        <v>7.5871413255265682E-2</v>
      </c>
      <c r="L17" s="267">
        <f>AVERAGE(L10:L15)</f>
        <v>0.19333333333333333</v>
      </c>
      <c r="M17" s="268">
        <f>AVERAGE(M10:M15)</f>
        <v>0.21333333333333335</v>
      </c>
      <c r="N17" s="268">
        <f>AVERAGE(N10:N15)</f>
        <v>0.19787978974603793</v>
      </c>
    </row>
    <row r="18" spans="1:16" ht="16.5" customHeight="1">
      <c r="D18" s="263" t="s">
        <v>208</v>
      </c>
      <c r="E18" s="269"/>
      <c r="F18" s="264"/>
      <c r="G18" s="264"/>
      <c r="H18" s="265"/>
      <c r="I18" s="266"/>
      <c r="J18" s="267">
        <f>MEDIAN(J10:J15)</f>
        <v>8.8949932714291788E-2</v>
      </c>
      <c r="K18" s="267">
        <f>MEDIAN(K10:K15)</f>
        <v>8.1293562891927851E-2</v>
      </c>
      <c r="L18" s="267">
        <f>MEDIAN(L10:L15)</f>
        <v>0.18</v>
      </c>
      <c r="M18" s="268">
        <f>MEDIAN(M10:M15)</f>
        <v>0.23500000000000001</v>
      </c>
      <c r="N18" s="268">
        <f>MEDIAN(N10:N15)</f>
        <v>0.21402124519692553</v>
      </c>
    </row>
    <row r="19" spans="1:16" ht="16.5" customHeight="1">
      <c r="B19" s="80"/>
      <c r="H19" s="105"/>
      <c r="I19" s="105"/>
    </row>
    <row r="20" spans="1:16" ht="16.5" customHeight="1">
      <c r="D20" s="270" t="str">
        <f>Comps!D18</f>
        <v>Shree Cement</v>
      </c>
      <c r="E20" s="271"/>
      <c r="F20" s="271"/>
      <c r="G20" s="271"/>
      <c r="H20" s="272">
        <f>Comps!J18</f>
        <v>109924.5</v>
      </c>
      <c r="I20" s="272">
        <f>Comps!K18</f>
        <v>1656</v>
      </c>
      <c r="J20" s="273"/>
      <c r="K20" s="273"/>
      <c r="L20" s="274"/>
      <c r="M20" s="275"/>
      <c r="N20" s="276"/>
      <c r="P20" s="106"/>
    </row>
    <row r="21" spans="1:16" ht="16.5" customHeight="1">
      <c r="I21" s="107"/>
      <c r="P21" s="106"/>
    </row>
    <row r="22" spans="1:16" ht="16.5" customHeight="1">
      <c r="I22" s="108"/>
      <c r="P22" s="106"/>
    </row>
    <row r="23" spans="1:16" ht="16.5" customHeight="1">
      <c r="A23" s="230" t="s">
        <v>234</v>
      </c>
      <c r="B23" s="230"/>
      <c r="C23" s="230"/>
      <c r="D23" s="230"/>
      <c r="E23" s="230"/>
      <c r="F23" s="230"/>
      <c r="G23" s="230"/>
      <c r="H23" s="230"/>
      <c r="I23" s="109"/>
    </row>
    <row r="25" spans="1:16" ht="16.5" customHeight="1">
      <c r="C25" s="110" t="s">
        <v>235</v>
      </c>
      <c r="D25" s="111"/>
      <c r="E25" s="111"/>
      <c r="F25" s="111"/>
      <c r="G25" s="111"/>
      <c r="H25" s="112"/>
    </row>
    <row r="26" spans="1:16" ht="16.5" customHeight="1">
      <c r="D26" s="97"/>
      <c r="E26" s="97"/>
      <c r="F26" s="97"/>
      <c r="G26" s="97"/>
      <c r="H26" s="113"/>
    </row>
    <row r="27" spans="1:16" ht="16.5" customHeight="1">
      <c r="D27" s="89" t="s">
        <v>236</v>
      </c>
      <c r="H27" s="114">
        <f>I20/H20</f>
        <v>1.5064885444100269E-2</v>
      </c>
    </row>
    <row r="28" spans="1:16" ht="16.5" customHeight="1">
      <c r="D28" s="89" t="s">
        <v>237</v>
      </c>
      <c r="H28" s="115">
        <f>1-H27</f>
        <v>0.98493511455589977</v>
      </c>
      <c r="I28" s="116"/>
    </row>
    <row r="29" spans="1:16" ht="16.5" customHeight="1">
      <c r="C29" s="117" t="s">
        <v>238</v>
      </c>
      <c r="D29" s="111"/>
      <c r="E29" s="111"/>
      <c r="F29" s="111"/>
      <c r="G29" s="111"/>
      <c r="H29" s="111"/>
    </row>
    <row r="30" spans="1:16" ht="16.5" customHeight="1">
      <c r="D30" s="89" t="s">
        <v>176</v>
      </c>
      <c r="H30" s="118">
        <f>H20</f>
        <v>109924.5</v>
      </c>
    </row>
    <row r="31" spans="1:16" ht="16.5" customHeight="1">
      <c r="D31" s="89" t="s">
        <v>239</v>
      </c>
      <c r="H31" s="119">
        <f>I20</f>
        <v>1656</v>
      </c>
    </row>
    <row r="32" spans="1:16" ht="16.5" customHeight="1">
      <c r="D32" s="89" t="s">
        <v>240</v>
      </c>
      <c r="H32" s="120">
        <f>H31/H30</f>
        <v>1.5064885444100269E-2</v>
      </c>
    </row>
    <row r="34" spans="2:8" ht="16.5" customHeight="1">
      <c r="C34" s="117" t="s">
        <v>241</v>
      </c>
      <c r="D34" s="111"/>
      <c r="E34" s="111"/>
      <c r="F34" s="111"/>
      <c r="G34" s="111"/>
      <c r="H34" s="111"/>
    </row>
    <row r="35" spans="2:8" ht="16.5" customHeight="1">
      <c r="B35" s="105"/>
      <c r="D35" s="89" t="s">
        <v>242</v>
      </c>
      <c r="H35" s="121">
        <f>H32</f>
        <v>1.5064885444100269E-2</v>
      </c>
    </row>
    <row r="36" spans="2:8" ht="16.5" customHeight="1">
      <c r="B36" s="105"/>
      <c r="D36" s="97" t="s">
        <v>150</v>
      </c>
      <c r="E36" s="97"/>
      <c r="F36" s="97"/>
      <c r="G36" s="97"/>
      <c r="H36" s="122">
        <f>'Comps Data'!P6</f>
        <v>0.14000000000000001</v>
      </c>
    </row>
    <row r="37" spans="2:8" ht="16.5" customHeight="1">
      <c r="B37" s="105"/>
      <c r="D37" s="123" t="s">
        <v>243</v>
      </c>
      <c r="E37" s="123"/>
      <c r="F37" s="123"/>
      <c r="G37" s="123"/>
      <c r="H37" s="124">
        <f>H35*(1-H36)</f>
        <v>1.2955801481926231E-2</v>
      </c>
    </row>
    <row r="39" spans="2:8" ht="16.5" customHeight="1">
      <c r="C39" s="117" t="s">
        <v>244</v>
      </c>
      <c r="D39" s="111"/>
      <c r="E39" s="111"/>
      <c r="F39" s="111"/>
      <c r="G39" s="111"/>
      <c r="H39" s="111"/>
    </row>
    <row r="40" spans="2:8" ht="16.5" customHeight="1">
      <c r="D40" s="89" t="s">
        <v>245</v>
      </c>
      <c r="H40" s="125">
        <v>6.404E-2</v>
      </c>
    </row>
    <row r="41" spans="2:8" ht="16.5" customHeight="1">
      <c r="D41" s="89" t="s">
        <v>218</v>
      </c>
      <c r="H41" s="121">
        <f>'Market Data'!E11</f>
        <v>0.11201889249034003</v>
      </c>
    </row>
    <row r="42" spans="2:8" ht="16.5" customHeight="1">
      <c r="D42" s="89" t="s">
        <v>246</v>
      </c>
      <c r="H42" s="114">
        <f>H41-H40</f>
        <v>4.7978892490340028E-2</v>
      </c>
    </row>
    <row r="43" spans="2:8" ht="16.5" customHeight="1">
      <c r="D43" s="97" t="s">
        <v>247</v>
      </c>
      <c r="E43" s="97"/>
      <c r="F43" s="97"/>
      <c r="G43" s="97"/>
      <c r="H43" s="126">
        <f>N18/(1+H32*(1-H36))</f>
        <v>0.21128389302259623</v>
      </c>
    </row>
    <row r="44" spans="2:8" ht="16.5" customHeight="1">
      <c r="D44" s="123" t="s">
        <v>244</v>
      </c>
      <c r="E44" s="123"/>
      <c r="F44" s="123"/>
      <c r="G44" s="123"/>
      <c r="H44" s="127">
        <f>H40+H43*(H42)</f>
        <v>7.417716718827165E-2</v>
      </c>
    </row>
    <row r="46" spans="2:8" ht="17" thickBot="1">
      <c r="D46" s="128" t="s">
        <v>248</v>
      </c>
      <c r="E46" s="128"/>
      <c r="F46" s="128"/>
      <c r="G46" s="128"/>
      <c r="H46" s="424">
        <f>(H37*H27)+(H44*H28)/(H27+H28)</f>
        <v>7.3254874327174188E-2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ECB4-81B7-1047-AA8D-7A3BDF35B81B}">
  <dimension ref="A1:Q66"/>
  <sheetViews>
    <sheetView showGridLines="0" topLeftCell="B2" zoomScale="112" workbookViewId="0">
      <selection activeCell="H20" sqref="H20"/>
    </sheetView>
  </sheetViews>
  <sheetFormatPr baseColWidth="10" defaultColWidth="11.6640625" defaultRowHeight="15"/>
  <cols>
    <col min="1" max="1" width="10.5" style="80" bestFit="1" customWidth="1"/>
    <col min="2" max="2" width="11" style="80" bestFit="1" customWidth="1"/>
    <col min="3" max="3" width="10.1640625" style="80" bestFit="1" customWidth="1"/>
    <col min="4" max="4" width="11" style="80" bestFit="1" customWidth="1"/>
    <col min="5" max="5" width="10.1640625" style="80" bestFit="1" customWidth="1"/>
    <col min="6" max="6" width="12.6640625" style="80" customWidth="1"/>
    <col min="7" max="7" width="5.6640625" style="80" bestFit="1" customWidth="1"/>
    <col min="8" max="8" width="19.5" style="80" bestFit="1" customWidth="1"/>
    <col min="9" max="9" width="11.83203125" style="80" bestFit="1" customWidth="1"/>
    <col min="10" max="10" width="13.6640625" style="80" bestFit="1" customWidth="1"/>
    <col min="11" max="12" width="11.83203125" style="80" bestFit="1" customWidth="1"/>
    <col min="13" max="13" width="12.5" style="80" bestFit="1" customWidth="1"/>
    <col min="14" max="14" width="11.83203125" style="80" bestFit="1" customWidth="1"/>
    <col min="15" max="15" width="12.5" style="80" bestFit="1" customWidth="1"/>
    <col min="16" max="16" width="12.1640625" style="80" bestFit="1" customWidth="1"/>
    <col min="17" max="16384" width="11.6640625" style="80"/>
  </cols>
  <sheetData>
    <row r="1" spans="1:17" ht="33">
      <c r="A1" s="221" t="str">
        <f>Historical!A1</f>
        <v>Shree Cement Limited</v>
      </c>
      <c r="B1" s="222"/>
      <c r="C1" s="222"/>
      <c r="D1" s="222"/>
      <c r="E1" s="222"/>
      <c r="F1" s="222"/>
      <c r="G1" s="223"/>
      <c r="H1" s="223"/>
      <c r="I1" s="223"/>
      <c r="J1" s="223"/>
      <c r="K1" s="223"/>
      <c r="L1" s="223"/>
      <c r="M1" s="223"/>
    </row>
    <row r="2" spans="1:17" ht="19">
      <c r="A2" s="224" t="s">
        <v>249</v>
      </c>
      <c r="B2" s="224"/>
      <c r="C2" s="224"/>
      <c r="D2" s="224"/>
      <c r="E2" s="224"/>
      <c r="F2" s="224"/>
      <c r="G2" s="223"/>
      <c r="H2" s="223"/>
      <c r="I2" s="223"/>
      <c r="J2" s="223"/>
      <c r="K2" s="223"/>
      <c r="L2" s="223"/>
      <c r="M2" s="223"/>
    </row>
    <row r="4" spans="1:17" ht="16">
      <c r="A4" s="220"/>
      <c r="B4" s="220" t="s">
        <v>219</v>
      </c>
      <c r="C4" s="220" t="s">
        <v>250</v>
      </c>
      <c r="D4" s="220" t="s">
        <v>251</v>
      </c>
      <c r="E4" s="220" t="s">
        <v>250</v>
      </c>
      <c r="G4"/>
      <c r="H4"/>
      <c r="I4"/>
      <c r="J4"/>
      <c r="K4"/>
      <c r="L4"/>
      <c r="M4"/>
      <c r="N4"/>
      <c r="O4"/>
      <c r="P4"/>
      <c r="Q4"/>
    </row>
    <row r="5" spans="1:17" ht="16">
      <c r="A5" s="220" t="s">
        <v>160</v>
      </c>
      <c r="B5" s="220" t="s">
        <v>220</v>
      </c>
      <c r="C5" s="220" t="s">
        <v>252</v>
      </c>
      <c r="D5" s="220" t="s">
        <v>220</v>
      </c>
      <c r="E5" s="220" t="s">
        <v>252</v>
      </c>
      <c r="G5"/>
      <c r="H5"/>
      <c r="I5"/>
      <c r="J5"/>
      <c r="K5"/>
      <c r="L5"/>
      <c r="M5"/>
      <c r="N5"/>
      <c r="O5"/>
      <c r="P5"/>
      <c r="Q5"/>
    </row>
    <row r="6" spans="1:17" ht="16">
      <c r="A6" s="353">
        <v>44044</v>
      </c>
      <c r="B6" s="354">
        <v>38628.29</v>
      </c>
      <c r="C6" s="89"/>
      <c r="D6" s="355">
        <v>20285.75</v>
      </c>
      <c r="E6" s="89"/>
      <c r="G6" s="59" t="s">
        <v>253</v>
      </c>
      <c r="H6" s="357">
        <f>MIN(D54:D66)</f>
        <v>25072.65</v>
      </c>
      <c r="I6"/>
      <c r="J6"/>
      <c r="K6"/>
      <c r="L6"/>
      <c r="M6"/>
      <c r="N6"/>
      <c r="O6"/>
      <c r="P6"/>
      <c r="Q6"/>
    </row>
    <row r="7" spans="1:17" ht="16">
      <c r="A7" s="353">
        <v>44075</v>
      </c>
      <c r="B7" s="354">
        <v>38067.93</v>
      </c>
      <c r="C7" s="356">
        <f>B7/B6-1</f>
        <v>-1.4506466633651183E-2</v>
      </c>
      <c r="D7" s="355">
        <v>20257.55</v>
      </c>
      <c r="E7" s="356">
        <f>D7/D6-1</f>
        <v>-1.390138397643681E-3</v>
      </c>
      <c r="G7" s="59" t="s">
        <v>254</v>
      </c>
      <c r="H7" s="357">
        <f>MAX(D54:D66)</f>
        <v>31029.65</v>
      </c>
      <c r="I7"/>
      <c r="J7"/>
      <c r="K7"/>
      <c r="L7"/>
      <c r="M7"/>
      <c r="N7"/>
      <c r="O7"/>
      <c r="P7"/>
      <c r="Q7"/>
    </row>
    <row r="8" spans="1:17" ht="16">
      <c r="A8" s="353">
        <v>44105</v>
      </c>
      <c r="B8" s="354">
        <v>39614.07</v>
      </c>
      <c r="C8" s="356">
        <f t="shared" ref="C8:C66" si="0">B8/B7-1</f>
        <v>4.061528956263194E-2</v>
      </c>
      <c r="D8" s="355">
        <v>21649.599999999999</v>
      </c>
      <c r="E8" s="356">
        <f t="shared" ref="E8:E66" si="1">D8/D7-1</f>
        <v>6.8717589244503774E-2</v>
      </c>
      <c r="G8"/>
      <c r="H8"/>
      <c r="I8"/>
      <c r="J8"/>
      <c r="K8"/>
      <c r="L8"/>
      <c r="M8"/>
      <c r="N8"/>
      <c r="O8"/>
      <c r="P8"/>
      <c r="Q8"/>
    </row>
    <row r="9" spans="1:17" ht="16">
      <c r="A9" s="353">
        <v>44136</v>
      </c>
      <c r="B9" s="354">
        <v>44149.72</v>
      </c>
      <c r="C9" s="356">
        <f t="shared" si="0"/>
        <v>0.11449593540880798</v>
      </c>
      <c r="D9" s="355">
        <v>24110.400000000001</v>
      </c>
      <c r="E9" s="356">
        <f t="shared" si="1"/>
        <v>0.11366491759663</v>
      </c>
      <c r="G9"/>
      <c r="H9"/>
      <c r="I9"/>
      <c r="J9"/>
      <c r="K9"/>
      <c r="L9"/>
      <c r="M9"/>
      <c r="N9"/>
      <c r="O9"/>
      <c r="P9"/>
      <c r="Q9"/>
    </row>
    <row r="10" spans="1:17" ht="16">
      <c r="A10" s="353">
        <v>44166</v>
      </c>
      <c r="B10" s="354">
        <v>47751.33</v>
      </c>
      <c r="C10" s="356">
        <f t="shared" si="0"/>
        <v>8.15771878054945E-2</v>
      </c>
      <c r="D10" s="355">
        <v>24018.799999999999</v>
      </c>
      <c r="E10" s="356">
        <f t="shared" si="1"/>
        <v>-3.7991903908687341E-3</v>
      </c>
      <c r="G10" s="12" t="s">
        <v>233</v>
      </c>
      <c r="H10" s="262">
        <f>SLOPE(E7:E66,C7:C66)</f>
        <v>0.82331361490499144</v>
      </c>
      <c r="I10"/>
      <c r="J10"/>
      <c r="K10"/>
      <c r="L10"/>
      <c r="M10"/>
      <c r="N10"/>
      <c r="O10"/>
      <c r="P10"/>
      <c r="Q10"/>
    </row>
    <row r="11" spans="1:17" ht="16">
      <c r="A11" s="353">
        <v>44197</v>
      </c>
      <c r="B11" s="354">
        <v>46285.77</v>
      </c>
      <c r="C11" s="356">
        <f t="shared" si="0"/>
        <v>-3.0691501158187751E-2</v>
      </c>
      <c r="D11" s="355">
        <v>22748.85</v>
      </c>
      <c r="E11" s="356">
        <f t="shared" si="1"/>
        <v>-5.2873166019951068E-2</v>
      </c>
      <c r="G11"/>
      <c r="H11"/>
      <c r="I11"/>
      <c r="J11"/>
      <c r="K11"/>
      <c r="L11"/>
      <c r="M11"/>
      <c r="N11"/>
      <c r="O11"/>
      <c r="P11"/>
      <c r="Q11"/>
    </row>
    <row r="12" spans="1:17" ht="16">
      <c r="A12" s="353">
        <v>44228</v>
      </c>
      <c r="B12" s="354">
        <v>49099.99</v>
      </c>
      <c r="C12" s="356">
        <f t="shared" si="0"/>
        <v>6.0800976196355938E-2</v>
      </c>
      <c r="D12" s="355">
        <v>26506.65</v>
      </c>
      <c r="E12" s="356">
        <f t="shared" si="1"/>
        <v>0.16518637205836795</v>
      </c>
      <c r="G12"/>
      <c r="H12"/>
      <c r="I12"/>
      <c r="J12"/>
      <c r="K12"/>
      <c r="L12"/>
      <c r="M12"/>
      <c r="N12"/>
      <c r="O12"/>
      <c r="P12"/>
      <c r="Q12"/>
    </row>
    <row r="13" spans="1:17" ht="16">
      <c r="A13" s="353">
        <v>44256</v>
      </c>
      <c r="B13" s="354">
        <v>49509.15</v>
      </c>
      <c r="C13" s="356">
        <f t="shared" si="0"/>
        <v>8.3331992531974208E-3</v>
      </c>
      <c r="D13" s="355">
        <v>29475.4</v>
      </c>
      <c r="E13" s="356">
        <f t="shared" si="1"/>
        <v>0.11200019617718571</v>
      </c>
      <c r="G13"/>
      <c r="H13"/>
      <c r="I13" t="s">
        <v>281</v>
      </c>
      <c r="J13"/>
      <c r="K13"/>
      <c r="L13"/>
      <c r="M13"/>
      <c r="N13"/>
      <c r="O13"/>
      <c r="P13"/>
      <c r="Q13"/>
    </row>
    <row r="14" spans="1:17" ht="17" thickBot="1">
      <c r="A14" s="353">
        <v>44287</v>
      </c>
      <c r="B14" s="354">
        <v>48782.36</v>
      </c>
      <c r="C14" s="356">
        <f t="shared" si="0"/>
        <v>-1.4679912703005393E-2</v>
      </c>
      <c r="D14" s="355">
        <v>27907.05</v>
      </c>
      <c r="E14" s="356">
        <f t="shared" si="1"/>
        <v>-5.3208777489024861E-2</v>
      </c>
      <c r="G14"/>
      <c r="H14"/>
      <c r="I14"/>
      <c r="J14"/>
      <c r="K14"/>
      <c r="L14"/>
      <c r="M14"/>
      <c r="N14"/>
      <c r="O14"/>
      <c r="P14"/>
      <c r="Q14"/>
    </row>
    <row r="15" spans="1:17" ht="16">
      <c r="A15" s="353">
        <v>44317</v>
      </c>
      <c r="B15" s="354">
        <v>51937.440000000002</v>
      </c>
      <c r="C15" s="356">
        <f t="shared" si="0"/>
        <v>6.4676657709877183E-2</v>
      </c>
      <c r="D15" s="355">
        <v>27578.2</v>
      </c>
      <c r="E15" s="356">
        <f t="shared" si="1"/>
        <v>-1.1783760734294657E-2</v>
      </c>
      <c r="G15"/>
      <c r="H15" s="147"/>
      <c r="I15" s="350" t="s">
        <v>282</v>
      </c>
      <c r="J15" s="350"/>
      <c r="K15"/>
      <c r="L15"/>
      <c r="M15"/>
      <c r="N15"/>
      <c r="O15"/>
      <c r="P15"/>
      <c r="Q15"/>
    </row>
    <row r="16" spans="1:17" ht="16">
      <c r="A16" s="353">
        <v>44348</v>
      </c>
      <c r="B16" s="354">
        <v>52482.71</v>
      </c>
      <c r="C16" s="356">
        <f t="shared" si="0"/>
        <v>1.0498592152404784E-2</v>
      </c>
      <c r="D16" s="355">
        <v>27530.6</v>
      </c>
      <c r="E16" s="356">
        <f t="shared" si="1"/>
        <v>-1.7260009717821045E-3</v>
      </c>
      <c r="G16"/>
      <c r="H16"/>
      <c r="I16" t="s">
        <v>283</v>
      </c>
      <c r="J16">
        <v>0.48279431944505885</v>
      </c>
      <c r="K16"/>
      <c r="L16"/>
      <c r="M16"/>
      <c r="N16"/>
      <c r="O16"/>
      <c r="P16"/>
      <c r="Q16"/>
    </row>
    <row r="17" spans="1:17" ht="16">
      <c r="A17" s="353">
        <v>44378</v>
      </c>
      <c r="B17" s="354">
        <v>52586.84</v>
      </c>
      <c r="C17" s="356">
        <f t="shared" si="0"/>
        <v>1.9840819957657185E-3</v>
      </c>
      <c r="D17" s="355">
        <v>28256.95</v>
      </c>
      <c r="E17" s="356">
        <f t="shared" si="1"/>
        <v>2.6383369777629229E-2</v>
      </c>
      <c r="G17"/>
      <c r="H17"/>
      <c r="I17" t="s">
        <v>284</v>
      </c>
      <c r="J17">
        <v>0.23309035488841751</v>
      </c>
      <c r="K17"/>
      <c r="L17"/>
      <c r="M17"/>
      <c r="N17"/>
      <c r="O17"/>
      <c r="P17"/>
      <c r="Q17"/>
    </row>
    <row r="18" spans="1:17" ht="16">
      <c r="A18" s="353">
        <v>44409</v>
      </c>
      <c r="B18" s="354">
        <v>57552.39</v>
      </c>
      <c r="C18" s="356">
        <f t="shared" si="0"/>
        <v>9.4425715635318763E-2</v>
      </c>
      <c r="D18" s="355">
        <v>28295.75</v>
      </c>
      <c r="E18" s="356">
        <f t="shared" si="1"/>
        <v>1.373113517205482E-3</v>
      </c>
      <c r="G18"/>
      <c r="H18"/>
      <c r="I18" t="s">
        <v>285</v>
      </c>
      <c r="J18">
        <v>0.21986777480028677</v>
      </c>
      <c r="K18"/>
      <c r="L18"/>
      <c r="M18"/>
      <c r="N18"/>
      <c r="O18"/>
      <c r="P18"/>
      <c r="Q18"/>
    </row>
    <row r="19" spans="1:17" ht="16">
      <c r="A19" s="353">
        <v>44440</v>
      </c>
      <c r="B19" s="354">
        <v>59126.36</v>
      </c>
      <c r="C19" s="356">
        <f t="shared" si="0"/>
        <v>2.7348473277999386E-2</v>
      </c>
      <c r="D19" s="355">
        <v>28925.55</v>
      </c>
      <c r="E19" s="356">
        <f t="shared" si="1"/>
        <v>2.2257759557530621E-2</v>
      </c>
      <c r="G19"/>
      <c r="H19"/>
      <c r="I19" t="s">
        <v>286</v>
      </c>
      <c r="J19">
        <v>5.791160645611098E-2</v>
      </c>
      <c r="K19"/>
      <c r="L19"/>
      <c r="M19"/>
      <c r="N19"/>
      <c r="O19"/>
      <c r="P19"/>
      <c r="Q19"/>
    </row>
    <row r="20" spans="1:17" ht="17" thickBot="1">
      <c r="A20" s="353">
        <v>44470</v>
      </c>
      <c r="B20" s="354">
        <v>59306.93</v>
      </c>
      <c r="C20" s="356">
        <f t="shared" si="0"/>
        <v>3.0539678072520893E-3</v>
      </c>
      <c r="D20" s="355">
        <v>28659.4</v>
      </c>
      <c r="E20" s="356">
        <f t="shared" si="1"/>
        <v>-9.2012079286305504E-3</v>
      </c>
      <c r="G20"/>
      <c r="H20"/>
      <c r="I20" s="352" t="s">
        <v>287</v>
      </c>
      <c r="J20" s="352">
        <v>60</v>
      </c>
      <c r="K20"/>
      <c r="L20"/>
      <c r="M20"/>
      <c r="N20"/>
      <c r="O20"/>
      <c r="P20"/>
      <c r="Q20"/>
    </row>
    <row r="21" spans="1:17" ht="16">
      <c r="A21" s="353">
        <v>44501</v>
      </c>
      <c r="B21" s="354">
        <v>57064.87</v>
      </c>
      <c r="C21" s="356">
        <f t="shared" si="0"/>
        <v>-3.7804351026094252E-2</v>
      </c>
      <c r="D21" s="355">
        <v>26106</v>
      </c>
      <c r="E21" s="356">
        <f t="shared" si="1"/>
        <v>-8.9094677488014473E-2</v>
      </c>
      <c r="G21"/>
      <c r="H21"/>
      <c r="I21"/>
      <c r="J21"/>
      <c r="K21"/>
      <c r="L21"/>
      <c r="M21"/>
      <c r="N21"/>
      <c r="O21"/>
      <c r="P21"/>
      <c r="Q21"/>
    </row>
    <row r="22" spans="1:17" ht="17" thickBot="1">
      <c r="A22" s="353">
        <v>44531</v>
      </c>
      <c r="B22" s="354">
        <v>58253.82</v>
      </c>
      <c r="C22" s="356">
        <f t="shared" si="0"/>
        <v>2.0835060169242414E-2</v>
      </c>
      <c r="D22" s="355">
        <v>27009.65</v>
      </c>
      <c r="E22" s="356">
        <f t="shared" si="1"/>
        <v>3.4614647973645996E-2</v>
      </c>
      <c r="G22"/>
      <c r="H22"/>
      <c r="I22" t="s">
        <v>288</v>
      </c>
      <c r="J22"/>
      <c r="K22"/>
      <c r="L22"/>
      <c r="M22"/>
      <c r="N22"/>
      <c r="O22"/>
      <c r="P22"/>
      <c r="Q22"/>
    </row>
    <row r="23" spans="1:17" ht="16">
      <c r="A23" s="353">
        <v>44562</v>
      </c>
      <c r="B23" s="354">
        <v>58014.17</v>
      </c>
      <c r="C23" s="356">
        <f t="shared" si="0"/>
        <v>-4.113893303477778E-3</v>
      </c>
      <c r="D23" s="355">
        <v>24279.200000000001</v>
      </c>
      <c r="E23" s="356">
        <f t="shared" si="1"/>
        <v>-0.1010916468743579</v>
      </c>
      <c r="G23"/>
      <c r="H23" s="148"/>
      <c r="I23" s="351"/>
      <c r="J23" s="351" t="s">
        <v>292</v>
      </c>
      <c r="K23" s="351" t="s">
        <v>293</v>
      </c>
      <c r="L23" s="351" t="s">
        <v>294</v>
      </c>
      <c r="M23" s="351" t="s">
        <v>295</v>
      </c>
      <c r="N23" s="351" t="s">
        <v>296</v>
      </c>
      <c r="O23"/>
      <c r="P23"/>
      <c r="Q23"/>
    </row>
    <row r="24" spans="1:17" ht="16">
      <c r="A24" s="353">
        <v>44593</v>
      </c>
      <c r="B24" s="354">
        <v>56247.28</v>
      </c>
      <c r="C24" s="356">
        <f t="shared" si="0"/>
        <v>-3.0456179929834404E-2</v>
      </c>
      <c r="D24" s="355">
        <v>24408.05</v>
      </c>
      <c r="E24" s="356">
        <f t="shared" si="1"/>
        <v>5.3070117631552893E-3</v>
      </c>
      <c r="G24"/>
      <c r="H24"/>
      <c r="I24" t="s">
        <v>289</v>
      </c>
      <c r="J24">
        <v>1</v>
      </c>
      <c r="K24">
        <v>5.9120666518566789E-2</v>
      </c>
      <c r="L24">
        <v>5.9120666518566789E-2</v>
      </c>
      <c r="M24">
        <v>17.628205186493926</v>
      </c>
      <c r="N24">
        <v>9.3519878812851724E-5</v>
      </c>
      <c r="O24"/>
      <c r="P24"/>
      <c r="Q24"/>
    </row>
    <row r="25" spans="1:17" ht="16">
      <c r="A25" s="353">
        <v>44621</v>
      </c>
      <c r="B25" s="354">
        <v>58568.51</v>
      </c>
      <c r="C25" s="356">
        <f t="shared" si="0"/>
        <v>4.1268306663006626E-2</v>
      </c>
      <c r="D25" s="355">
        <v>23993.1</v>
      </c>
      <c r="E25" s="356">
        <f t="shared" si="1"/>
        <v>-1.7000538756680728E-2</v>
      </c>
      <c r="G25"/>
      <c r="H25"/>
      <c r="I25" t="s">
        <v>290</v>
      </c>
      <c r="J25">
        <v>58</v>
      </c>
      <c r="K25">
        <v>0.19451774141499356</v>
      </c>
      <c r="L25">
        <v>3.3537541623274753E-3</v>
      </c>
      <c r="M25"/>
      <c r="N25"/>
      <c r="O25"/>
      <c r="P25"/>
      <c r="Q25"/>
    </row>
    <row r="26" spans="1:17" ht="17" thickBot="1">
      <c r="A26" s="353">
        <v>44652</v>
      </c>
      <c r="B26" s="354">
        <v>57060.87</v>
      </c>
      <c r="C26" s="356">
        <f t="shared" si="0"/>
        <v>-2.5741477800954815E-2</v>
      </c>
      <c r="D26" s="355">
        <v>26053.15</v>
      </c>
      <c r="E26" s="356">
        <f t="shared" si="1"/>
        <v>8.5860101445832449E-2</v>
      </c>
      <c r="G26"/>
      <c r="H26"/>
      <c r="I26" s="352" t="s">
        <v>135</v>
      </c>
      <c r="J26" s="352">
        <v>59</v>
      </c>
      <c r="K26" s="352">
        <v>0.25363840793356035</v>
      </c>
      <c r="L26" s="352"/>
      <c r="M26" s="352"/>
      <c r="N26" s="352"/>
      <c r="O26"/>
      <c r="P26"/>
      <c r="Q26"/>
    </row>
    <row r="27" spans="1:17" ht="17" thickBot="1">
      <c r="A27" s="353">
        <v>44682</v>
      </c>
      <c r="B27" s="354">
        <v>55566.41</v>
      </c>
      <c r="C27" s="356">
        <f t="shared" si="0"/>
        <v>-2.6190627657797672E-2</v>
      </c>
      <c r="D27" s="355">
        <v>22130.05</v>
      </c>
      <c r="E27" s="356">
        <f t="shared" si="1"/>
        <v>-0.1505806399610029</v>
      </c>
      <c r="G27"/>
      <c r="H27"/>
      <c r="I27"/>
      <c r="J27"/>
      <c r="K27"/>
      <c r="L27"/>
      <c r="M27"/>
      <c r="N27"/>
      <c r="O27"/>
      <c r="P27"/>
      <c r="Q27"/>
    </row>
    <row r="28" spans="1:17" ht="16">
      <c r="A28" s="353">
        <v>44713</v>
      </c>
      <c r="B28" s="354">
        <v>53018.94</v>
      </c>
      <c r="C28" s="356">
        <f t="shared" si="0"/>
        <v>-4.5845502705681329E-2</v>
      </c>
      <c r="D28" s="355">
        <v>19119.8</v>
      </c>
      <c r="E28" s="356">
        <f t="shared" si="1"/>
        <v>-0.1360254495584059</v>
      </c>
      <c r="G28"/>
      <c r="H28" s="148"/>
      <c r="I28" s="351"/>
      <c r="J28" s="351" t="s">
        <v>297</v>
      </c>
      <c r="K28" s="351" t="s">
        <v>286</v>
      </c>
      <c r="L28" s="351" t="s">
        <v>298</v>
      </c>
      <c r="M28" s="351" t="s">
        <v>299</v>
      </c>
      <c r="N28" s="351" t="s">
        <v>300</v>
      </c>
      <c r="O28" s="351" t="s">
        <v>301</v>
      </c>
      <c r="P28" s="351" t="s">
        <v>302</v>
      </c>
      <c r="Q28" s="351" t="s">
        <v>303</v>
      </c>
    </row>
    <row r="29" spans="1:17" ht="16">
      <c r="A29" s="353">
        <v>44743</v>
      </c>
      <c r="B29" s="354">
        <v>57570.25</v>
      </c>
      <c r="C29" s="356">
        <f t="shared" si="0"/>
        <v>8.5843096825398479E-2</v>
      </c>
      <c r="D29" s="355">
        <v>20482.849999999999</v>
      </c>
      <c r="E29" s="356">
        <f t="shared" si="1"/>
        <v>7.1289971652423123E-2</v>
      </c>
      <c r="G29"/>
      <c r="H29"/>
      <c r="I29" t="s">
        <v>291</v>
      </c>
      <c r="J29">
        <v>-3.5065535785923675E-3</v>
      </c>
      <c r="K29">
        <v>7.9533207784294162E-3</v>
      </c>
      <c r="L29">
        <v>-0.44089175783059825</v>
      </c>
      <c r="M29">
        <v>0.66093043616135216</v>
      </c>
      <c r="N29">
        <v>-1.9426854837790122E-2</v>
      </c>
      <c r="O29">
        <v>1.2413747680605387E-2</v>
      </c>
      <c r="P29">
        <v>-1.9426854837790122E-2</v>
      </c>
      <c r="Q29">
        <v>1.2413747680605387E-2</v>
      </c>
    </row>
    <row r="30" spans="1:17" ht="17" thickBot="1">
      <c r="A30" s="353">
        <v>44774</v>
      </c>
      <c r="B30" s="354">
        <v>59537.07</v>
      </c>
      <c r="C30" s="356">
        <f t="shared" si="0"/>
        <v>3.4163825934401926E-2</v>
      </c>
      <c r="D30" s="355">
        <v>22082.05</v>
      </c>
      <c r="E30" s="356">
        <f t="shared" si="1"/>
        <v>7.807507256070334E-2</v>
      </c>
      <c r="G30"/>
      <c r="H30"/>
      <c r="I30" s="352" t="s">
        <v>304</v>
      </c>
      <c r="J30" s="352">
        <v>0.81957939724008655</v>
      </c>
      <c r="K30" s="352">
        <v>0.19520322299953011</v>
      </c>
      <c r="L30" s="352">
        <v>4.1985956207396198</v>
      </c>
      <c r="M30" s="352">
        <v>9.3519878812852171E-5</v>
      </c>
      <c r="N30" s="352">
        <v>0.42883769280042583</v>
      </c>
      <c r="O30" s="352">
        <v>1.2103211016797473</v>
      </c>
      <c r="P30" s="352">
        <v>0.42883769280042583</v>
      </c>
      <c r="Q30" s="352">
        <v>1.2103211016797473</v>
      </c>
    </row>
    <row r="31" spans="1:17" ht="16">
      <c r="A31" s="353">
        <v>44805</v>
      </c>
      <c r="B31" s="354">
        <v>57426.92</v>
      </c>
      <c r="C31" s="356">
        <f t="shared" si="0"/>
        <v>-3.5442624233943731E-2</v>
      </c>
      <c r="D31" s="355">
        <v>21022.35</v>
      </c>
      <c r="E31" s="356">
        <f t="shared" si="1"/>
        <v>-4.7989203900905997E-2</v>
      </c>
      <c r="G31"/>
      <c r="H31"/>
      <c r="I31"/>
      <c r="J31"/>
      <c r="K31"/>
      <c r="L31"/>
      <c r="M31"/>
      <c r="N31"/>
      <c r="O31"/>
      <c r="P31"/>
      <c r="Q31"/>
    </row>
    <row r="32" spans="1:17" ht="16">
      <c r="A32" s="353">
        <v>44835</v>
      </c>
      <c r="B32" s="354">
        <v>60746.59</v>
      </c>
      <c r="C32" s="356">
        <f t="shared" si="0"/>
        <v>5.7806861311733293E-2</v>
      </c>
      <c r="D32" s="355">
        <v>22741.8</v>
      </c>
      <c r="E32" s="356">
        <f t="shared" si="1"/>
        <v>8.179152188028449E-2</v>
      </c>
      <c r="G32"/>
      <c r="H32"/>
      <c r="I32"/>
      <c r="J32"/>
      <c r="K32"/>
      <c r="L32"/>
      <c r="M32"/>
      <c r="N32"/>
      <c r="O32"/>
      <c r="P32"/>
      <c r="Q32"/>
    </row>
    <row r="33" spans="1:17" ht="16">
      <c r="A33" s="353">
        <v>44866</v>
      </c>
      <c r="B33" s="354">
        <v>63099.65</v>
      </c>
      <c r="C33" s="356">
        <f t="shared" si="0"/>
        <v>3.8735672241026364E-2</v>
      </c>
      <c r="D33" s="355">
        <v>23842.799999999999</v>
      </c>
      <c r="E33" s="356">
        <f t="shared" si="1"/>
        <v>4.8413054375643139E-2</v>
      </c>
      <c r="H33"/>
      <c r="I33"/>
      <c r="J33"/>
      <c r="K33"/>
      <c r="L33"/>
      <c r="M33"/>
      <c r="N33"/>
      <c r="O33"/>
      <c r="P33"/>
      <c r="Q33"/>
    </row>
    <row r="34" spans="1:17" ht="16">
      <c r="A34" s="353">
        <v>44896</v>
      </c>
      <c r="B34" s="354">
        <v>60840.74</v>
      </c>
      <c r="C34" s="356">
        <f t="shared" si="0"/>
        <v>-3.5799089218403024E-2</v>
      </c>
      <c r="D34" s="355">
        <v>23296.35</v>
      </c>
      <c r="E34" s="356">
        <f t="shared" si="1"/>
        <v>-2.2918868589259733E-2</v>
      </c>
      <c r="H34"/>
      <c r="I34"/>
      <c r="J34"/>
      <c r="K34"/>
      <c r="L34"/>
      <c r="M34"/>
      <c r="N34"/>
      <c r="O34"/>
      <c r="P34"/>
      <c r="Q34"/>
    </row>
    <row r="35" spans="1:17" ht="16">
      <c r="A35" s="353">
        <v>44927</v>
      </c>
      <c r="B35" s="354">
        <v>59549.9</v>
      </c>
      <c r="C35" s="356">
        <f t="shared" si="0"/>
        <v>-2.1216704464804281E-2</v>
      </c>
      <c r="D35" s="355">
        <v>23707.9</v>
      </c>
      <c r="E35" s="356">
        <f t="shared" si="1"/>
        <v>1.7665857527037643E-2</v>
      </c>
      <c r="H35"/>
      <c r="I35"/>
      <c r="J35"/>
      <c r="K35"/>
      <c r="L35"/>
      <c r="M35"/>
      <c r="N35"/>
      <c r="O35"/>
      <c r="P35"/>
      <c r="Q35"/>
    </row>
    <row r="36" spans="1:17" ht="16">
      <c r="A36" s="353">
        <v>44958</v>
      </c>
      <c r="B36" s="354">
        <v>58962.12</v>
      </c>
      <c r="C36" s="356">
        <f t="shared" si="0"/>
        <v>-9.8703776160833367E-3</v>
      </c>
      <c r="D36" s="355">
        <v>26112.2</v>
      </c>
      <c r="E36" s="356">
        <f t="shared" si="1"/>
        <v>0.10141345289966641</v>
      </c>
    </row>
    <row r="37" spans="1:17" ht="16">
      <c r="A37" s="353">
        <v>44986</v>
      </c>
      <c r="B37" s="354">
        <v>58991.519999999997</v>
      </c>
      <c r="C37" s="356">
        <f t="shared" si="0"/>
        <v>4.9862521903887291E-4</v>
      </c>
      <c r="D37" s="355">
        <v>26176.85</v>
      </c>
      <c r="E37" s="356">
        <f t="shared" si="1"/>
        <v>2.4758541984206683E-3</v>
      </c>
      <c r="Q37" s="129"/>
    </row>
    <row r="38" spans="1:17" ht="16">
      <c r="A38" s="353">
        <v>45017</v>
      </c>
      <c r="B38" s="354">
        <v>61112.44</v>
      </c>
      <c r="C38" s="356">
        <f t="shared" si="0"/>
        <v>3.5952964087041739E-2</v>
      </c>
      <c r="D38" s="355">
        <v>24337.4</v>
      </c>
      <c r="E38" s="356">
        <f t="shared" si="1"/>
        <v>-7.027010507375786E-2</v>
      </c>
      <c r="Q38" s="129"/>
    </row>
    <row r="39" spans="1:17" ht="16">
      <c r="A39" s="353">
        <v>45047</v>
      </c>
      <c r="B39" s="354">
        <v>62622.239999999998</v>
      </c>
      <c r="C39" s="356">
        <f t="shared" si="0"/>
        <v>2.4705280954254061E-2</v>
      </c>
      <c r="D39" s="355">
        <v>25198.55</v>
      </c>
      <c r="E39" s="356">
        <f t="shared" si="1"/>
        <v>3.5383812568310358E-2</v>
      </c>
      <c r="Q39" s="129"/>
    </row>
    <row r="40" spans="1:17" ht="16">
      <c r="A40" s="353">
        <v>45078</v>
      </c>
      <c r="B40" s="354">
        <v>64718.559999999998</v>
      </c>
      <c r="C40" s="356">
        <f t="shared" si="0"/>
        <v>3.3475646990589913E-2</v>
      </c>
      <c r="D40" s="355">
        <v>23892.25</v>
      </c>
      <c r="E40" s="356">
        <f t="shared" si="1"/>
        <v>-5.1840284460812236E-2</v>
      </c>
    </row>
    <row r="41" spans="1:17" ht="16">
      <c r="A41" s="353">
        <v>45108</v>
      </c>
      <c r="B41" s="354">
        <v>66527.67</v>
      </c>
      <c r="C41" s="356">
        <f t="shared" si="0"/>
        <v>2.7953495875062684E-2</v>
      </c>
      <c r="D41" s="355">
        <v>24104.2</v>
      </c>
      <c r="E41" s="356">
        <f t="shared" si="1"/>
        <v>8.8710774414297866E-3</v>
      </c>
    </row>
    <row r="42" spans="1:17" ht="16">
      <c r="A42" s="353">
        <v>45139</v>
      </c>
      <c r="B42" s="354">
        <v>64831.41</v>
      </c>
      <c r="C42" s="356">
        <f t="shared" si="0"/>
        <v>-2.5497060095445945E-2</v>
      </c>
      <c r="D42" s="355">
        <v>23806.9</v>
      </c>
      <c r="E42" s="356">
        <f t="shared" si="1"/>
        <v>-1.2333950099982505E-2</v>
      </c>
    </row>
    <row r="43" spans="1:17" ht="16">
      <c r="A43" s="353">
        <v>45170</v>
      </c>
      <c r="B43" s="354">
        <v>65828.41</v>
      </c>
      <c r="C43" s="356">
        <f t="shared" si="0"/>
        <v>1.5378348242001794E-2</v>
      </c>
      <c r="D43" s="355">
        <v>25471.95</v>
      </c>
      <c r="E43" s="356">
        <f t="shared" si="1"/>
        <v>6.9939807366771856E-2</v>
      </c>
    </row>
    <row r="44" spans="1:17" ht="16">
      <c r="A44" s="353">
        <v>45200</v>
      </c>
      <c r="B44" s="354">
        <v>63874.93</v>
      </c>
      <c r="C44" s="356">
        <f t="shared" si="0"/>
        <v>-2.9675333188208586E-2</v>
      </c>
      <c r="D44" s="355">
        <v>25661</v>
      </c>
      <c r="E44" s="356">
        <f t="shared" si="1"/>
        <v>7.4218895687216957E-3</v>
      </c>
    </row>
    <row r="45" spans="1:17" ht="16">
      <c r="A45" s="353">
        <v>45231</v>
      </c>
      <c r="B45" s="354">
        <v>66988.44</v>
      </c>
      <c r="C45" s="356">
        <f t="shared" si="0"/>
        <v>4.8743849895412916E-2</v>
      </c>
      <c r="D45" s="355">
        <v>26753.15</v>
      </c>
      <c r="E45" s="356">
        <f t="shared" si="1"/>
        <v>4.2560695218424982E-2</v>
      </c>
    </row>
    <row r="46" spans="1:17" ht="16">
      <c r="A46" s="353">
        <v>45261</v>
      </c>
      <c r="B46" s="354">
        <v>72240.259999999995</v>
      </c>
      <c r="C46" s="356">
        <f t="shared" si="0"/>
        <v>7.8398899869887906E-2</v>
      </c>
      <c r="D46" s="355">
        <v>28619.1</v>
      </c>
      <c r="E46" s="356">
        <f t="shared" si="1"/>
        <v>6.9746926997381609E-2</v>
      </c>
    </row>
    <row r="47" spans="1:17" ht="16">
      <c r="A47" s="353">
        <v>45292</v>
      </c>
      <c r="B47" s="354">
        <v>71752.11</v>
      </c>
      <c r="C47" s="356">
        <f t="shared" si="0"/>
        <v>-6.7573123352545617E-3</v>
      </c>
      <c r="D47" s="355">
        <v>28538.95</v>
      </c>
      <c r="E47" s="356">
        <f t="shared" si="1"/>
        <v>-2.8005772368802084E-3</v>
      </c>
    </row>
    <row r="48" spans="1:17" ht="16">
      <c r="A48" s="353">
        <v>45323</v>
      </c>
      <c r="B48" s="354">
        <v>72500.3</v>
      </c>
      <c r="C48" s="356">
        <f t="shared" si="0"/>
        <v>1.0427428545306983E-2</v>
      </c>
      <c r="D48" s="355">
        <v>25487.65</v>
      </c>
      <c r="E48" s="356">
        <f t="shared" si="1"/>
        <v>-0.10691703794288154</v>
      </c>
    </row>
    <row r="49" spans="1:5" ht="16">
      <c r="A49" s="353">
        <v>45352</v>
      </c>
      <c r="B49" s="354">
        <v>73651.350000000006</v>
      </c>
      <c r="C49" s="356">
        <f t="shared" si="0"/>
        <v>1.5876486028333803E-2</v>
      </c>
      <c r="D49" s="355">
        <v>25703.75</v>
      </c>
      <c r="E49" s="356">
        <f t="shared" si="1"/>
        <v>8.4786161140786298E-3</v>
      </c>
    </row>
    <row r="50" spans="1:5" ht="16">
      <c r="A50" s="353">
        <v>45383</v>
      </c>
      <c r="B50" s="354">
        <v>74482.78</v>
      </c>
      <c r="C50" s="356">
        <f t="shared" si="0"/>
        <v>1.1288727226316908E-2</v>
      </c>
      <c r="D50" s="355">
        <v>24484.400000000001</v>
      </c>
      <c r="E50" s="356">
        <f t="shared" si="1"/>
        <v>-4.7438603316636629E-2</v>
      </c>
    </row>
    <row r="51" spans="1:5" ht="16">
      <c r="A51" s="353">
        <v>45413</v>
      </c>
      <c r="B51" s="354">
        <v>73961.31</v>
      </c>
      <c r="C51" s="356">
        <f t="shared" si="0"/>
        <v>-7.0012155829843881E-3</v>
      </c>
      <c r="D51" s="355">
        <v>24735.4</v>
      </c>
      <c r="E51" s="356">
        <f t="shared" si="1"/>
        <v>1.0251425397395986E-2</v>
      </c>
    </row>
    <row r="52" spans="1:5" ht="16">
      <c r="A52" s="353">
        <v>45444</v>
      </c>
      <c r="B52" s="354">
        <v>79032.73</v>
      </c>
      <c r="C52" s="356">
        <f t="shared" si="0"/>
        <v>6.8568552936663751E-2</v>
      </c>
      <c r="D52" s="355">
        <v>27878.55</v>
      </c>
      <c r="E52" s="356">
        <f t="shared" si="1"/>
        <v>0.12707091860248854</v>
      </c>
    </row>
    <row r="53" spans="1:5" ht="16">
      <c r="A53" s="353">
        <v>45474</v>
      </c>
      <c r="B53" s="354">
        <v>81741.34</v>
      </c>
      <c r="C53" s="356">
        <f t="shared" si="0"/>
        <v>3.427200351044446E-2</v>
      </c>
      <c r="D53" s="355">
        <v>27758.9</v>
      </c>
      <c r="E53" s="356">
        <f t="shared" si="1"/>
        <v>-4.2918300987676572E-3</v>
      </c>
    </row>
    <row r="54" spans="1:5" ht="16">
      <c r="A54" s="353">
        <v>45505</v>
      </c>
      <c r="B54" s="354">
        <v>82365.77</v>
      </c>
      <c r="C54" s="356">
        <f t="shared" si="0"/>
        <v>7.6390966920778514E-3</v>
      </c>
      <c r="D54" s="355">
        <v>25474.2</v>
      </c>
      <c r="E54" s="356">
        <f t="shared" si="1"/>
        <v>-8.2305134569453431E-2</v>
      </c>
    </row>
    <row r="55" spans="1:5" ht="16">
      <c r="A55" s="353">
        <v>45536</v>
      </c>
      <c r="B55" s="354">
        <v>84299.78</v>
      </c>
      <c r="C55" s="356">
        <f t="shared" si="0"/>
        <v>2.3480749345268004E-2</v>
      </c>
      <c r="D55" s="355">
        <v>26264.15</v>
      </c>
      <c r="E55" s="356">
        <f t="shared" si="1"/>
        <v>3.1009805999795859E-2</v>
      </c>
    </row>
    <row r="56" spans="1:5" ht="16">
      <c r="A56" s="353">
        <v>45566</v>
      </c>
      <c r="B56" s="354">
        <v>79389.06</v>
      </c>
      <c r="C56" s="356">
        <f t="shared" si="0"/>
        <v>-5.8253058311658723E-2</v>
      </c>
      <c r="D56" s="355">
        <v>25072.65</v>
      </c>
      <c r="E56" s="356">
        <f t="shared" si="1"/>
        <v>-4.5366021744469132E-2</v>
      </c>
    </row>
    <row r="57" spans="1:5" ht="16">
      <c r="A57" s="353">
        <v>45597</v>
      </c>
      <c r="B57" s="354">
        <v>79802.789999999994</v>
      </c>
      <c r="C57" s="356">
        <f t="shared" si="0"/>
        <v>5.2114233371700625E-3</v>
      </c>
      <c r="D57" s="355">
        <v>26060.15</v>
      </c>
      <c r="E57" s="356">
        <f t="shared" si="1"/>
        <v>3.9385545604473382E-2</v>
      </c>
    </row>
    <row r="58" spans="1:5" ht="16">
      <c r="A58" s="353">
        <v>45627</v>
      </c>
      <c r="B58" s="354">
        <v>78139.009999999995</v>
      </c>
      <c r="C58" s="356">
        <f t="shared" si="0"/>
        <v>-2.0848644514809611E-2</v>
      </c>
      <c r="D58" s="355">
        <v>25702.25</v>
      </c>
      <c r="E58" s="356">
        <f t="shared" si="1"/>
        <v>-1.3733612431240827E-2</v>
      </c>
    </row>
    <row r="59" spans="1:5" ht="16">
      <c r="A59" s="353">
        <v>45658</v>
      </c>
      <c r="B59" s="354">
        <v>77500.570000000007</v>
      </c>
      <c r="C59" s="356">
        <f t="shared" si="0"/>
        <v>-8.1705667885987321E-3</v>
      </c>
      <c r="D59" s="355">
        <v>27829.9</v>
      </c>
      <c r="E59" s="356">
        <f t="shared" si="1"/>
        <v>8.278069040648206E-2</v>
      </c>
    </row>
    <row r="60" spans="1:5" ht="16">
      <c r="A60" s="353">
        <v>45689</v>
      </c>
      <c r="B60" s="354">
        <v>73198.100000000006</v>
      </c>
      <c r="C60" s="356">
        <f t="shared" si="0"/>
        <v>-5.5515333629159169E-2</v>
      </c>
      <c r="D60" s="355">
        <v>27277.35</v>
      </c>
      <c r="E60" s="356">
        <f t="shared" si="1"/>
        <v>-1.9854544931889873E-2</v>
      </c>
    </row>
    <row r="61" spans="1:5" ht="16">
      <c r="A61" s="353">
        <v>45717</v>
      </c>
      <c r="B61" s="354">
        <v>77414.92</v>
      </c>
      <c r="C61" s="356">
        <f t="shared" si="0"/>
        <v>5.760832589916931E-2</v>
      </c>
      <c r="D61" s="355">
        <v>30501.95</v>
      </c>
      <c r="E61" s="356">
        <f t="shared" si="1"/>
        <v>0.11821529584068835</v>
      </c>
    </row>
    <row r="62" spans="1:5" ht="16">
      <c r="A62" s="353">
        <v>45748</v>
      </c>
      <c r="B62" s="354">
        <v>80242.240000000005</v>
      </c>
      <c r="C62" s="356">
        <f t="shared" si="0"/>
        <v>3.652164208139741E-2</v>
      </c>
      <c r="D62" s="355">
        <v>29730.7</v>
      </c>
      <c r="E62" s="356">
        <f t="shared" si="1"/>
        <v>-2.5285268646758619E-2</v>
      </c>
    </row>
    <row r="63" spans="1:5" ht="16">
      <c r="A63" s="353">
        <v>45778</v>
      </c>
      <c r="B63" s="354">
        <v>81451.009999999995</v>
      </c>
      <c r="C63" s="356">
        <f t="shared" si="0"/>
        <v>1.5064011174164449E-2</v>
      </c>
      <c r="D63" s="355">
        <v>29608.3</v>
      </c>
      <c r="E63" s="356">
        <f t="shared" si="1"/>
        <v>-4.116956546600048E-3</v>
      </c>
    </row>
    <row r="64" spans="1:5" ht="16">
      <c r="A64" s="353">
        <v>45809</v>
      </c>
      <c r="B64" s="354">
        <v>83606.460000000006</v>
      </c>
      <c r="C64" s="356">
        <f t="shared" si="0"/>
        <v>2.6463146374735125E-2</v>
      </c>
      <c r="D64" s="355">
        <v>31029.65</v>
      </c>
      <c r="E64" s="356">
        <f t="shared" si="1"/>
        <v>4.8005120185893979E-2</v>
      </c>
    </row>
    <row r="65" spans="1:5" ht="16">
      <c r="A65" s="353">
        <v>45839</v>
      </c>
      <c r="B65" s="354">
        <v>81185.58</v>
      </c>
      <c r="C65" s="356">
        <f t="shared" si="0"/>
        <v>-2.89556572542361E-2</v>
      </c>
      <c r="D65" s="355">
        <v>30818.35</v>
      </c>
      <c r="E65" s="356">
        <f t="shared" si="1"/>
        <v>-6.8096159640860243E-3</v>
      </c>
    </row>
    <row r="66" spans="1:5" ht="16">
      <c r="A66" s="353">
        <v>45870</v>
      </c>
      <c r="B66" s="354">
        <v>80599.91</v>
      </c>
      <c r="C66" s="356">
        <f t="shared" si="0"/>
        <v>-7.2139658298924214E-3</v>
      </c>
      <c r="D66" s="355">
        <v>30653.25</v>
      </c>
      <c r="E66" s="356">
        <f t="shared" si="1"/>
        <v>-5.3571979031972194E-3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E8EE6-9289-5649-8FA5-E5A9E6A12CF3}">
  <dimension ref="A1:M51"/>
  <sheetViews>
    <sheetView showGridLines="0" topLeftCell="A3" zoomScale="125" workbookViewId="0">
      <selection activeCell="Q16" sqref="Q16"/>
    </sheetView>
  </sheetViews>
  <sheetFormatPr baseColWidth="10" defaultColWidth="11.6640625" defaultRowHeight="15"/>
  <cols>
    <col min="1" max="3" width="1.1640625" style="1" customWidth="1"/>
    <col min="4" max="4" width="40.6640625" style="1" customWidth="1"/>
    <col min="5" max="6" width="12.6640625" style="1" customWidth="1"/>
    <col min="7" max="7" width="2.6640625" style="1" customWidth="1"/>
    <col min="8" max="9" width="11.6640625" style="1"/>
    <col min="10" max="10" width="14.1640625" style="1" customWidth="1"/>
    <col min="11" max="16384" width="11.6640625" style="1"/>
  </cols>
  <sheetData>
    <row r="1" spans="1:13" ht="33">
      <c r="A1" s="216" t="str">
        <f>Historical!A1</f>
        <v>Shree Cement Limited</v>
      </c>
      <c r="B1" s="215"/>
      <c r="C1" s="215"/>
      <c r="D1" s="215"/>
      <c r="E1" s="215"/>
      <c r="F1" s="215"/>
      <c r="G1" s="215"/>
      <c r="H1" s="215"/>
      <c r="I1" s="215"/>
      <c r="J1" s="215"/>
      <c r="K1" s="215"/>
      <c r="L1" s="215"/>
      <c r="M1" s="59"/>
    </row>
    <row r="2" spans="1:13" ht="16">
      <c r="A2" s="217" t="s">
        <v>265</v>
      </c>
      <c r="B2" s="215"/>
      <c r="C2" s="215"/>
      <c r="D2" s="215"/>
      <c r="E2" s="215"/>
      <c r="F2" s="215"/>
      <c r="G2" s="215"/>
      <c r="H2" s="215"/>
      <c r="I2" s="215"/>
      <c r="J2" s="215"/>
      <c r="K2" s="215"/>
      <c r="L2" s="215"/>
      <c r="M2" s="59"/>
    </row>
    <row r="3" spans="1:13" s="59" customFormat="1" ht="16"/>
    <row r="4" spans="1:13" s="59" customFormat="1" ht="16">
      <c r="A4" s="218" t="s">
        <v>266</v>
      </c>
      <c r="B4" s="215"/>
      <c r="C4" s="215"/>
      <c r="D4" s="215"/>
      <c r="E4" s="215"/>
      <c r="F4" s="215"/>
      <c r="G4" s="215"/>
      <c r="H4" s="215"/>
      <c r="I4" s="215"/>
      <c r="J4" s="215"/>
      <c r="K4" s="215"/>
      <c r="L4" s="215"/>
    </row>
    <row r="5" spans="1:13" s="59" customFormat="1" ht="16">
      <c r="A5" s="1"/>
      <c r="B5" s="1"/>
      <c r="C5" s="1"/>
      <c r="D5" s="1"/>
      <c r="E5" s="1"/>
      <c r="F5" s="1"/>
      <c r="G5" s="1"/>
      <c r="H5" s="79"/>
      <c r="I5" s="79"/>
      <c r="J5" s="79"/>
      <c r="K5" s="155" t="s">
        <v>267</v>
      </c>
      <c r="L5" s="155"/>
    </row>
    <row r="6" spans="1:13" s="59" customFormat="1" ht="16">
      <c r="A6" s="1"/>
      <c r="B6" s="1"/>
      <c r="C6" s="1"/>
      <c r="D6" s="1"/>
      <c r="E6" s="1"/>
      <c r="F6" s="1"/>
      <c r="G6" s="1"/>
      <c r="H6" s="155" t="s">
        <v>210</v>
      </c>
      <c r="I6" s="155" t="s">
        <v>268</v>
      </c>
      <c r="J6" s="155" t="s">
        <v>269</v>
      </c>
      <c r="K6" s="155" t="s">
        <v>270</v>
      </c>
      <c r="L6" s="155"/>
    </row>
    <row r="7" spans="1:13" s="59" customFormat="1" ht="16">
      <c r="A7" s="1"/>
      <c r="B7" s="1"/>
      <c r="C7" s="1"/>
      <c r="D7" s="1" t="s">
        <v>271</v>
      </c>
      <c r="E7" s="1"/>
      <c r="F7" s="1"/>
      <c r="G7" s="1"/>
      <c r="H7" s="19">
        <f>MAX(Comps!L21:L23)</f>
        <v>24522.976354548318</v>
      </c>
      <c r="I7" s="19">
        <v>43510.82</v>
      </c>
      <c r="J7" s="19">
        <f>Beta!H7</f>
        <v>31029.65</v>
      </c>
      <c r="K7" s="19">
        <f>MAX(I32:I36)</f>
        <v>35330</v>
      </c>
      <c r="L7" s="19"/>
    </row>
    <row r="8" spans="1:13" s="59" customFormat="1" ht="16">
      <c r="A8" s="1"/>
      <c r="B8" s="1"/>
      <c r="C8" s="1"/>
      <c r="D8" s="1" t="s">
        <v>271</v>
      </c>
      <c r="E8" s="1"/>
      <c r="F8" s="1"/>
      <c r="G8" s="1"/>
      <c r="H8" s="19">
        <f>H7</f>
        <v>24522.976354548318</v>
      </c>
      <c r="I8" s="19">
        <f>I7</f>
        <v>43510.82</v>
      </c>
      <c r="J8" s="19">
        <f>J7</f>
        <v>31029.65</v>
      </c>
      <c r="K8" s="19">
        <f>K7</f>
        <v>35330</v>
      </c>
      <c r="L8" s="19"/>
    </row>
    <row r="9" spans="1:13" s="59" customFormat="1" ht="16">
      <c r="A9" s="1"/>
      <c r="B9" s="1"/>
      <c r="C9" s="1"/>
      <c r="D9" s="1" t="s">
        <v>272</v>
      </c>
      <c r="E9" s="1"/>
      <c r="F9" s="1"/>
      <c r="G9" s="1"/>
      <c r="H9" s="19">
        <f>MIN(Comps!L21:L23)</f>
        <v>16497.947582255638</v>
      </c>
      <c r="I9" s="19">
        <v>17727.45</v>
      </c>
      <c r="J9" s="19">
        <f>Beta!H6</f>
        <v>25072.65</v>
      </c>
      <c r="K9" s="19">
        <f>MIN(I32:I36)</f>
        <v>29152</v>
      </c>
      <c r="L9" s="19"/>
    </row>
    <row r="10" spans="1:13" s="59" customFormat="1" ht="16">
      <c r="A10" s="1"/>
      <c r="B10" s="1"/>
      <c r="C10" s="1"/>
      <c r="D10" s="1" t="s">
        <v>272</v>
      </c>
      <c r="E10" s="1"/>
      <c r="F10" s="1"/>
      <c r="G10" s="1"/>
      <c r="H10" s="19">
        <f>H9</f>
        <v>16497.947582255638</v>
      </c>
      <c r="I10" s="19">
        <f>I9</f>
        <v>17727.45</v>
      </c>
      <c r="J10" s="19">
        <f>J9</f>
        <v>25072.65</v>
      </c>
      <c r="K10" s="19">
        <f>K9</f>
        <v>29152</v>
      </c>
      <c r="L10" s="19"/>
    </row>
    <row r="11" spans="1:13" s="59" customFormat="1" ht="16">
      <c r="A11" s="1"/>
      <c r="B11" s="1"/>
      <c r="C11" s="1"/>
      <c r="D11" s="1"/>
      <c r="E11" s="1"/>
      <c r="F11" s="1"/>
      <c r="G11" s="1"/>
      <c r="H11" s="1"/>
      <c r="I11" s="1"/>
      <c r="J11" s="1"/>
      <c r="K11" s="1"/>
      <c r="L11" s="1"/>
    </row>
    <row r="12" spans="1:13" s="59" customFormat="1" ht="16">
      <c r="A12" s="218" t="s">
        <v>273</v>
      </c>
      <c r="B12" s="215"/>
      <c r="C12" s="215"/>
      <c r="D12" s="215"/>
      <c r="E12" s="215"/>
      <c r="F12" s="215"/>
      <c r="G12" s="215"/>
      <c r="H12" s="215"/>
      <c r="I12" s="215"/>
      <c r="J12" s="215"/>
      <c r="K12" s="215"/>
      <c r="L12" s="215"/>
    </row>
    <row r="13" spans="1:13" s="59" customFormat="1" ht="16">
      <c r="A13" s="1"/>
      <c r="B13" s="1"/>
      <c r="C13" s="1"/>
      <c r="D13" s="1"/>
      <c r="E13" s="1"/>
      <c r="F13" s="1"/>
      <c r="G13" s="1"/>
      <c r="H13" s="1"/>
      <c r="I13" s="1"/>
      <c r="J13" s="1"/>
      <c r="K13" s="1"/>
      <c r="L13" s="1"/>
    </row>
    <row r="14" spans="1:13" s="59" customFormat="1" ht="16">
      <c r="A14" s="1"/>
      <c r="B14" s="1"/>
      <c r="C14" s="1"/>
      <c r="D14" s="1"/>
      <c r="E14" s="1"/>
      <c r="F14" s="1"/>
      <c r="G14" s="1"/>
      <c r="H14" s="1"/>
      <c r="I14" s="1"/>
      <c r="J14" s="1"/>
      <c r="K14" s="1"/>
      <c r="L14" s="1"/>
    </row>
    <row r="15" spans="1:13" s="59" customFormat="1" ht="16">
      <c r="A15" s="1"/>
      <c r="B15" s="1"/>
      <c r="C15" s="1"/>
      <c r="D15" s="1"/>
      <c r="E15" s="1"/>
      <c r="F15" s="1"/>
      <c r="G15" s="1"/>
      <c r="H15" s="1"/>
      <c r="I15" s="1"/>
      <c r="J15" s="1"/>
      <c r="K15" s="1"/>
      <c r="L15" s="1"/>
    </row>
    <row r="16" spans="1:13" s="59" customFormat="1" ht="16">
      <c r="A16" s="1"/>
      <c r="B16" s="1"/>
      <c r="C16" s="1"/>
      <c r="D16" s="1"/>
      <c r="E16" s="1"/>
      <c r="F16" s="1"/>
      <c r="G16" s="1"/>
      <c r="H16" s="1"/>
      <c r="I16" s="1"/>
      <c r="J16" s="1"/>
      <c r="K16" s="1"/>
      <c r="L16" s="1"/>
    </row>
    <row r="17" spans="1:12" s="59" customFormat="1" ht="16">
      <c r="A17" s="1"/>
      <c r="B17" s="1"/>
      <c r="C17" s="1"/>
      <c r="D17" s="1"/>
      <c r="E17" s="1"/>
      <c r="F17" s="1"/>
      <c r="G17" s="1"/>
      <c r="H17" s="1"/>
      <c r="I17" s="1"/>
      <c r="J17" s="1"/>
      <c r="K17" s="1"/>
      <c r="L17" s="1"/>
    </row>
    <row r="18" spans="1:12" s="59" customFormat="1" ht="16"/>
    <row r="19" spans="1:12" s="59" customFormat="1" ht="16"/>
    <row r="20" spans="1:12" s="59" customFormat="1" ht="16"/>
    <row r="21" spans="1:12" s="59" customFormat="1" ht="16"/>
    <row r="22" spans="1:12" s="59" customFormat="1" ht="16"/>
    <row r="23" spans="1:12" s="59" customFormat="1" ht="16"/>
    <row r="24" spans="1:12" s="59" customFormat="1" ht="16"/>
    <row r="25" spans="1:12" s="59" customFormat="1" ht="16"/>
    <row r="26" spans="1:12" s="59" customFormat="1" ht="16"/>
    <row r="27" spans="1:12" s="59" customFormat="1" ht="16"/>
    <row r="28" spans="1:12" s="59" customFormat="1" ht="16"/>
    <row r="29" spans="1:12" s="59" customFormat="1" ht="16"/>
    <row r="30" spans="1:12" s="59" customFormat="1" ht="16"/>
    <row r="31" spans="1:12" s="59" customFormat="1" ht="16">
      <c r="A31" s="218" t="s">
        <v>307</v>
      </c>
      <c r="B31" s="215"/>
      <c r="C31" s="215"/>
      <c r="D31" s="215"/>
      <c r="E31" s="219" t="s">
        <v>160</v>
      </c>
      <c r="F31" s="215"/>
      <c r="G31" s="215"/>
      <c r="H31" s="219" t="s">
        <v>306</v>
      </c>
      <c r="I31" s="219" t="s">
        <v>179</v>
      </c>
      <c r="J31" s="219"/>
      <c r="K31" s="219"/>
      <c r="L31" s="219"/>
    </row>
    <row r="32" spans="1:12" s="59" customFormat="1" ht="16">
      <c r="A32" s="1"/>
      <c r="B32" s="1"/>
      <c r="C32" s="1"/>
      <c r="D32" s="1" t="s">
        <v>473</v>
      </c>
      <c r="E32" s="39">
        <v>45792</v>
      </c>
      <c r="F32" s="1"/>
      <c r="G32" s="1"/>
      <c r="H32" s="174">
        <v>30645</v>
      </c>
      <c r="I32" s="174">
        <v>29152</v>
      </c>
      <c r="J32" s="19"/>
      <c r="K32" s="19"/>
      <c r="L32" s="19"/>
    </row>
    <row r="33" spans="1:12" s="59" customFormat="1" ht="16">
      <c r="A33" s="1"/>
      <c r="B33" s="1"/>
      <c r="C33" s="1"/>
      <c r="D33" s="1" t="s">
        <v>472</v>
      </c>
      <c r="E33" s="39">
        <v>45813</v>
      </c>
      <c r="F33" s="1"/>
      <c r="G33" s="1"/>
      <c r="H33" s="174">
        <v>30645</v>
      </c>
      <c r="I33" s="174">
        <v>32340</v>
      </c>
      <c r="J33" s="19"/>
      <c r="K33" s="19"/>
      <c r="L33" s="19"/>
    </row>
    <row r="34" spans="1:12" s="59" customFormat="1" ht="16">
      <c r="A34" s="1"/>
      <c r="B34" s="1"/>
      <c r="C34" s="1"/>
      <c r="D34" s="1" t="s">
        <v>305</v>
      </c>
      <c r="E34" s="39">
        <v>45826</v>
      </c>
      <c r="F34" s="1"/>
      <c r="G34" s="1"/>
      <c r="H34" s="174">
        <v>30645</v>
      </c>
      <c r="I34" s="174">
        <v>33400</v>
      </c>
      <c r="J34" s="19"/>
      <c r="K34" s="19"/>
      <c r="L34" s="19"/>
    </row>
    <row r="35" spans="1:12" s="59" customFormat="1" ht="16">
      <c r="A35" s="1"/>
      <c r="B35" s="1"/>
      <c r="C35" s="1"/>
      <c r="D35" s="1" t="s">
        <v>471</v>
      </c>
      <c r="E35" s="39">
        <v>45820</v>
      </c>
      <c r="F35" s="1"/>
      <c r="G35" s="1"/>
      <c r="H35" s="174">
        <v>30645</v>
      </c>
      <c r="I35" s="174">
        <v>35330</v>
      </c>
      <c r="J35" s="19"/>
      <c r="K35" s="19"/>
      <c r="L35" s="19"/>
    </row>
    <row r="36" spans="1:12" s="59" customFormat="1" ht="16">
      <c r="D36" s="59" t="s">
        <v>314</v>
      </c>
      <c r="E36" s="39">
        <v>45868</v>
      </c>
      <c r="H36" s="174">
        <v>30645</v>
      </c>
      <c r="I36" s="174">
        <v>30437.119999999999</v>
      </c>
    </row>
    <row r="37" spans="1:12" s="59" customFormat="1" ht="16"/>
    <row r="39" spans="1:12" ht="16">
      <c r="D39" s="59"/>
      <c r="E39" s="59"/>
      <c r="F39" s="59"/>
      <c r="G39" s="59"/>
      <c r="H39" s="59"/>
    </row>
    <row r="40" spans="1:12" ht="16">
      <c r="D40" s="172"/>
      <c r="E40" s="173"/>
      <c r="F40" s="59"/>
      <c r="G40" s="59"/>
      <c r="H40" s="59"/>
    </row>
    <row r="41" spans="1:12" ht="16">
      <c r="D41" s="172"/>
      <c r="E41" s="173"/>
      <c r="F41" s="59"/>
      <c r="G41" s="59"/>
      <c r="H41" s="59"/>
    </row>
    <row r="42" spans="1:12" ht="16">
      <c r="D42" s="172"/>
      <c r="E42" s="173"/>
      <c r="F42" s="59"/>
      <c r="G42" s="59"/>
      <c r="H42" s="59"/>
    </row>
    <row r="43" spans="1:12" ht="16">
      <c r="D43" s="172"/>
      <c r="E43" s="173"/>
      <c r="F43" s="59"/>
      <c r="G43" s="59"/>
      <c r="H43" s="59"/>
    </row>
    <row r="46" spans="1:12" ht="19">
      <c r="D46" s="425"/>
      <c r="E46" s="426"/>
    </row>
    <row r="47" spans="1:12" ht="19">
      <c r="D47" s="425"/>
      <c r="E47" s="426"/>
    </row>
    <row r="48" spans="1:12" ht="19">
      <c r="D48" s="425"/>
      <c r="E48" s="426"/>
    </row>
    <row r="49" spans="4:5" ht="19">
      <c r="D49" s="425"/>
      <c r="E49" s="426"/>
    </row>
    <row r="50" spans="4:5" ht="19">
      <c r="D50" s="427"/>
      <c r="E50" s="426"/>
    </row>
    <row r="51" spans="4:5" ht="19">
      <c r="D51" s="425"/>
      <c r="E51" s="426"/>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560B17-3CE4-FA44-A48D-7E3A0BB4E2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Historical</vt:lpstr>
      <vt:lpstr>Assumptions</vt:lpstr>
      <vt:lpstr>Model</vt:lpstr>
      <vt:lpstr>Scenarios</vt:lpstr>
      <vt:lpstr>Ratio Analysis</vt:lpstr>
      <vt:lpstr>Comps</vt:lpstr>
      <vt:lpstr>Comps Data</vt:lpstr>
      <vt:lpstr>Market Data</vt:lpstr>
      <vt:lpstr>WACC</vt:lpstr>
      <vt:lpstr>Beta</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p:lastModifiedBy>
  <dcterms:created xsi:type="dcterms:W3CDTF">2025-06-12T12:28:19Z</dcterms:created>
  <dcterms:modified xsi:type="dcterms:W3CDTF">2025-09-10T11:08:57Z</dcterms:modified>
</cp:coreProperties>
</file>