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man\Desktop\Term 4\730 Advanced Financial Modelling and Equity Analysis\Hershey\"/>
    </mc:Choice>
  </mc:AlternateContent>
  <xr:revisionPtr revIDLastSave="0" documentId="13_ncr:1_{0874DC00-9C25-452F-958D-C7F02953AA37}" xr6:coauthVersionLast="47" xr6:coauthVersionMax="47" xr10:uidLastSave="{00000000-0000-0000-0000-000000000000}"/>
  <bookViews>
    <workbookView xWindow="-93" yWindow="-93" windowWidth="21520" windowHeight="12186" activeTab="3" xr2:uid="{00000000-000D-0000-FFFF-FFFF00000000}"/>
  </bookViews>
  <sheets>
    <sheet name="Group" sheetId="17" r:id="rId1"/>
    <sheet name="@Risk" sheetId="16" r:id="rId2"/>
    <sheet name="Scenarios" sheetId="15" r:id="rId3"/>
    <sheet name="Ke" sheetId="13" r:id="rId4"/>
    <sheet name="DCF FCFE" sheetId="14" r:id="rId5"/>
    <sheet name="Revenue Model" sheetId="8" r:id="rId6"/>
    <sheet name="IS" sheetId="2" r:id="rId7"/>
    <sheet name="BS" sheetId="4" r:id="rId8"/>
    <sheet name="Derived CF" sheetId="12" r:id="rId9"/>
    <sheet name="Schedules" sheetId="9" r:id="rId10"/>
    <sheet name="Debt" sheetId="11" r:id="rId11"/>
    <sheet name="Historical CF" sheetId="6" r:id="rId12"/>
    <sheet name="Ratios" sheetId="7" r:id="rId13"/>
  </sheets>
  <externalReferences>
    <externalReference r:id="rId14"/>
    <externalReference r:id="rId15"/>
    <externalReference r:id="rId16"/>
  </externalReferences>
  <definedNames>
    <definedName name="_bdm.2DE24AA35119447C880A48293620DA86.edm" localSheetId="5" hidden="1">#REF!</definedName>
    <definedName name="_bdm.2DE24AA35119447C880A48293620DA86.edm" localSheetId="9" hidden="1">#REF!</definedName>
    <definedName name="_bdm.2DE24AA35119447C880A48293620DA86.edm" hidden="1">#REF!</definedName>
    <definedName name="_bdm.8B1AF9F05261422C99202E7F4D2A608C.edm" localSheetId="5" hidden="1">#REF!</definedName>
    <definedName name="_bdm.8B1AF9F05261422C99202E7F4D2A608C.edm" localSheetId="9" hidden="1">#REF!</definedName>
    <definedName name="_bdm.8B1AF9F05261422C99202E7F4D2A608C.edm" hidden="1">#REF!</definedName>
    <definedName name="_bdm.C05975180A4D484B99D942E8D82E691F.edm" hidden="1">#REF!</definedName>
    <definedName name="_bdm.C6ACFA5F80094D22B40360C63AB39708.edm" hidden="1">#REF!</definedName>
    <definedName name="_bdm.E923ED4811A04279B1A2A10CC15462C0.edm" hidden="1">#REF!</definedName>
    <definedName name="_bdm.F43B5CE6348445F4AF286BC460A1A2DE.edm" hidden="1">#REF!</definedName>
    <definedName name="_bdm.F718108DA6654B4B968C60A496EAC1B6.edm" hidden="1">#REF!</definedName>
    <definedName name="AcquisitionsToggle">#REF!</definedName>
    <definedName name="CaseTable">[1]DCF!$K$4:$L$6</definedName>
    <definedName name="CaseToggle">[1]DCF!$L$3</definedName>
    <definedName name="CIQWBGuid" hidden="1">"db5528af-d1ef-474b-8ada-cf33c2310589"</definedName>
    <definedName name="date">[2]IS!$A$2</definedName>
    <definedName name="DeferredTaxUseRatio">#REF!</definedName>
    <definedName name="EarningsTable">[3]table!$K$2:$M$12</definedName>
    <definedName name="GVKey">""</definedName>
    <definedName name="_xlnm.Print_Area" localSheetId="12">Ratios!$A$1:$M$40</definedName>
    <definedName name="_xlnm.Print_Titles" localSheetId="10">Debt!$1:$3</definedName>
    <definedName name="solver_nsim" hidden="1">1</definedName>
    <definedName name="solver_ntri" hidden="1">1000</definedName>
    <definedName name="SPSet">"current"</definedName>
    <definedName name="SPWS_WBID">"5B7D581C-6777-4964-9E9E-E04793492FA2"</definedName>
    <definedName name="UseDeferredTaxAsset">#REF!</definedName>
  </definedNames>
  <calcPr calcId="191029" iterate="1"/>
</workbook>
</file>

<file path=xl/calcChain.xml><?xml version="1.0" encoding="utf-8"?>
<calcChain xmlns="http://schemas.openxmlformats.org/spreadsheetml/2006/main">
  <c r="B4" i="14" l="1"/>
  <c r="E22" i="13"/>
  <c r="H38" i="2" l="1"/>
  <c r="I38" i="2"/>
  <c r="J38" i="2"/>
  <c r="K38" i="2"/>
  <c r="G38" i="2"/>
  <c r="H41" i="2"/>
  <c r="I41" i="2"/>
  <c r="J41" i="2"/>
  <c r="K41" i="2"/>
  <c r="G41" i="2"/>
  <c r="H39" i="2"/>
  <c r="I39" i="2"/>
  <c r="J39" i="2"/>
  <c r="K39" i="2"/>
  <c r="G39" i="2"/>
  <c r="H34" i="2"/>
  <c r="H37" i="2"/>
  <c r="I37" i="2"/>
  <c r="I34" i="2" s="1"/>
  <c r="J37" i="2"/>
  <c r="J34" i="2" s="1"/>
  <c r="K37" i="2"/>
  <c r="K34" i="2" s="1"/>
  <c r="G37" i="2"/>
  <c r="G34" i="2" s="1"/>
  <c r="H35" i="2"/>
  <c r="I35" i="2"/>
  <c r="J35" i="2"/>
  <c r="K35" i="2"/>
  <c r="G35" i="2"/>
  <c r="H38" i="8"/>
  <c r="I38" i="8"/>
  <c r="J38" i="8"/>
  <c r="K38" i="8"/>
  <c r="G38" i="8"/>
  <c r="H27" i="8"/>
  <c r="I27" i="8"/>
  <c r="J27" i="8"/>
  <c r="K27" i="8"/>
  <c r="G27" i="8"/>
  <c r="H16" i="8"/>
  <c r="I16" i="8"/>
  <c r="J16" i="8"/>
  <c r="K16" i="8"/>
  <c r="C5" i="15"/>
  <c r="G4" i="14"/>
  <c r="F16" i="14" s="1"/>
  <c r="G27" i="14"/>
  <c r="H27" i="14" s="1"/>
  <c r="I27" i="14" s="1"/>
  <c r="G49" i="14"/>
  <c r="H49" i="14" s="1"/>
  <c r="I49" i="14" s="1"/>
  <c r="B5" i="14"/>
  <c r="I6" i="14"/>
  <c r="I5" i="14"/>
  <c r="B7" i="14"/>
  <c r="F13" i="16" s="1"/>
  <c r="E31" i="13"/>
  <c r="F28" i="13"/>
  <c r="E28" i="13"/>
  <c r="E18" i="13"/>
  <c r="E20" i="13" s="1"/>
  <c r="E27" i="13" s="1"/>
  <c r="E8" i="13"/>
  <c r="E10" i="13" s="1"/>
  <c r="E11" i="13" s="1"/>
  <c r="C14" i="7"/>
  <c r="D14" i="7"/>
  <c r="E14" i="7"/>
  <c r="F14" i="7"/>
  <c r="B14" i="7"/>
  <c r="I33" i="11"/>
  <c r="C19" i="9"/>
  <c r="D19" i="9"/>
  <c r="E19" i="9"/>
  <c r="F19" i="9"/>
  <c r="B19" i="9"/>
  <c r="K125" i="4"/>
  <c r="J125" i="4"/>
  <c r="I125" i="4"/>
  <c r="H125" i="4"/>
  <c r="G125" i="4"/>
  <c r="K124" i="4"/>
  <c r="J124" i="4"/>
  <c r="I124" i="4"/>
  <c r="H124" i="4"/>
  <c r="G124" i="4"/>
  <c r="K122" i="4"/>
  <c r="J122" i="4"/>
  <c r="I122" i="4"/>
  <c r="H122" i="4"/>
  <c r="G122" i="4"/>
  <c r="K120" i="4"/>
  <c r="J120" i="4"/>
  <c r="I120" i="4"/>
  <c r="H120" i="4"/>
  <c r="G120" i="4"/>
  <c r="K119" i="4"/>
  <c r="J119" i="4"/>
  <c r="I119" i="4"/>
  <c r="H119" i="4"/>
  <c r="G119" i="4"/>
  <c r="K112" i="4"/>
  <c r="J112" i="4"/>
  <c r="I112" i="4"/>
  <c r="H112" i="4"/>
  <c r="G112" i="4"/>
  <c r="K111" i="4"/>
  <c r="J111" i="4"/>
  <c r="I111" i="4"/>
  <c r="H111" i="4"/>
  <c r="G111" i="4"/>
  <c r="K103" i="4"/>
  <c r="J103" i="4"/>
  <c r="I103" i="4"/>
  <c r="H103" i="4"/>
  <c r="G103" i="4"/>
  <c r="K102" i="4"/>
  <c r="J102" i="4"/>
  <c r="I102" i="4"/>
  <c r="H102" i="4"/>
  <c r="G102" i="4"/>
  <c r="E27" i="14" l="1"/>
  <c r="D27" i="14" s="1"/>
  <c r="C27" i="14" s="1"/>
  <c r="E49" i="14"/>
  <c r="D49" i="14" s="1"/>
  <c r="C49" i="14" s="1"/>
  <c r="C16" i="14"/>
  <c r="G16" i="14"/>
  <c r="D16" i="14"/>
  <c r="E16" i="14"/>
  <c r="G5" i="14"/>
  <c r="E29" i="13"/>
  <c r="E49" i="4"/>
  <c r="D49" i="4"/>
  <c r="C49" i="4"/>
  <c r="B49" i="4"/>
  <c r="F49" i="4"/>
  <c r="G42" i="12"/>
  <c r="K34" i="12"/>
  <c r="J34" i="12"/>
  <c r="I34" i="12"/>
  <c r="H34" i="12"/>
  <c r="K32" i="12"/>
  <c r="J32" i="12"/>
  <c r="I32" i="12"/>
  <c r="H32" i="12"/>
  <c r="K31" i="12"/>
  <c r="J31" i="12"/>
  <c r="I31" i="12"/>
  <c r="H31" i="12"/>
  <c r="K29" i="12"/>
  <c r="J29" i="12"/>
  <c r="I29" i="12"/>
  <c r="H29" i="12"/>
  <c r="K28" i="12"/>
  <c r="J28" i="12"/>
  <c r="I28" i="12"/>
  <c r="H28" i="12"/>
  <c r="K27" i="12"/>
  <c r="J27" i="12"/>
  <c r="I27" i="12"/>
  <c r="H27" i="12"/>
  <c r="K26" i="12"/>
  <c r="J26" i="12"/>
  <c r="I26" i="12"/>
  <c r="H26" i="12"/>
  <c r="K19" i="12"/>
  <c r="J19" i="12"/>
  <c r="I19" i="12"/>
  <c r="H19" i="12"/>
  <c r="K18" i="12"/>
  <c r="J18" i="12"/>
  <c r="I18" i="12"/>
  <c r="H18" i="12"/>
  <c r="K10" i="12"/>
  <c r="J10" i="12"/>
  <c r="I10" i="12"/>
  <c r="H10" i="12"/>
  <c r="K9" i="12"/>
  <c r="J9" i="12"/>
  <c r="I9" i="12"/>
  <c r="H9" i="12"/>
  <c r="B53" i="14" l="1"/>
  <c r="B52" i="14" s="1"/>
  <c r="B31" i="14"/>
  <c r="B51" i="14"/>
  <c r="B50" i="14" s="1"/>
  <c r="G6" i="14"/>
  <c r="D40" i="14"/>
  <c r="C40" i="14"/>
  <c r="F40" i="14"/>
  <c r="G40" i="14"/>
  <c r="E40" i="14"/>
  <c r="G34" i="12"/>
  <c r="G32" i="12"/>
  <c r="G31" i="12"/>
  <c r="G29" i="12"/>
  <c r="G28" i="12"/>
  <c r="G27" i="12"/>
  <c r="G26" i="12"/>
  <c r="G19" i="12"/>
  <c r="G18" i="12"/>
  <c r="G10" i="12"/>
  <c r="G9" i="12"/>
  <c r="K19" i="4"/>
  <c r="J19" i="4"/>
  <c r="I19" i="4"/>
  <c r="H19" i="4"/>
  <c r="K18" i="4"/>
  <c r="J18" i="4"/>
  <c r="I18" i="4"/>
  <c r="H18" i="4"/>
  <c r="G19" i="4"/>
  <c r="G18" i="4"/>
  <c r="K51" i="4"/>
  <c r="G51" i="4"/>
  <c r="H52" i="4"/>
  <c r="I52" i="4" s="1"/>
  <c r="J52" i="4" s="1"/>
  <c r="K52" i="4" s="1"/>
  <c r="G52" i="4"/>
  <c r="F52" i="4"/>
  <c r="C52" i="4"/>
  <c r="C51" i="4"/>
  <c r="B51" i="4"/>
  <c r="B54" i="14" l="1"/>
  <c r="B55" i="14" s="1"/>
  <c r="B56" i="14" s="1"/>
  <c r="B30" i="14"/>
  <c r="B29" i="14" s="1"/>
  <c r="B28" i="14" s="1"/>
  <c r="B32" i="14"/>
  <c r="B33" i="14" s="1"/>
  <c r="B34" i="14" s="1"/>
  <c r="E52" i="4"/>
  <c r="D52" i="4"/>
  <c r="D51" i="4"/>
  <c r="E51" i="4"/>
  <c r="F51" i="4"/>
  <c r="F48" i="4"/>
  <c r="E48" i="4"/>
  <c r="D48" i="4"/>
  <c r="C48" i="4"/>
  <c r="F47" i="4"/>
  <c r="E47" i="4"/>
  <c r="D47" i="4"/>
  <c r="C47" i="4"/>
  <c r="F46" i="4"/>
  <c r="E46" i="4"/>
  <c r="D46" i="4"/>
  <c r="C46" i="4"/>
  <c r="F45" i="4"/>
  <c r="E45" i="4"/>
  <c r="D45" i="4"/>
  <c r="C45" i="4"/>
  <c r="B48" i="4"/>
  <c r="B47" i="4"/>
  <c r="B46" i="4"/>
  <c r="B45" i="4"/>
  <c r="F40" i="4"/>
  <c r="E40" i="4"/>
  <c r="D40" i="4"/>
  <c r="C40" i="4"/>
  <c r="B40" i="4"/>
  <c r="H26" i="4"/>
  <c r="I26" i="4" s="1"/>
  <c r="J26" i="4" s="1"/>
  <c r="K26" i="4" s="1"/>
  <c r="H27" i="4"/>
  <c r="I27" i="4" s="1"/>
  <c r="J27" i="4" s="1"/>
  <c r="K27" i="4" s="1"/>
  <c r="H28" i="4"/>
  <c r="I28" i="4" s="1"/>
  <c r="J28" i="4" s="1"/>
  <c r="K28" i="4" s="1"/>
  <c r="H29" i="4"/>
  <c r="I29" i="4"/>
  <c r="J29" i="4"/>
  <c r="K29" i="4"/>
  <c r="G29" i="4"/>
  <c r="G28" i="4"/>
  <c r="G27" i="4"/>
  <c r="G26" i="4"/>
  <c r="I32" i="4"/>
  <c r="J32" i="4" s="1"/>
  <c r="K32" i="4" s="1"/>
  <c r="H32" i="4"/>
  <c r="G32" i="4"/>
  <c r="H10" i="4"/>
  <c r="I10" i="4" s="1"/>
  <c r="J10" i="4" s="1"/>
  <c r="K10" i="4" s="1"/>
  <c r="I9" i="4"/>
  <c r="J9" i="4" s="1"/>
  <c r="K9" i="4" s="1"/>
  <c r="H9" i="4"/>
  <c r="G10" i="4"/>
  <c r="G9" i="4"/>
  <c r="F41" i="4"/>
  <c r="G15" i="2" l="1"/>
  <c r="K33" i="11"/>
  <c r="G42" i="2" s="1"/>
  <c r="L33" i="11"/>
  <c r="H42" i="2" s="1"/>
  <c r="M33" i="11"/>
  <c r="I42" i="2" s="1"/>
  <c r="N33" i="11"/>
  <c r="J42" i="2" s="1"/>
  <c r="O33" i="11"/>
  <c r="K42" i="2" s="1"/>
  <c r="J33" i="11"/>
  <c r="O32" i="11"/>
  <c r="L32" i="11"/>
  <c r="M32" i="11" s="1"/>
  <c r="N32" i="11" s="1"/>
  <c r="O30" i="11"/>
  <c r="N29" i="11"/>
  <c r="O29" i="11" s="1"/>
  <c r="M28" i="11"/>
  <c r="N28" i="11" s="1"/>
  <c r="O28" i="11" s="1"/>
  <c r="L27" i="11"/>
  <c r="M27" i="11" s="1"/>
  <c r="N27" i="11" s="1"/>
  <c r="O27" i="11" s="1"/>
  <c r="K31" i="11"/>
  <c r="L31" i="11" s="1"/>
  <c r="M31" i="11" s="1"/>
  <c r="N31" i="11" s="1"/>
  <c r="K28" i="11"/>
  <c r="J31" i="11"/>
  <c r="J30" i="11"/>
  <c r="K30" i="11" s="1"/>
  <c r="L30" i="11" s="1"/>
  <c r="M30" i="11" s="1"/>
  <c r="J28" i="11"/>
  <c r="I32" i="11"/>
  <c r="J32" i="11" s="1"/>
  <c r="K32" i="11" s="1"/>
  <c r="I28" i="11"/>
  <c r="I29" i="11" s="1"/>
  <c r="I27" i="11"/>
  <c r="J27" i="11" s="1"/>
  <c r="C50" i="4"/>
  <c r="D50" i="4"/>
  <c r="E50" i="4"/>
  <c r="F50" i="4"/>
  <c r="B50" i="4"/>
  <c r="G31" i="4"/>
  <c r="H31" i="4" s="1"/>
  <c r="I31" i="4" s="1"/>
  <c r="J31" i="4" s="1"/>
  <c r="K31" i="4" s="1"/>
  <c r="I30" i="11" l="1"/>
  <c r="I31" i="11" s="1"/>
  <c r="J29" i="11"/>
  <c r="K29" i="11" s="1"/>
  <c r="L29" i="11" s="1"/>
  <c r="F33" i="4"/>
  <c r="E31" i="9"/>
  <c r="D31" i="9"/>
  <c r="E29" i="9"/>
  <c r="F29" i="9"/>
  <c r="D29" i="9"/>
  <c r="E28" i="9"/>
  <c r="F28" i="9"/>
  <c r="F33" i="9" s="1"/>
  <c r="D28" i="9"/>
  <c r="C31" i="9"/>
  <c r="D27" i="9" s="1"/>
  <c r="F31" i="9"/>
  <c r="G27" i="9" s="1"/>
  <c r="B31" i="9"/>
  <c r="G6" i="9"/>
  <c r="G3" i="9"/>
  <c r="F12" i="9"/>
  <c r="B12" i="9"/>
  <c r="B11" i="9"/>
  <c r="C11" i="9"/>
  <c r="D11" i="9"/>
  <c r="E11" i="9"/>
  <c r="F11" i="9"/>
  <c r="F6" i="9"/>
  <c r="D9" i="9"/>
  <c r="E9" i="9"/>
  <c r="F9" i="9"/>
  <c r="D7" i="9"/>
  <c r="D6" i="9"/>
  <c r="E6" i="9"/>
  <c r="E7" i="9" s="1"/>
  <c r="F7" i="9"/>
  <c r="D3" i="9"/>
  <c r="E3" i="9"/>
  <c r="F3" i="9"/>
  <c r="C4" i="9"/>
  <c r="C6" i="9"/>
  <c r="C7" i="9"/>
  <c r="C9" i="9"/>
  <c r="D4" i="9"/>
  <c r="E4" i="9"/>
  <c r="F4" i="9"/>
  <c r="C3" i="9"/>
  <c r="C15" i="9"/>
  <c r="D15" i="9"/>
  <c r="E15" i="9"/>
  <c r="F15" i="9"/>
  <c r="C16" i="9"/>
  <c r="D16" i="9"/>
  <c r="E16" i="9"/>
  <c r="F16" i="9"/>
  <c r="C17" i="9"/>
  <c r="D17" i="9"/>
  <c r="E17" i="9"/>
  <c r="F17" i="9"/>
  <c r="B17" i="9"/>
  <c r="B16" i="9"/>
  <c r="B15" i="9"/>
  <c r="B9" i="9"/>
  <c r="B7" i="9"/>
  <c r="B4" i="9"/>
  <c r="C39" i="4"/>
  <c r="D39" i="4"/>
  <c r="E39" i="4"/>
  <c r="F39" i="4"/>
  <c r="C41" i="4"/>
  <c r="D41" i="4"/>
  <c r="E41" i="4"/>
  <c r="C43" i="4"/>
  <c r="D43" i="4"/>
  <c r="E43" i="4"/>
  <c r="F43" i="4"/>
  <c r="C44" i="4"/>
  <c r="D44" i="4"/>
  <c r="E44" i="4"/>
  <c r="F44" i="4"/>
  <c r="B44" i="4"/>
  <c r="B43" i="4"/>
  <c r="B41" i="4"/>
  <c r="B39" i="4"/>
  <c r="B52" i="4"/>
  <c r="F34" i="2"/>
  <c r="K77" i="2"/>
  <c r="J77" i="2"/>
  <c r="I77" i="2"/>
  <c r="H77" i="2"/>
  <c r="G77" i="2"/>
  <c r="K70" i="2"/>
  <c r="J70" i="2"/>
  <c r="I70" i="2"/>
  <c r="H70" i="2"/>
  <c r="G70" i="2"/>
  <c r="F42" i="2"/>
  <c r="E42" i="2"/>
  <c r="D42" i="2"/>
  <c r="C42" i="2"/>
  <c r="B42" i="2"/>
  <c r="F44" i="2"/>
  <c r="F43" i="2"/>
  <c r="F38" i="2"/>
  <c r="B34" i="2"/>
  <c r="E43" i="2"/>
  <c r="D43" i="2"/>
  <c r="C43" i="2"/>
  <c r="B43" i="2"/>
  <c r="E38" i="2"/>
  <c r="D38" i="2"/>
  <c r="C38" i="2"/>
  <c r="B38" i="2"/>
  <c r="E34" i="2"/>
  <c r="D34" i="2"/>
  <c r="C34" i="2"/>
  <c r="G43" i="2" l="1"/>
  <c r="H43" i="2" s="1"/>
  <c r="B21" i="9"/>
  <c r="H51" i="4"/>
  <c r="I51" i="4"/>
  <c r="I43" i="2" l="1"/>
  <c r="B23" i="9"/>
  <c r="B22" i="9"/>
  <c r="J51" i="4"/>
  <c r="J43" i="2" l="1"/>
  <c r="K34" i="8"/>
  <c r="H34" i="8"/>
  <c r="I34" i="8"/>
  <c r="J34" i="8"/>
  <c r="G34" i="8"/>
  <c r="F38" i="8"/>
  <c r="E38" i="8"/>
  <c r="D38" i="8"/>
  <c r="D27" i="8"/>
  <c r="D16" i="8"/>
  <c r="F27" i="8"/>
  <c r="K43" i="2" l="1"/>
  <c r="C56" i="8"/>
  <c r="E56" i="8"/>
  <c r="F56" i="8"/>
  <c r="D56" i="8"/>
  <c r="B8" i="8"/>
  <c r="C6" i="8"/>
  <c r="F16" i="8"/>
  <c r="C27" i="8"/>
  <c r="C16" i="8"/>
  <c r="E16" i="8"/>
  <c r="D6" i="8"/>
  <c r="E6" i="8"/>
  <c r="E8" i="8" s="1"/>
  <c r="F6" i="8"/>
  <c r="F8" i="8" s="1"/>
  <c r="E27" i="9"/>
  <c r="F27" i="9" s="1"/>
  <c r="E33" i="9"/>
  <c r="D33" i="9"/>
  <c r="F18" i="9"/>
  <c r="F22" i="9" s="1"/>
  <c r="E18" i="9"/>
  <c r="D18" i="9"/>
  <c r="C18" i="9"/>
  <c r="E12" i="9"/>
  <c r="D12" i="9"/>
  <c r="C12" i="9"/>
  <c r="K40" i="8" l="1"/>
  <c r="K42" i="8"/>
  <c r="H20" i="8"/>
  <c r="H18" i="8"/>
  <c r="J40" i="8"/>
  <c r="J42" i="8"/>
  <c r="K20" i="8"/>
  <c r="K18" i="8"/>
  <c r="I40" i="8"/>
  <c r="I42" i="8"/>
  <c r="J31" i="8"/>
  <c r="J29" i="8"/>
  <c r="J20" i="8"/>
  <c r="J18" i="8"/>
  <c r="H29" i="8"/>
  <c r="H31" i="8"/>
  <c r="G7" i="8"/>
  <c r="H7" i="8" s="1"/>
  <c r="I7" i="8" s="1"/>
  <c r="J7" i="8" s="1"/>
  <c r="K7" i="8" s="1"/>
  <c r="K31" i="8"/>
  <c r="K29" i="8"/>
  <c r="G5" i="8"/>
  <c r="H5" i="8" s="1"/>
  <c r="I5" i="8" s="1"/>
  <c r="J5" i="8" s="1"/>
  <c r="K5" i="8" s="1"/>
  <c r="H40" i="8"/>
  <c r="H42" i="8"/>
  <c r="I31" i="8"/>
  <c r="I29" i="8"/>
  <c r="I20" i="8"/>
  <c r="I18" i="8"/>
  <c r="F21" i="9"/>
  <c r="E22" i="9"/>
  <c r="C38" i="8"/>
  <c r="D22" i="9"/>
  <c r="C21" i="9"/>
  <c r="D21" i="9"/>
  <c r="D23" i="9"/>
  <c r="C23" i="9"/>
  <c r="E23" i="9"/>
  <c r="C22" i="9"/>
  <c r="F23" i="9"/>
  <c r="E21" i="9"/>
  <c r="C8" i="8"/>
  <c r="C9" i="8" s="1"/>
  <c r="G29" i="8" l="1"/>
  <c r="G31" i="8"/>
  <c r="G42" i="8"/>
  <c r="G40" i="8"/>
  <c r="D8" i="8"/>
  <c r="D9" i="8" s="1"/>
  <c r="E9" i="8" l="1"/>
  <c r="F9" i="8" l="1"/>
  <c r="E133" i="6" l="1"/>
  <c r="C119" i="6"/>
  <c r="F104" i="6"/>
  <c r="F143" i="6"/>
  <c r="E143" i="6"/>
  <c r="D143" i="6"/>
  <c r="C143" i="6"/>
  <c r="F142" i="6"/>
  <c r="E142" i="6"/>
  <c r="D142" i="6"/>
  <c r="C142" i="6"/>
  <c r="F140" i="6"/>
  <c r="E140" i="6"/>
  <c r="D140" i="6"/>
  <c r="C140" i="6"/>
  <c r="F139" i="6"/>
  <c r="E139" i="6"/>
  <c r="D139" i="6"/>
  <c r="C139" i="6"/>
  <c r="F138" i="6"/>
  <c r="E138" i="6"/>
  <c r="D138" i="6"/>
  <c r="C138" i="6"/>
  <c r="F137" i="6"/>
  <c r="E137" i="6"/>
  <c r="F136" i="6"/>
  <c r="E136" i="6"/>
  <c r="D136" i="6"/>
  <c r="F135" i="6"/>
  <c r="E135" i="6"/>
  <c r="D135" i="6"/>
  <c r="C135" i="6"/>
  <c r="F134" i="6"/>
  <c r="E134" i="6"/>
  <c r="D134" i="6"/>
  <c r="C134" i="6"/>
  <c r="F133" i="6"/>
  <c r="F132" i="6"/>
  <c r="E132" i="6"/>
  <c r="D132" i="6"/>
  <c r="C132" i="6"/>
  <c r="F131" i="6"/>
  <c r="E131" i="6"/>
  <c r="D131" i="6"/>
  <c r="C131" i="6"/>
  <c r="F130" i="6"/>
  <c r="E130" i="6"/>
  <c r="D130" i="6"/>
  <c r="C130" i="6"/>
  <c r="C129" i="6"/>
  <c r="F128" i="6"/>
  <c r="E128" i="6"/>
  <c r="D128" i="6"/>
  <c r="C128" i="6"/>
  <c r="F127" i="6"/>
  <c r="E127" i="6"/>
  <c r="D127" i="6"/>
  <c r="C127" i="6"/>
  <c r="F126" i="6"/>
  <c r="E126" i="6"/>
  <c r="D126" i="6"/>
  <c r="C126" i="6"/>
  <c r="F124" i="6"/>
  <c r="E124" i="6"/>
  <c r="D124" i="6"/>
  <c r="C124" i="6"/>
  <c r="F123" i="6"/>
  <c r="E123" i="6"/>
  <c r="D123" i="6"/>
  <c r="F122" i="6"/>
  <c r="D122" i="6"/>
  <c r="C122" i="6"/>
  <c r="F121" i="6"/>
  <c r="E121" i="6"/>
  <c r="D121" i="6"/>
  <c r="C121" i="6"/>
  <c r="C120" i="6"/>
  <c r="F118" i="6"/>
  <c r="E118" i="6"/>
  <c r="D118" i="6"/>
  <c r="C118" i="6"/>
  <c r="F116" i="6"/>
  <c r="E116" i="6"/>
  <c r="D116" i="6"/>
  <c r="C116" i="6"/>
  <c r="F115" i="6"/>
  <c r="E115" i="6"/>
  <c r="D115" i="6"/>
  <c r="C115" i="6"/>
  <c r="F114" i="6"/>
  <c r="E114" i="6"/>
  <c r="D114" i="6"/>
  <c r="C114" i="6"/>
  <c r="F113" i="6"/>
  <c r="E113" i="6"/>
  <c r="D113" i="6"/>
  <c r="C113" i="6"/>
  <c r="F112" i="6"/>
  <c r="E112" i="6"/>
  <c r="D112" i="6"/>
  <c r="C112" i="6"/>
  <c r="F111" i="6"/>
  <c r="E111" i="6"/>
  <c r="D111" i="6"/>
  <c r="C111" i="6"/>
  <c r="F110" i="6"/>
  <c r="E110" i="6"/>
  <c r="D110" i="6"/>
  <c r="C110" i="6"/>
  <c r="F109" i="6"/>
  <c r="E109" i="6"/>
  <c r="D109" i="6"/>
  <c r="C109" i="6"/>
  <c r="F107" i="6"/>
  <c r="E107" i="6"/>
  <c r="D107" i="6"/>
  <c r="C107" i="6"/>
  <c r="F106" i="6"/>
  <c r="E106" i="6"/>
  <c r="D106" i="6"/>
  <c r="C106" i="6"/>
  <c r="E105" i="6"/>
  <c r="D105" i="6"/>
  <c r="C105" i="6"/>
  <c r="E104" i="6"/>
  <c r="D104" i="6"/>
  <c r="C104" i="6"/>
  <c r="F103" i="6"/>
  <c r="E103" i="6"/>
  <c r="D103" i="6"/>
  <c r="C103" i="6"/>
  <c r="F102" i="6"/>
  <c r="E102" i="6"/>
  <c r="D102" i="6"/>
  <c r="C102" i="6"/>
  <c r="F100" i="6"/>
  <c r="E100" i="6"/>
  <c r="D100" i="6"/>
  <c r="C100" i="6"/>
  <c r="F94" i="6"/>
  <c r="F95" i="6"/>
  <c r="E95" i="6"/>
  <c r="D95" i="6"/>
  <c r="C95" i="6"/>
  <c r="B95" i="6"/>
  <c r="E94" i="6"/>
  <c r="D94" i="6"/>
  <c r="C94" i="6"/>
  <c r="B94" i="6"/>
  <c r="F92" i="6"/>
  <c r="E92" i="6"/>
  <c r="D92" i="6"/>
  <c r="C92" i="6"/>
  <c r="B92" i="6"/>
  <c r="F91" i="6"/>
  <c r="E91" i="6"/>
  <c r="D91" i="6"/>
  <c r="C91" i="6"/>
  <c r="B91" i="6"/>
  <c r="F90" i="6"/>
  <c r="E90" i="6"/>
  <c r="D90" i="6"/>
  <c r="C90" i="6"/>
  <c r="B90" i="6"/>
  <c r="F89" i="6"/>
  <c r="E89" i="6"/>
  <c r="D89" i="6"/>
  <c r="C89" i="6"/>
  <c r="B89" i="6"/>
  <c r="F88" i="6"/>
  <c r="E88" i="6"/>
  <c r="D88" i="6"/>
  <c r="C88" i="6"/>
  <c r="B88" i="6"/>
  <c r="F87" i="6"/>
  <c r="E87" i="6"/>
  <c r="D87" i="6"/>
  <c r="C87" i="6"/>
  <c r="B87" i="6"/>
  <c r="F86" i="6"/>
  <c r="E86" i="6"/>
  <c r="D86" i="6"/>
  <c r="C86" i="6"/>
  <c r="B86" i="6"/>
  <c r="F85" i="6"/>
  <c r="E85" i="6"/>
  <c r="D85" i="6"/>
  <c r="C85" i="6"/>
  <c r="B85" i="6"/>
  <c r="F84" i="6"/>
  <c r="E84" i="6"/>
  <c r="D84" i="6"/>
  <c r="C84" i="6"/>
  <c r="B84" i="6"/>
  <c r="F83" i="6"/>
  <c r="E83" i="6"/>
  <c r="D83" i="6"/>
  <c r="C83" i="6"/>
  <c r="B83" i="6"/>
  <c r="F82" i="6"/>
  <c r="E82" i="6"/>
  <c r="D82" i="6"/>
  <c r="C82" i="6"/>
  <c r="B82" i="6"/>
  <c r="F81" i="6"/>
  <c r="E81" i="6"/>
  <c r="D81" i="6"/>
  <c r="C81" i="6"/>
  <c r="B81" i="6"/>
  <c r="F80" i="6"/>
  <c r="E80" i="6"/>
  <c r="D80" i="6"/>
  <c r="C80" i="6"/>
  <c r="B80" i="6"/>
  <c r="F79" i="6"/>
  <c r="E79" i="6"/>
  <c r="D79" i="6"/>
  <c r="C79" i="6"/>
  <c r="B79" i="6"/>
  <c r="F78" i="6"/>
  <c r="E78" i="6"/>
  <c r="D78" i="6"/>
  <c r="C78" i="6"/>
  <c r="B78" i="6"/>
  <c r="F76" i="6"/>
  <c r="E76" i="6"/>
  <c r="D76" i="6"/>
  <c r="C76" i="6"/>
  <c r="B76" i="6"/>
  <c r="F75" i="6"/>
  <c r="E75" i="6"/>
  <c r="D75" i="6"/>
  <c r="C75" i="6"/>
  <c r="B75" i="6"/>
  <c r="F74" i="6"/>
  <c r="E74" i="6"/>
  <c r="D74" i="6"/>
  <c r="C74" i="6"/>
  <c r="B74" i="6"/>
  <c r="F73" i="6"/>
  <c r="E73" i="6"/>
  <c r="D73" i="6"/>
  <c r="C73" i="6"/>
  <c r="B73" i="6"/>
  <c r="F72" i="6"/>
  <c r="E72" i="6"/>
  <c r="D72" i="6"/>
  <c r="C72" i="6"/>
  <c r="B72" i="6"/>
  <c r="F71" i="6"/>
  <c r="E71" i="6"/>
  <c r="D71" i="6"/>
  <c r="C71" i="6"/>
  <c r="B71" i="6"/>
  <c r="F70" i="6"/>
  <c r="E70" i="6"/>
  <c r="D70" i="6"/>
  <c r="C70" i="6"/>
  <c r="B70" i="6"/>
  <c r="F68" i="6"/>
  <c r="E68" i="6"/>
  <c r="D68" i="6"/>
  <c r="C68" i="6"/>
  <c r="B68" i="6"/>
  <c r="F67" i="6"/>
  <c r="E67" i="6"/>
  <c r="D67" i="6"/>
  <c r="C67" i="6"/>
  <c r="B67" i="6"/>
  <c r="F66" i="6"/>
  <c r="E66" i="6"/>
  <c r="D66" i="6"/>
  <c r="C66" i="6"/>
  <c r="B66" i="6"/>
  <c r="F65" i="6"/>
  <c r="E65" i="6"/>
  <c r="D65" i="6"/>
  <c r="C65" i="6"/>
  <c r="B65" i="6"/>
  <c r="F64" i="6"/>
  <c r="E64" i="6"/>
  <c r="D64" i="6"/>
  <c r="C64" i="6"/>
  <c r="B64" i="6"/>
  <c r="F63" i="6"/>
  <c r="E63" i="6"/>
  <c r="D63" i="6"/>
  <c r="C63" i="6"/>
  <c r="B63" i="6"/>
  <c r="F62" i="6"/>
  <c r="E62" i="6"/>
  <c r="D62" i="6"/>
  <c r="C62" i="6"/>
  <c r="B62" i="6"/>
  <c r="F61" i="6"/>
  <c r="E61" i="6"/>
  <c r="D61" i="6"/>
  <c r="C61" i="6"/>
  <c r="B61" i="6"/>
  <c r="F59" i="6"/>
  <c r="E59" i="6"/>
  <c r="D59" i="6"/>
  <c r="C59" i="6"/>
  <c r="B59" i="6"/>
  <c r="F58" i="6"/>
  <c r="E58" i="6"/>
  <c r="D58" i="6"/>
  <c r="C58" i="6"/>
  <c r="B58" i="6"/>
  <c r="F57" i="6"/>
  <c r="E57" i="6"/>
  <c r="D57" i="6"/>
  <c r="C57" i="6"/>
  <c r="B57" i="6"/>
  <c r="F56" i="6"/>
  <c r="E56" i="6"/>
  <c r="D56" i="6"/>
  <c r="C56" i="6"/>
  <c r="B56" i="6"/>
  <c r="F55" i="6"/>
  <c r="E55" i="6"/>
  <c r="D55" i="6"/>
  <c r="C55" i="6"/>
  <c r="B55" i="6"/>
  <c r="F54" i="6"/>
  <c r="E54" i="6"/>
  <c r="D54" i="6"/>
  <c r="C54" i="6"/>
  <c r="B54" i="6"/>
  <c r="C52" i="6"/>
  <c r="D52" i="6"/>
  <c r="E52" i="6"/>
  <c r="F52" i="6"/>
  <c r="B52" i="6"/>
  <c r="F129" i="4"/>
  <c r="E129" i="4"/>
  <c r="D129" i="4"/>
  <c r="C129" i="4"/>
  <c r="F128" i="4"/>
  <c r="E128" i="4"/>
  <c r="D128" i="4"/>
  <c r="C128" i="4"/>
  <c r="E127" i="4"/>
  <c r="D127" i="4"/>
  <c r="C127" i="4"/>
  <c r="C126" i="4"/>
  <c r="F125" i="4"/>
  <c r="E125" i="4"/>
  <c r="D125" i="4"/>
  <c r="C125" i="4"/>
  <c r="F124" i="4"/>
  <c r="E124" i="4"/>
  <c r="D124" i="4"/>
  <c r="C124" i="4"/>
  <c r="F123" i="4"/>
  <c r="E123" i="4"/>
  <c r="D123" i="4"/>
  <c r="C123" i="4"/>
  <c r="F122" i="4"/>
  <c r="E122" i="4"/>
  <c r="D122" i="4"/>
  <c r="C122" i="4"/>
  <c r="F120" i="4"/>
  <c r="E120" i="4"/>
  <c r="D120" i="4"/>
  <c r="C120" i="4"/>
  <c r="F119" i="4"/>
  <c r="E119" i="4"/>
  <c r="D119" i="4"/>
  <c r="C119" i="4"/>
  <c r="F117" i="4"/>
  <c r="E117" i="4"/>
  <c r="D117" i="4"/>
  <c r="C117" i="4"/>
  <c r="F116" i="4"/>
  <c r="E116" i="4"/>
  <c r="D116" i="4"/>
  <c r="C116" i="4"/>
  <c r="F115" i="4"/>
  <c r="E115" i="4"/>
  <c r="D115" i="4"/>
  <c r="C115" i="4"/>
  <c r="F114" i="4"/>
  <c r="E114" i="4"/>
  <c r="D114" i="4"/>
  <c r="C114" i="4"/>
  <c r="F113" i="4"/>
  <c r="E113" i="4"/>
  <c r="D113" i="4"/>
  <c r="C113" i="4"/>
  <c r="F112" i="4"/>
  <c r="E112" i="4"/>
  <c r="D112" i="4"/>
  <c r="C112" i="4"/>
  <c r="F111" i="4"/>
  <c r="E111" i="4"/>
  <c r="D111" i="4"/>
  <c r="C111" i="4"/>
  <c r="F110" i="4"/>
  <c r="E110" i="4"/>
  <c r="D110" i="4"/>
  <c r="C110" i="4"/>
  <c r="F109" i="4"/>
  <c r="E109" i="4"/>
  <c r="D109" i="4"/>
  <c r="C109" i="4"/>
  <c r="F108" i="4"/>
  <c r="E108" i="4"/>
  <c r="D108" i="4"/>
  <c r="C108" i="4"/>
  <c r="F106" i="4"/>
  <c r="E106" i="4"/>
  <c r="D106" i="4"/>
  <c r="C106" i="4"/>
  <c r="F105" i="4"/>
  <c r="E105" i="4"/>
  <c r="D105" i="4"/>
  <c r="C105" i="4"/>
  <c r="F104" i="4"/>
  <c r="E104" i="4"/>
  <c r="D104" i="4"/>
  <c r="C104" i="4"/>
  <c r="F103" i="4"/>
  <c r="E103" i="4"/>
  <c r="D103" i="4"/>
  <c r="C103" i="4"/>
  <c r="F102" i="4"/>
  <c r="E102" i="4"/>
  <c r="D102" i="4"/>
  <c r="C102" i="4"/>
  <c r="F101" i="4"/>
  <c r="E101" i="4"/>
  <c r="D101" i="4"/>
  <c r="C101" i="4"/>
  <c r="F100" i="4"/>
  <c r="E100" i="4"/>
  <c r="D100" i="4"/>
  <c r="C100" i="4"/>
  <c r="F99" i="4"/>
  <c r="E99" i="4"/>
  <c r="D99" i="4"/>
  <c r="C99" i="4"/>
  <c r="F98" i="4"/>
  <c r="E98" i="4"/>
  <c r="D98" i="4"/>
  <c r="C98" i="4"/>
  <c r="F97" i="4"/>
  <c r="E97" i="4"/>
  <c r="D97" i="4"/>
  <c r="C97" i="4"/>
  <c r="D95" i="4"/>
  <c r="E95" i="4"/>
  <c r="F95" i="4"/>
  <c r="C95" i="4"/>
  <c r="F91" i="4"/>
  <c r="C57" i="4"/>
  <c r="D57" i="4"/>
  <c r="E57" i="4"/>
  <c r="F57" i="4"/>
  <c r="C59" i="4"/>
  <c r="D59" i="4"/>
  <c r="E59" i="4"/>
  <c r="F59" i="4"/>
  <c r="C60" i="4"/>
  <c r="D60" i="4"/>
  <c r="E60" i="4"/>
  <c r="F60" i="4"/>
  <c r="C61" i="4"/>
  <c r="D61" i="4"/>
  <c r="E61" i="4"/>
  <c r="F61" i="4"/>
  <c r="C62" i="4"/>
  <c r="D62" i="4"/>
  <c r="E62" i="4"/>
  <c r="F62" i="4"/>
  <c r="C63" i="4"/>
  <c r="D63" i="4"/>
  <c r="E63" i="4"/>
  <c r="F63" i="4"/>
  <c r="C64" i="4"/>
  <c r="D64" i="4"/>
  <c r="E64" i="4"/>
  <c r="F64" i="4"/>
  <c r="C65" i="4"/>
  <c r="D65" i="4"/>
  <c r="E65" i="4"/>
  <c r="F65" i="4"/>
  <c r="C66" i="4"/>
  <c r="D66" i="4"/>
  <c r="E66" i="4"/>
  <c r="F66" i="4"/>
  <c r="C67" i="4"/>
  <c r="D67" i="4"/>
  <c r="E67" i="4"/>
  <c r="F67" i="4"/>
  <c r="C68" i="4"/>
  <c r="D68" i="4"/>
  <c r="E68" i="4"/>
  <c r="F68" i="4"/>
  <c r="C70" i="4"/>
  <c r="D70" i="4"/>
  <c r="E70" i="4"/>
  <c r="F70" i="4"/>
  <c r="C71" i="4"/>
  <c r="D71" i="4"/>
  <c r="E71" i="4"/>
  <c r="F71" i="4"/>
  <c r="C72" i="4"/>
  <c r="D72" i="4"/>
  <c r="E72" i="4"/>
  <c r="F72" i="4"/>
  <c r="C73" i="4"/>
  <c r="D73" i="4"/>
  <c r="E73" i="4"/>
  <c r="F73" i="4"/>
  <c r="C74" i="4"/>
  <c r="D74" i="4"/>
  <c r="E74" i="4"/>
  <c r="F74" i="4"/>
  <c r="C75" i="4"/>
  <c r="D75" i="4"/>
  <c r="E75" i="4"/>
  <c r="F75" i="4"/>
  <c r="C76" i="4"/>
  <c r="D76" i="4"/>
  <c r="E76" i="4"/>
  <c r="F76" i="4"/>
  <c r="C77" i="4"/>
  <c r="D77" i="4"/>
  <c r="E77" i="4"/>
  <c r="F77" i="4"/>
  <c r="C78" i="4"/>
  <c r="D78" i="4"/>
  <c r="E78" i="4"/>
  <c r="F78" i="4"/>
  <c r="C79" i="4"/>
  <c r="D79" i="4"/>
  <c r="E79" i="4"/>
  <c r="F79" i="4"/>
  <c r="C81" i="4"/>
  <c r="D81" i="4"/>
  <c r="E81" i="4"/>
  <c r="F81" i="4"/>
  <c r="C82" i="4"/>
  <c r="D82" i="4"/>
  <c r="E82" i="4"/>
  <c r="F82" i="4"/>
  <c r="C83" i="4"/>
  <c r="D83" i="4"/>
  <c r="E83" i="4"/>
  <c r="F83" i="4"/>
  <c r="C84" i="4"/>
  <c r="D84" i="4"/>
  <c r="E84" i="4"/>
  <c r="F84" i="4"/>
  <c r="C85" i="4"/>
  <c r="D85" i="4"/>
  <c r="E85" i="4"/>
  <c r="F85" i="4"/>
  <c r="C86" i="4"/>
  <c r="D86" i="4"/>
  <c r="E86" i="4"/>
  <c r="F86" i="4"/>
  <c r="C87" i="4"/>
  <c r="D87" i="4"/>
  <c r="E87" i="4"/>
  <c r="F87" i="4"/>
  <c r="C88" i="4"/>
  <c r="C89" i="4"/>
  <c r="D89" i="4"/>
  <c r="E89" i="4"/>
  <c r="F89" i="4"/>
  <c r="C90" i="4"/>
  <c r="D90" i="4"/>
  <c r="E90" i="4"/>
  <c r="F90" i="4"/>
  <c r="C91" i="4"/>
  <c r="D91" i="4"/>
  <c r="E91" i="4"/>
  <c r="B91" i="4"/>
  <c r="B90" i="4"/>
  <c r="B89" i="4"/>
  <c r="B88" i="4"/>
  <c r="B87" i="4"/>
  <c r="B86" i="4"/>
  <c r="B85" i="4"/>
  <c r="B84" i="4"/>
  <c r="B83" i="4"/>
  <c r="B82" i="4"/>
  <c r="B81" i="4"/>
  <c r="B79" i="4"/>
  <c r="B78" i="4"/>
  <c r="B77" i="4"/>
  <c r="B76" i="4"/>
  <c r="B75" i="4"/>
  <c r="B74" i="4"/>
  <c r="B73" i="4"/>
  <c r="B72" i="4"/>
  <c r="B71" i="4"/>
  <c r="B70" i="4"/>
  <c r="B68" i="4"/>
  <c r="B67" i="4"/>
  <c r="B66" i="4"/>
  <c r="B65" i="4"/>
  <c r="B64" i="4"/>
  <c r="B63" i="4"/>
  <c r="B62" i="4"/>
  <c r="B61" i="4"/>
  <c r="B60" i="4"/>
  <c r="B59" i="4"/>
  <c r="B57" i="4"/>
  <c r="F48" i="2"/>
  <c r="F61" i="2"/>
  <c r="F78" i="2"/>
  <c r="C78" i="2"/>
  <c r="C67" i="2"/>
  <c r="C66" i="2"/>
  <c r="C65" i="2"/>
  <c r="C77" i="2"/>
  <c r="D77" i="2"/>
  <c r="E77" i="2"/>
  <c r="B60" i="2"/>
  <c r="C60" i="2"/>
  <c r="D60" i="2"/>
  <c r="E60" i="2"/>
  <c r="B48" i="2"/>
  <c r="E78" i="2"/>
  <c r="D78" i="2"/>
  <c r="F77" i="2"/>
  <c r="F76" i="2"/>
  <c r="E76" i="2"/>
  <c r="D76" i="2"/>
  <c r="C76" i="2"/>
  <c r="F75" i="2"/>
  <c r="E75" i="2"/>
  <c r="D75" i="2"/>
  <c r="C75" i="2"/>
  <c r="F74" i="2"/>
  <c r="E74" i="2"/>
  <c r="D74" i="2"/>
  <c r="C74" i="2"/>
  <c r="F73" i="2"/>
  <c r="E73" i="2"/>
  <c r="D73" i="2"/>
  <c r="C73" i="2"/>
  <c r="F72" i="2"/>
  <c r="E72" i="2"/>
  <c r="D72" i="2"/>
  <c r="C72" i="2"/>
  <c r="F71" i="2"/>
  <c r="E71" i="2"/>
  <c r="D71" i="2"/>
  <c r="C71" i="2"/>
  <c r="F70" i="2"/>
  <c r="E70" i="2"/>
  <c r="D70" i="2"/>
  <c r="C70" i="2"/>
  <c r="E69" i="2"/>
  <c r="D69" i="2"/>
  <c r="C69" i="2"/>
  <c r="F68" i="2"/>
  <c r="E68" i="2"/>
  <c r="D68" i="2"/>
  <c r="C68" i="2"/>
  <c r="F67" i="2"/>
  <c r="E67" i="2"/>
  <c r="D67" i="2"/>
  <c r="F66" i="2"/>
  <c r="E66" i="2"/>
  <c r="D66" i="2"/>
  <c r="F65" i="2"/>
  <c r="E65" i="2"/>
  <c r="D65" i="2"/>
  <c r="E61" i="2"/>
  <c r="D61" i="2"/>
  <c r="C61" i="2"/>
  <c r="B61" i="2"/>
  <c r="F60" i="2"/>
  <c r="F59" i="2"/>
  <c r="E59" i="2"/>
  <c r="D59" i="2"/>
  <c r="C59" i="2"/>
  <c r="B59" i="2"/>
  <c r="F58" i="2"/>
  <c r="E58" i="2"/>
  <c r="D58" i="2"/>
  <c r="C58" i="2"/>
  <c r="B58" i="2"/>
  <c r="F57" i="2"/>
  <c r="E57" i="2"/>
  <c r="D57" i="2"/>
  <c r="C57" i="2"/>
  <c r="B57" i="2"/>
  <c r="F56" i="2"/>
  <c r="E56" i="2"/>
  <c r="D56" i="2"/>
  <c r="C56" i="2"/>
  <c r="B56" i="2"/>
  <c r="F55" i="2"/>
  <c r="E55" i="2"/>
  <c r="D55" i="2"/>
  <c r="C55" i="2"/>
  <c r="B55" i="2"/>
  <c r="F54" i="2"/>
  <c r="E54" i="2"/>
  <c r="D54" i="2"/>
  <c r="C54" i="2"/>
  <c r="B54" i="2"/>
  <c r="F53" i="2"/>
  <c r="E53" i="2"/>
  <c r="D53" i="2"/>
  <c r="C53" i="2"/>
  <c r="B53" i="2"/>
  <c r="F52" i="2"/>
  <c r="E52" i="2"/>
  <c r="D52" i="2"/>
  <c r="C52" i="2"/>
  <c r="B52" i="2"/>
  <c r="F51" i="2"/>
  <c r="E51" i="2"/>
  <c r="D51" i="2"/>
  <c r="C51" i="2"/>
  <c r="B51" i="2"/>
  <c r="F50" i="2"/>
  <c r="E50" i="2"/>
  <c r="D50" i="2"/>
  <c r="C50" i="2"/>
  <c r="B50" i="2"/>
  <c r="F49" i="2"/>
  <c r="E49" i="2"/>
  <c r="D49" i="2"/>
  <c r="C49" i="2"/>
  <c r="B49" i="2"/>
  <c r="E48" i="2"/>
  <c r="D48" i="2"/>
  <c r="C48" i="2"/>
  <c r="C22" i="7"/>
  <c r="D22" i="7"/>
  <c r="E22" i="7"/>
  <c r="F22" i="7"/>
  <c r="B22" i="7"/>
  <c r="B21" i="7"/>
  <c r="C21" i="7"/>
  <c r="D21" i="7"/>
  <c r="E21" i="7"/>
  <c r="F21" i="7"/>
  <c r="C20" i="7"/>
  <c r="D20" i="7"/>
  <c r="E20" i="7"/>
  <c r="F20" i="7"/>
  <c r="B20" i="7"/>
  <c r="C19" i="7"/>
  <c r="D19" i="7"/>
  <c r="E19" i="7"/>
  <c r="F19" i="7"/>
  <c r="B19" i="7"/>
  <c r="C18" i="7"/>
  <c r="D18" i="7"/>
  <c r="E18" i="7"/>
  <c r="F18" i="7"/>
  <c r="B18" i="7"/>
  <c r="C17" i="7"/>
  <c r="B17" i="7"/>
  <c r="D34" i="7"/>
  <c r="E34" i="7"/>
  <c r="F34" i="7"/>
  <c r="D35" i="7"/>
  <c r="D38" i="7" s="1"/>
  <c r="E35" i="7"/>
  <c r="E38" i="7" s="1"/>
  <c r="F35" i="7"/>
  <c r="F38" i="7" s="1"/>
  <c r="D36" i="7"/>
  <c r="D39" i="7" s="1"/>
  <c r="E36" i="7"/>
  <c r="E39" i="7" s="1"/>
  <c r="F36" i="7"/>
  <c r="F39" i="7" s="1"/>
  <c r="C34" i="7"/>
  <c r="C28" i="7"/>
  <c r="D28" i="7"/>
  <c r="E28" i="7"/>
  <c r="F28" i="7"/>
  <c r="B28" i="7"/>
  <c r="C27" i="7"/>
  <c r="D27" i="7"/>
  <c r="E27" i="7"/>
  <c r="F27" i="7"/>
  <c r="B27" i="7"/>
  <c r="C26" i="7"/>
  <c r="D26" i="7"/>
  <c r="E26" i="7"/>
  <c r="F26" i="7"/>
  <c r="B26" i="7"/>
  <c r="C25" i="7"/>
  <c r="D25" i="7"/>
  <c r="E25" i="7"/>
  <c r="F25" i="7"/>
  <c r="B25" i="7"/>
  <c r="C13" i="7"/>
  <c r="D13" i="7"/>
  <c r="E13" i="7"/>
  <c r="F13" i="7"/>
  <c r="B13" i="7"/>
  <c r="C10" i="7"/>
  <c r="D10" i="7"/>
  <c r="E10" i="7"/>
  <c r="F10" i="7"/>
  <c r="B10" i="7"/>
  <c r="F9" i="7"/>
  <c r="E44" i="2"/>
  <c r="E9" i="7" s="1"/>
  <c r="D44" i="2"/>
  <c r="D9" i="7" s="1"/>
  <c r="C44" i="2"/>
  <c r="C9" i="7" s="1"/>
  <c r="B44" i="2"/>
  <c r="B9" i="7" s="1"/>
  <c r="C36" i="7"/>
  <c r="C39" i="7" s="1"/>
  <c r="C35" i="7"/>
  <c r="C38" i="7" s="1"/>
  <c r="F8" i="7"/>
  <c r="E8" i="7"/>
  <c r="D8" i="7"/>
  <c r="C8" i="7"/>
  <c r="B8" i="7"/>
  <c r="F7" i="7"/>
  <c r="E7" i="7"/>
  <c r="D7" i="7"/>
  <c r="C7" i="7"/>
  <c r="B7" i="7"/>
  <c r="F6" i="7"/>
  <c r="E6" i="7"/>
  <c r="D6" i="7"/>
  <c r="C6" i="7"/>
  <c r="B6" i="7"/>
  <c r="C5" i="7"/>
  <c r="D5" i="7"/>
  <c r="E5" i="7"/>
  <c r="F5" i="7"/>
  <c r="B5" i="7"/>
  <c r="F31" i="7" l="1"/>
  <c r="E31" i="7"/>
  <c r="C31" i="7"/>
  <c r="D31" i="7"/>
  <c r="D33" i="4"/>
  <c r="E33" i="4"/>
  <c r="F17" i="7" l="1"/>
  <c r="F88" i="4"/>
  <c r="F126" i="4"/>
  <c r="E17" i="7"/>
  <c r="E88" i="4"/>
  <c r="E126" i="4"/>
  <c r="D17" i="7"/>
  <c r="D126" i="4"/>
  <c r="D88" i="4"/>
  <c r="E27" i="8"/>
  <c r="G18" i="8" l="1"/>
  <c r="G16" i="8" s="1"/>
  <c r="G4" i="8" s="1"/>
  <c r="G20" i="8"/>
  <c r="H4" i="8" l="1"/>
  <c r="G6" i="8"/>
  <c r="G8" i="8" s="1"/>
  <c r="G9" i="8" l="1"/>
  <c r="G3" i="2"/>
  <c r="H6" i="8"/>
  <c r="H8" i="8" s="1"/>
  <c r="I4" i="8"/>
  <c r="J4" i="8" l="1"/>
  <c r="I6" i="8"/>
  <c r="I8" i="8" s="1"/>
  <c r="H3" i="2"/>
  <c r="H9" i="8"/>
  <c r="G4" i="4"/>
  <c r="G11" i="2"/>
  <c r="G11" i="4"/>
  <c r="G6" i="2"/>
  <c r="G48" i="2"/>
  <c r="G52" i="2"/>
  <c r="G60" i="2"/>
  <c r="G4" i="9"/>
  <c r="G35" i="7"/>
  <c r="G38" i="7" s="1"/>
  <c r="G4" i="2"/>
  <c r="G5" i="2" s="1"/>
  <c r="G65" i="2"/>
  <c r="G53" i="2"/>
  <c r="G67" i="2" l="1"/>
  <c r="G50" i="2"/>
  <c r="G9" i="2"/>
  <c r="G5" i="7"/>
  <c r="G10" i="7"/>
  <c r="G11" i="12"/>
  <c r="G104" i="4"/>
  <c r="H11" i="4"/>
  <c r="H11" i="12" s="1"/>
  <c r="H4" i="4"/>
  <c r="H35" i="7" s="1"/>
  <c r="H38" i="7" s="1"/>
  <c r="H4" i="2"/>
  <c r="H65" i="2"/>
  <c r="H11" i="2"/>
  <c r="H53" i="2"/>
  <c r="H6" i="2"/>
  <c r="H48" i="2"/>
  <c r="H52" i="2"/>
  <c r="H60" i="2"/>
  <c r="H4" i="9"/>
  <c r="G5" i="9"/>
  <c r="G17" i="9"/>
  <c r="I3" i="2"/>
  <c r="I9" i="8"/>
  <c r="G6" i="4"/>
  <c r="G5" i="4"/>
  <c r="G36" i="7" s="1"/>
  <c r="G39" i="7" s="1"/>
  <c r="G15" i="4"/>
  <c r="G66" i="2"/>
  <c r="G16" i="4"/>
  <c r="G49" i="2"/>
  <c r="G9" i="7"/>
  <c r="G22" i="4"/>
  <c r="G56" i="2"/>
  <c r="G73" i="2"/>
  <c r="G51" i="2"/>
  <c r="G68" i="2"/>
  <c r="G4" i="12"/>
  <c r="G97" i="4"/>
  <c r="K4" i="8"/>
  <c r="K6" i="8" s="1"/>
  <c r="K8" i="8" s="1"/>
  <c r="J6" i="8"/>
  <c r="J8" i="8" s="1"/>
  <c r="H4" i="12" l="1"/>
  <c r="G99" i="4"/>
  <c r="G6" i="12"/>
  <c r="H5" i="4"/>
  <c r="H36" i="7" s="1"/>
  <c r="H39" i="7" s="1"/>
  <c r="H6" i="4"/>
  <c r="H6" i="12" s="1"/>
  <c r="H16" i="4"/>
  <c r="H22" i="4"/>
  <c r="H15" i="4"/>
  <c r="H66" i="2"/>
  <c r="H49" i="2"/>
  <c r="H9" i="7"/>
  <c r="G22" i="12"/>
  <c r="G115" i="4"/>
  <c r="H56" i="2"/>
  <c r="H73" i="2"/>
  <c r="H97" i="4"/>
  <c r="G71" i="2"/>
  <c r="G31" i="7" s="1"/>
  <c r="G7" i="7"/>
  <c r="G54" i="2"/>
  <c r="H3" i="9"/>
  <c r="H5" i="9" s="1"/>
  <c r="G7" i="9"/>
  <c r="G8" i="9" s="1"/>
  <c r="H6" i="9" s="1"/>
  <c r="J3" i="2"/>
  <c r="J9" i="8"/>
  <c r="G15" i="12"/>
  <c r="G108" i="4"/>
  <c r="I4" i="4"/>
  <c r="I35" i="7" s="1"/>
  <c r="I38" i="7" s="1"/>
  <c r="I11" i="4"/>
  <c r="I11" i="12" s="1"/>
  <c r="I53" i="2"/>
  <c r="I4" i="2"/>
  <c r="I5" i="2" s="1"/>
  <c r="I65" i="2"/>
  <c r="I6" i="2"/>
  <c r="I48" i="2"/>
  <c r="I11" i="2"/>
  <c r="I52" i="2"/>
  <c r="I60" i="2"/>
  <c r="I4" i="9"/>
  <c r="H5" i="2"/>
  <c r="H104" i="4"/>
  <c r="G16" i="12"/>
  <c r="G109" i="4"/>
  <c r="K9" i="8"/>
  <c r="K3" i="2"/>
  <c r="G98" i="4"/>
  <c r="G5" i="12"/>
  <c r="G21" i="4"/>
  <c r="G18" i="9"/>
  <c r="G23" i="9" s="1"/>
  <c r="H17" i="9"/>
  <c r="H51" i="2"/>
  <c r="H68" i="2"/>
  <c r="H5" i="12" l="1"/>
  <c r="I9" i="2"/>
  <c r="I50" i="2"/>
  <c r="I67" i="2"/>
  <c r="I10" i="7"/>
  <c r="I5" i="7"/>
  <c r="G9" i="9"/>
  <c r="G8" i="4" s="1"/>
  <c r="H109" i="4"/>
  <c r="H16" i="12"/>
  <c r="I97" i="4"/>
  <c r="I56" i="2"/>
  <c r="I73" i="2"/>
  <c r="I5" i="4"/>
  <c r="I5" i="12" s="1"/>
  <c r="I15" i="4"/>
  <c r="I16" i="4"/>
  <c r="I22" i="4"/>
  <c r="I6" i="4"/>
  <c r="I49" i="2"/>
  <c r="I66" i="2"/>
  <c r="I9" i="7"/>
  <c r="H7" i="9"/>
  <c r="H8" i="9" s="1"/>
  <c r="I3" i="9"/>
  <c r="I5" i="9" s="1"/>
  <c r="H99" i="4"/>
  <c r="I68" i="2"/>
  <c r="I51" i="2"/>
  <c r="I104" i="4"/>
  <c r="H115" i="4"/>
  <c r="H22" i="12"/>
  <c r="G21" i="9"/>
  <c r="G22" i="9"/>
  <c r="G19" i="9"/>
  <c r="G114" i="4"/>
  <c r="G10" i="2"/>
  <c r="G21" i="12"/>
  <c r="H21" i="4"/>
  <c r="H18" i="9"/>
  <c r="H23" i="9" s="1"/>
  <c r="I17" i="9"/>
  <c r="K11" i="4"/>
  <c r="K11" i="2"/>
  <c r="K6" i="2"/>
  <c r="K48" i="2"/>
  <c r="K52" i="2"/>
  <c r="K60" i="2"/>
  <c r="K4" i="2"/>
  <c r="K65" i="2"/>
  <c r="K4" i="9"/>
  <c r="K53" i="2"/>
  <c r="K4" i="4"/>
  <c r="H50" i="2"/>
  <c r="H67" i="2"/>
  <c r="H10" i="7"/>
  <c r="H9" i="2"/>
  <c r="H5" i="7"/>
  <c r="J4" i="4"/>
  <c r="J11" i="4"/>
  <c r="J11" i="12" s="1"/>
  <c r="J6" i="2"/>
  <c r="J48" i="2"/>
  <c r="J52" i="2"/>
  <c r="J60" i="2"/>
  <c r="J53" i="2"/>
  <c r="J11" i="2"/>
  <c r="J35" i="7"/>
  <c r="J38" i="7" s="1"/>
  <c r="J4" i="2"/>
  <c r="J5" i="2" s="1"/>
  <c r="J65" i="2"/>
  <c r="J4" i="9"/>
  <c r="I4" i="12"/>
  <c r="H15" i="12"/>
  <c r="H108" i="4"/>
  <c r="H98" i="4"/>
  <c r="I6" i="9" l="1"/>
  <c r="H9" i="9"/>
  <c r="H8" i="4" s="1"/>
  <c r="H8" i="12" s="1"/>
  <c r="J97" i="4"/>
  <c r="K4" i="12"/>
  <c r="K6" i="4"/>
  <c r="K5" i="4"/>
  <c r="K15" i="4"/>
  <c r="K22" i="4"/>
  <c r="K66" i="2"/>
  <c r="K16" i="4"/>
  <c r="K9" i="7"/>
  <c r="K49" i="2"/>
  <c r="I99" i="4"/>
  <c r="J56" i="2"/>
  <c r="J73" i="2"/>
  <c r="K56" i="2"/>
  <c r="K73" i="2"/>
  <c r="I21" i="4"/>
  <c r="J17" i="9"/>
  <c r="I18" i="9"/>
  <c r="G55" i="2"/>
  <c r="G72" i="2"/>
  <c r="G12" i="2"/>
  <c r="I115" i="4"/>
  <c r="I22" i="12"/>
  <c r="K51" i="2"/>
  <c r="K68" i="2"/>
  <c r="I98" i="4"/>
  <c r="J68" i="2"/>
  <c r="J51" i="2"/>
  <c r="H54" i="2"/>
  <c r="H71" i="2"/>
  <c r="H31" i="7" s="1"/>
  <c r="H7" i="7"/>
  <c r="K97" i="4"/>
  <c r="K5" i="2"/>
  <c r="H19" i="9"/>
  <c r="H21" i="9"/>
  <c r="H22" i="9"/>
  <c r="I6" i="12"/>
  <c r="I7" i="9"/>
  <c r="J3" i="9"/>
  <c r="J5" i="9" s="1"/>
  <c r="I36" i="7"/>
  <c r="I39" i="7" s="1"/>
  <c r="I109" i="4"/>
  <c r="I16" i="12"/>
  <c r="G8" i="12"/>
  <c r="G101" i="4"/>
  <c r="J67" i="2"/>
  <c r="J9" i="2"/>
  <c r="J5" i="7"/>
  <c r="J50" i="2"/>
  <c r="J10" i="7"/>
  <c r="J6" i="4"/>
  <c r="J5" i="4"/>
  <c r="J5" i="12" s="1"/>
  <c r="J15" i="4"/>
  <c r="J16" i="4"/>
  <c r="J22" i="4"/>
  <c r="J49" i="2"/>
  <c r="J9" i="7"/>
  <c r="J66" i="2"/>
  <c r="J104" i="4"/>
  <c r="K11" i="12"/>
  <c r="K35" i="7"/>
  <c r="K38" i="7" s="1"/>
  <c r="K104" i="4"/>
  <c r="H21" i="12"/>
  <c r="H10" i="2"/>
  <c r="H114" i="4"/>
  <c r="I108" i="4"/>
  <c r="I15" i="12"/>
  <c r="J4" i="12"/>
  <c r="I54" i="2"/>
  <c r="I71" i="2"/>
  <c r="I31" i="7" s="1"/>
  <c r="I7" i="7"/>
  <c r="J36" i="7" l="1"/>
  <c r="J39" i="7" s="1"/>
  <c r="G57" i="2"/>
  <c r="G74" i="2"/>
  <c r="G13" i="2"/>
  <c r="G14" i="2" s="1"/>
  <c r="G6" i="7"/>
  <c r="K15" i="12"/>
  <c r="K108" i="4"/>
  <c r="H55" i="2"/>
  <c r="H72" i="2"/>
  <c r="J98" i="4"/>
  <c r="K5" i="12"/>
  <c r="K3" i="9"/>
  <c r="K5" i="9" s="1"/>
  <c r="J7" i="9"/>
  <c r="J21" i="4"/>
  <c r="K17" i="9"/>
  <c r="J18" i="9"/>
  <c r="K16" i="12"/>
  <c r="K109" i="4"/>
  <c r="K98" i="4"/>
  <c r="J108" i="4"/>
  <c r="J15" i="12"/>
  <c r="I21" i="9"/>
  <c r="I22" i="9"/>
  <c r="I19" i="9"/>
  <c r="J115" i="4"/>
  <c r="J22" i="12"/>
  <c r="K6" i="12"/>
  <c r="J99" i="4"/>
  <c r="J71" i="2"/>
  <c r="J31" i="7" s="1"/>
  <c r="J54" i="2"/>
  <c r="J7" i="7"/>
  <c r="H12" i="2"/>
  <c r="I114" i="4"/>
  <c r="I21" i="12"/>
  <c r="I10" i="2"/>
  <c r="K36" i="7"/>
  <c r="K39" i="7" s="1"/>
  <c r="K99" i="4"/>
  <c r="H101" i="4"/>
  <c r="J16" i="12"/>
  <c r="J109" i="4"/>
  <c r="K67" i="2"/>
  <c r="K5" i="7"/>
  <c r="K9" i="2"/>
  <c r="K50" i="2"/>
  <c r="K10" i="7"/>
  <c r="I23" i="9"/>
  <c r="J6" i="12"/>
  <c r="K22" i="12"/>
  <c r="K115" i="4"/>
  <c r="I8" i="9"/>
  <c r="G16" i="2" l="1"/>
  <c r="G59" i="2"/>
  <c r="G76" i="2"/>
  <c r="K54" i="2"/>
  <c r="K7" i="7"/>
  <c r="K71" i="2"/>
  <c r="K31" i="7" s="1"/>
  <c r="K21" i="4"/>
  <c r="K18" i="9"/>
  <c r="K23" i="9" s="1"/>
  <c r="K7" i="9"/>
  <c r="G17" i="4"/>
  <c r="G23" i="4"/>
  <c r="G12" i="4"/>
  <c r="G58" i="2"/>
  <c r="G75" i="2"/>
  <c r="I72" i="2"/>
  <c r="I55" i="2"/>
  <c r="I12" i="2"/>
  <c r="J22" i="9"/>
  <c r="J19" i="9"/>
  <c r="J21" i="9"/>
  <c r="J6" i="9"/>
  <c r="J8" i="9" s="1"/>
  <c r="I9" i="9"/>
  <c r="I8" i="4" s="1"/>
  <c r="J114" i="4"/>
  <c r="J21" i="12"/>
  <c r="J10" i="2"/>
  <c r="H13" i="2"/>
  <c r="H6" i="7"/>
  <c r="H57" i="2"/>
  <c r="H74" i="2"/>
  <c r="J23" i="9"/>
  <c r="I13" i="2" l="1"/>
  <c r="I14" i="2" s="1"/>
  <c r="I57" i="2"/>
  <c r="I6" i="7"/>
  <c r="I74" i="2"/>
  <c r="G105" i="4"/>
  <c r="G12" i="12"/>
  <c r="K114" i="4"/>
  <c r="K21" i="12"/>
  <c r="K10" i="2"/>
  <c r="J72" i="2"/>
  <c r="J55" i="2"/>
  <c r="J12" i="2"/>
  <c r="G116" i="4"/>
  <c r="G23" i="12"/>
  <c r="K6" i="9"/>
  <c r="K8" i="9" s="1"/>
  <c r="K9" i="9" s="1"/>
  <c r="K8" i="4" s="1"/>
  <c r="J9" i="9"/>
  <c r="J8" i="4" s="1"/>
  <c r="H12" i="4"/>
  <c r="H12" i="12" s="1"/>
  <c r="H17" i="4"/>
  <c r="H23" i="4"/>
  <c r="H58" i="2"/>
  <c r="H75" i="2"/>
  <c r="H14" i="2"/>
  <c r="I101" i="4"/>
  <c r="I8" i="12"/>
  <c r="G110" i="4"/>
  <c r="G17" i="12"/>
  <c r="G20" i="4"/>
  <c r="K21" i="9"/>
  <c r="K22" i="9"/>
  <c r="K19" i="9"/>
  <c r="G2" i="12"/>
  <c r="G78" i="2"/>
  <c r="G8" i="7"/>
  <c r="G61" i="2"/>
  <c r="G28" i="9"/>
  <c r="K101" i="4" l="1"/>
  <c r="J13" i="2"/>
  <c r="J14" i="2" s="1"/>
  <c r="J57" i="2"/>
  <c r="J74" i="2"/>
  <c r="J6" i="7"/>
  <c r="K55" i="2"/>
  <c r="K72" i="2"/>
  <c r="K12" i="2"/>
  <c r="I59" i="2"/>
  <c r="I16" i="2"/>
  <c r="I76" i="2"/>
  <c r="G24" i="4"/>
  <c r="G113" i="4"/>
  <c r="H16" i="2"/>
  <c r="H59" i="2"/>
  <c r="H76" i="2"/>
  <c r="H110" i="4"/>
  <c r="H17" i="12"/>
  <c r="H20" i="4"/>
  <c r="J101" i="4"/>
  <c r="K8" i="12"/>
  <c r="H116" i="4"/>
  <c r="H23" i="12"/>
  <c r="G29" i="9"/>
  <c r="G38" i="12" s="1"/>
  <c r="G40" i="12" s="1"/>
  <c r="J8" i="12"/>
  <c r="H105" i="4"/>
  <c r="I12" i="4"/>
  <c r="I12" i="12" s="1"/>
  <c r="I17" i="4"/>
  <c r="I23" i="4"/>
  <c r="I58" i="2"/>
  <c r="I75" i="2"/>
  <c r="G31" i="9" l="1"/>
  <c r="G30" i="4" s="1"/>
  <c r="G43" i="12"/>
  <c r="G3" i="4" s="1"/>
  <c r="G45" i="12"/>
  <c r="C17" i="14" s="1"/>
  <c r="H24" i="4"/>
  <c r="H113" i="4"/>
  <c r="I61" i="2"/>
  <c r="I28" i="9"/>
  <c r="I29" i="9" s="1"/>
  <c r="I38" i="12" s="1"/>
  <c r="I2" i="12"/>
  <c r="I78" i="2"/>
  <c r="I8" i="7"/>
  <c r="I116" i="4"/>
  <c r="I23" i="12"/>
  <c r="G117" i="4"/>
  <c r="J59" i="2"/>
  <c r="J16" i="2"/>
  <c r="J76" i="2"/>
  <c r="J12" i="4"/>
  <c r="J12" i="12" s="1"/>
  <c r="J17" i="4"/>
  <c r="J23" i="4"/>
  <c r="J58" i="2"/>
  <c r="J75" i="2"/>
  <c r="I17" i="12"/>
  <c r="I110" i="4"/>
  <c r="I20" i="4"/>
  <c r="H2" i="12"/>
  <c r="H61" i="2"/>
  <c r="H28" i="9"/>
  <c r="H29" i="9" s="1"/>
  <c r="H38" i="12" s="1"/>
  <c r="H78" i="2"/>
  <c r="H8" i="7"/>
  <c r="K13" i="2"/>
  <c r="K14" i="2" s="1"/>
  <c r="K74" i="2"/>
  <c r="K57" i="2"/>
  <c r="K6" i="7"/>
  <c r="I105" i="4"/>
  <c r="H27" i="9" l="1"/>
  <c r="H31" i="9" s="1"/>
  <c r="I27" i="9" s="1"/>
  <c r="I31" i="9" s="1"/>
  <c r="H40" i="12"/>
  <c r="H45" i="12" s="1"/>
  <c r="D17" i="14" s="1"/>
  <c r="I40" i="12"/>
  <c r="I45" i="12" s="1"/>
  <c r="E17" i="14" s="1"/>
  <c r="J17" i="12"/>
  <c r="J110" i="4"/>
  <c r="J20" i="4"/>
  <c r="G33" i="4"/>
  <c r="G123" i="4"/>
  <c r="K16" i="2"/>
  <c r="K59" i="2"/>
  <c r="K76" i="2"/>
  <c r="J2" i="12"/>
  <c r="J61" i="2"/>
  <c r="J28" i="9"/>
  <c r="J29" i="9" s="1"/>
  <c r="J38" i="12" s="1"/>
  <c r="J78" i="2"/>
  <c r="J8" i="7"/>
  <c r="I24" i="4"/>
  <c r="I113" i="4"/>
  <c r="J105" i="4"/>
  <c r="C41" i="14"/>
  <c r="C42" i="14" s="1"/>
  <c r="C18" i="14"/>
  <c r="J23" i="12"/>
  <c r="J116" i="4"/>
  <c r="K17" i="4"/>
  <c r="K23" i="4"/>
  <c r="K12" i="4"/>
  <c r="K12" i="12" s="1"/>
  <c r="K58" i="2"/>
  <c r="K75" i="2"/>
  <c r="H117" i="4"/>
  <c r="G7" i="4"/>
  <c r="G95" i="4"/>
  <c r="H42" i="12"/>
  <c r="G14" i="7"/>
  <c r="H43" i="12" l="1"/>
  <c r="H3" i="4" s="1"/>
  <c r="H7" i="4" s="1"/>
  <c r="H30" i="4"/>
  <c r="H123" i="4" s="1"/>
  <c r="K2" i="12"/>
  <c r="K78" i="2"/>
  <c r="K8" i="7"/>
  <c r="K61" i="2"/>
  <c r="K28" i="9"/>
  <c r="K29" i="9" s="1"/>
  <c r="K38" i="12" s="1"/>
  <c r="D18" i="14"/>
  <c r="D41" i="14"/>
  <c r="D42" i="14" s="1"/>
  <c r="K105" i="4"/>
  <c r="J40" i="12"/>
  <c r="J24" i="4"/>
  <c r="J113" i="4"/>
  <c r="E41" i="14"/>
  <c r="E42" i="14" s="1"/>
  <c r="E18" i="14"/>
  <c r="K116" i="4"/>
  <c r="K23" i="12"/>
  <c r="G13" i="4"/>
  <c r="G62" i="4" s="1"/>
  <c r="G100" i="4"/>
  <c r="G13" i="7"/>
  <c r="K110" i="4"/>
  <c r="K17" i="12"/>
  <c r="K20" i="4"/>
  <c r="I117" i="4"/>
  <c r="G35" i="4"/>
  <c r="G22" i="7" s="1"/>
  <c r="G126" i="4"/>
  <c r="I30" i="4"/>
  <c r="J27" i="9"/>
  <c r="J31" i="9" s="1"/>
  <c r="H33" i="4" l="1"/>
  <c r="H126" i="4" s="1"/>
  <c r="H14" i="7"/>
  <c r="I42" i="12"/>
  <c r="I43" i="12" s="1"/>
  <c r="I3" i="4" s="1"/>
  <c r="I95" i="4" s="1"/>
  <c r="H95" i="4"/>
  <c r="J117" i="4"/>
  <c r="J45" i="12"/>
  <c r="F17" i="14" s="1"/>
  <c r="J30" i="4"/>
  <c r="K27" i="9"/>
  <c r="K31" i="9" s="1"/>
  <c r="K30" i="4" s="1"/>
  <c r="G90" i="4"/>
  <c r="G36" i="4"/>
  <c r="G128" i="4"/>
  <c r="G21" i="7"/>
  <c r="G18" i="7"/>
  <c r="G19" i="7"/>
  <c r="G20" i="7"/>
  <c r="I33" i="4"/>
  <c r="I123" i="4"/>
  <c r="K24" i="4"/>
  <c r="K113" i="4"/>
  <c r="K40" i="12"/>
  <c r="G64" i="4"/>
  <c r="G68" i="4"/>
  <c r="G73" i="4"/>
  <c r="G82" i="4"/>
  <c r="G86" i="4"/>
  <c r="G84" i="4"/>
  <c r="G87" i="4"/>
  <c r="G81" i="4"/>
  <c r="G89" i="4"/>
  <c r="G106" i="4"/>
  <c r="G65" i="4"/>
  <c r="G74" i="4"/>
  <c r="G83" i="4"/>
  <c r="G17" i="7"/>
  <c r="G34" i="7"/>
  <c r="G59" i="4"/>
  <c r="G66" i="4"/>
  <c r="G61" i="4"/>
  <c r="G71" i="4"/>
  <c r="G70" i="4"/>
  <c r="G77" i="4"/>
  <c r="G60" i="4"/>
  <c r="G76" i="4"/>
  <c r="G63" i="4"/>
  <c r="G67" i="4"/>
  <c r="G78" i="4"/>
  <c r="G72" i="4"/>
  <c r="G75" i="4"/>
  <c r="G79" i="4"/>
  <c r="G57" i="4"/>
  <c r="G85" i="4"/>
  <c r="G88" i="4"/>
  <c r="H13" i="4"/>
  <c r="H34" i="7" s="1"/>
  <c r="H100" i="4"/>
  <c r="H13" i="7"/>
  <c r="H35" i="4" l="1"/>
  <c r="H22" i="7" s="1"/>
  <c r="I14" i="7"/>
  <c r="J42" i="12"/>
  <c r="J43" i="12" s="1"/>
  <c r="J3" i="4" s="1"/>
  <c r="J14" i="7" s="1"/>
  <c r="I7" i="4"/>
  <c r="I13" i="7" s="1"/>
  <c r="G129" i="4"/>
  <c r="G91" i="4"/>
  <c r="G47" i="12"/>
  <c r="I35" i="4"/>
  <c r="I126" i="4"/>
  <c r="F41" i="14"/>
  <c r="F42" i="14" s="1"/>
  <c r="F18" i="14"/>
  <c r="H88" i="4"/>
  <c r="K117" i="4"/>
  <c r="K33" i="4"/>
  <c r="K123" i="4"/>
  <c r="H81" i="4"/>
  <c r="H89" i="4"/>
  <c r="H65" i="4"/>
  <c r="H74" i="4"/>
  <c r="H83" i="4"/>
  <c r="H87" i="4"/>
  <c r="H64" i="4"/>
  <c r="H73" i="4"/>
  <c r="H82" i="4"/>
  <c r="H84" i="4"/>
  <c r="H68" i="4"/>
  <c r="H86" i="4"/>
  <c r="H106" i="4"/>
  <c r="H17" i="7"/>
  <c r="H59" i="4"/>
  <c r="H66" i="4"/>
  <c r="H71" i="4"/>
  <c r="H70" i="4"/>
  <c r="H77" i="4"/>
  <c r="H60" i="4"/>
  <c r="H61" i="4"/>
  <c r="H76" i="4"/>
  <c r="H63" i="4"/>
  <c r="H72" i="4"/>
  <c r="H67" i="4"/>
  <c r="H78" i="4"/>
  <c r="H75" i="4"/>
  <c r="H79" i="4"/>
  <c r="H85" i="4"/>
  <c r="H57" i="4"/>
  <c r="H62" i="4"/>
  <c r="K45" i="12"/>
  <c r="G17" i="14" s="1"/>
  <c r="J33" i="4"/>
  <c r="J123" i="4"/>
  <c r="H90" i="4"/>
  <c r="H128" i="4"/>
  <c r="H21" i="7"/>
  <c r="H20" i="7"/>
  <c r="K42" i="12" l="1"/>
  <c r="K43" i="12" s="1"/>
  <c r="K3" i="4" s="1"/>
  <c r="I13" i="4"/>
  <c r="I62" i="4" s="1"/>
  <c r="H19" i="7"/>
  <c r="H36" i="4"/>
  <c r="H129" i="4" s="1"/>
  <c r="H18" i="7"/>
  <c r="J95" i="4"/>
  <c r="J7" i="4"/>
  <c r="J13" i="4" s="1"/>
  <c r="J62" i="4" s="1"/>
  <c r="I100" i="4"/>
  <c r="K7" i="4"/>
  <c r="K95" i="4"/>
  <c r="K14" i="7"/>
  <c r="J35" i="4"/>
  <c r="J126" i="4"/>
  <c r="B22" i="14"/>
  <c r="G41" i="14"/>
  <c r="G18" i="14"/>
  <c r="K35" i="4"/>
  <c r="K126" i="4"/>
  <c r="I128" i="4"/>
  <c r="I36" i="4"/>
  <c r="I18" i="7"/>
  <c r="I19" i="7"/>
  <c r="I21" i="7"/>
  <c r="I20" i="7"/>
  <c r="I22" i="7"/>
  <c r="J13" i="7"/>
  <c r="I64" i="4"/>
  <c r="I73" i="4"/>
  <c r="I86" i="4"/>
  <c r="I81" i="4"/>
  <c r="I74" i="4"/>
  <c r="I65" i="4"/>
  <c r="I83" i="4"/>
  <c r="I59" i="4"/>
  <c r="I77" i="4"/>
  <c r="I60" i="4"/>
  <c r="I70" i="4"/>
  <c r="I61" i="4"/>
  <c r="I76" i="4"/>
  <c r="I78" i="4"/>
  <c r="I67" i="4"/>
  <c r="I72" i="4"/>
  <c r="I79" i="4"/>
  <c r="I57" i="4"/>
  <c r="I85" i="4"/>
  <c r="I17" i="7" l="1"/>
  <c r="I89" i="4"/>
  <c r="I82" i="4"/>
  <c r="I84" i="4"/>
  <c r="I75" i="4"/>
  <c r="I63" i="4"/>
  <c r="I71" i="4"/>
  <c r="I66" i="4"/>
  <c r="I106" i="4"/>
  <c r="I87" i="4"/>
  <c r="I68" i="4"/>
  <c r="J100" i="4"/>
  <c r="I88" i="4"/>
  <c r="I90" i="4"/>
  <c r="I34" i="7"/>
  <c r="H47" i="12"/>
  <c r="H91" i="4"/>
  <c r="J22" i="7"/>
  <c r="J34" i="7"/>
  <c r="J65" i="4"/>
  <c r="J74" i="4"/>
  <c r="J83" i="4"/>
  <c r="J87" i="4"/>
  <c r="J81" i="4"/>
  <c r="J89" i="4"/>
  <c r="J106" i="4"/>
  <c r="J64" i="4"/>
  <c r="J73" i="4"/>
  <c r="J82" i="4"/>
  <c r="J84" i="4"/>
  <c r="J17" i="7"/>
  <c r="J68" i="4"/>
  <c r="J86" i="4"/>
  <c r="J59" i="4"/>
  <c r="J66" i="4"/>
  <c r="J60" i="4"/>
  <c r="J61" i="4"/>
  <c r="J71" i="4"/>
  <c r="J70" i="4"/>
  <c r="J77" i="4"/>
  <c r="J76" i="4"/>
  <c r="J63" i="4"/>
  <c r="J72" i="4"/>
  <c r="J78" i="4"/>
  <c r="J67" i="4"/>
  <c r="J75" i="4"/>
  <c r="J79" i="4"/>
  <c r="J85" i="4"/>
  <c r="J57" i="4"/>
  <c r="I129" i="4"/>
  <c r="I91" i="4"/>
  <c r="I47" i="12"/>
  <c r="C22" i="14"/>
  <c r="B23" i="14"/>
  <c r="K36" i="4"/>
  <c r="K128" i="4"/>
  <c r="K19" i="7"/>
  <c r="K21" i="7"/>
  <c r="K18" i="7"/>
  <c r="K20" i="7"/>
  <c r="J36" i="4"/>
  <c r="J90" i="4"/>
  <c r="J128" i="4"/>
  <c r="J21" i="7"/>
  <c r="J18" i="7"/>
  <c r="J19" i="7"/>
  <c r="J20" i="7"/>
  <c r="B44" i="14"/>
  <c r="B45" i="14" s="1"/>
  <c r="G42" i="14"/>
  <c r="J88" i="4"/>
  <c r="K13" i="4"/>
  <c r="K34" i="7" s="1"/>
  <c r="K100" i="4"/>
  <c r="K13" i="7"/>
  <c r="K22" i="7"/>
  <c r="B24" i="14" l="1"/>
  <c r="B25" i="14" s="1"/>
  <c r="B9" i="14" s="1"/>
  <c r="F14" i="16" s="1"/>
  <c r="F16" i="16" s="1"/>
  <c r="K62" i="4"/>
  <c r="B46" i="14"/>
  <c r="B47" i="14" s="1"/>
  <c r="B49" i="14" s="1"/>
  <c r="K91" i="4"/>
  <c r="K129" i="4"/>
  <c r="K47" i="12"/>
  <c r="J91" i="4"/>
  <c r="J129" i="4"/>
  <c r="J47" i="12"/>
  <c r="K64" i="4"/>
  <c r="K68" i="4"/>
  <c r="K73" i="4"/>
  <c r="K82" i="4"/>
  <c r="K86" i="4"/>
  <c r="K84" i="4"/>
  <c r="K65" i="4"/>
  <c r="K74" i="4"/>
  <c r="K83" i="4"/>
  <c r="K106" i="4"/>
  <c r="K87" i="4"/>
  <c r="K81" i="4"/>
  <c r="K89" i="4"/>
  <c r="K17" i="7"/>
  <c r="K59" i="4"/>
  <c r="K66" i="4"/>
  <c r="K60" i="4"/>
  <c r="K61" i="4"/>
  <c r="K71" i="4"/>
  <c r="K70" i="4"/>
  <c r="K77" i="4"/>
  <c r="K76" i="4"/>
  <c r="K63" i="4"/>
  <c r="K67" i="4"/>
  <c r="K72" i="4"/>
  <c r="K78" i="4"/>
  <c r="K75" i="4"/>
  <c r="K85" i="4"/>
  <c r="K79" i="4"/>
  <c r="K57" i="4"/>
  <c r="K88" i="4"/>
  <c r="K90" i="4"/>
  <c r="C6" i="15" l="1"/>
  <c r="C8" i="15" s="1"/>
  <c r="B27" i="14"/>
  <c r="B10" i="14"/>
  <c r="F15" i="16" s="1"/>
  <c r="F17" i="16" s="1"/>
  <c r="I9" i="14"/>
  <c r="I10" i="14" s="1"/>
  <c r="C7" i="15"/>
  <c r="C9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Aman</author>
  </authors>
  <commentList>
    <comment ref="F8" authorId="0" shapeId="0" xr:uid="{F43CF158-2466-4E7F-8167-3FD9695B0D17}">
      <text>
        <r>
          <rPr>
            <b/>
            <sz val="9"/>
            <color indexed="81"/>
            <rFont val="Tahoma"/>
            <family val="2"/>
          </rPr>
          <t>Aman:</t>
        </r>
        <r>
          <rPr>
            <sz val="9"/>
            <color indexed="81"/>
            <rFont val="Tahoma"/>
            <family val="2"/>
          </rPr>
          <t xml:space="preserve">
Cost of Sales have been volatile in the last past years so it is imoprtant to see how share price will move depending on how much it increases or decreases. </t>
        </r>
      </text>
    </comment>
    <comment ref="J8" authorId="0" shapeId="0" xr:uid="{6B15BC04-40EB-4FDB-9738-29E28C1F9201}">
      <text>
        <r>
          <rPr>
            <b/>
            <sz val="9"/>
            <color indexed="81"/>
            <rFont val="Tahoma"/>
            <family val="2"/>
          </rPr>
          <t>Aman:</t>
        </r>
        <r>
          <rPr>
            <sz val="9"/>
            <color indexed="81"/>
            <rFont val="Tahoma"/>
            <family val="2"/>
          </rPr>
          <t xml:space="preserve">
Based on guidance HSY will increase NA salty snacks it's share to 20% of total sales. So in worst case, HSY might increase expensives in advertising. Best case according the trend.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H. Kroncke</author>
  </authors>
  <commentList>
    <comment ref="F11" authorId="0" shapeId="0" xr:uid="{719DB0F9-E517-C543-A5C0-4EA6CEA7BE09}">
      <text>
        <r>
          <rPr>
            <b/>
            <sz val="10"/>
            <color rgb="FF000000"/>
            <rFont val="Tahoma"/>
            <family val="2"/>
          </rPr>
          <t>Sarah H. Kroncke: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Figure distorted based on divestiture and asset write-downs</t>
        </r>
      </text>
    </comment>
  </commentList>
</comments>
</file>

<file path=xl/sharedStrings.xml><?xml version="1.0" encoding="utf-8"?>
<sst xmlns="http://schemas.openxmlformats.org/spreadsheetml/2006/main" count="1116" uniqueCount="426">
  <si>
    <t>Dec. 31, 2018</t>
  </si>
  <si>
    <t>Common stock</t>
  </si>
  <si>
    <t>Class B common stock</t>
  </si>
  <si>
    <t>CONSOLIDATED STATEMENTS OF INCOME - USD ($) $ in Thousands</t>
  </si>
  <si>
    <t>Net sales</t>
  </si>
  <si>
    <t>Cost of sales</t>
  </si>
  <si>
    <t>Gross profit</t>
  </si>
  <si>
    <t>Selling, marketing and administrative expense</t>
  </si>
  <si>
    <t>Long-lived asset impairment charges</t>
  </si>
  <si>
    <t>Business realignment costs</t>
  </si>
  <si>
    <t>Operating profit</t>
  </si>
  <si>
    <t>Interest expense, net</t>
  </si>
  <si>
    <t>Other (income) expense, net</t>
  </si>
  <si>
    <t>Income before income taxes</t>
  </si>
  <si>
    <t>Provision for income taxes</t>
  </si>
  <si>
    <t>Net income including noncontrolling interest</t>
  </si>
  <si>
    <t>Net income (loss) attributable to noncontrolling interests</t>
  </si>
  <si>
    <t>Net income attributable to The Hershey Company</t>
  </si>
  <si>
    <t>Net income per share—basic:</t>
  </si>
  <si>
    <t>Net income per share - basic (USD per share)</t>
  </si>
  <si>
    <t>Net income per share—diluted:</t>
  </si>
  <si>
    <t>Net income per share - diluted (USD per share)</t>
  </si>
  <si>
    <t>Dividends paid per share:</t>
  </si>
  <si>
    <t>Dividends paid per share (USD per share)</t>
  </si>
  <si>
    <t>CONSOLIDATED BALANCE SHEETS - USD ($) $ in Thousands</t>
  </si>
  <si>
    <t>Current assets:</t>
  </si>
  <si>
    <t>Cash and cash equivalents</t>
  </si>
  <si>
    <t>Accounts receivable—trade, net</t>
  </si>
  <si>
    <t>Inventories</t>
  </si>
  <si>
    <t>Prepaid expenses and other</t>
  </si>
  <si>
    <t>Total current assets</t>
  </si>
  <si>
    <t>Property, plant and equipment, net</t>
  </si>
  <si>
    <t>Goodwill</t>
  </si>
  <si>
    <t>Other intangibles</t>
  </si>
  <si>
    <t>Other assets</t>
  </si>
  <si>
    <t>Deferred income taxes</t>
  </si>
  <si>
    <t>Total assets</t>
  </si>
  <si>
    <t>Current liabilities:</t>
  </si>
  <si>
    <t>Accounts payable</t>
  </si>
  <si>
    <t>Accrued liabilities</t>
  </si>
  <si>
    <t>Accrued income taxes</t>
  </si>
  <si>
    <t>Short-term debt</t>
  </si>
  <si>
    <t>Current portion of long-term debt</t>
  </si>
  <si>
    <t>Total current liabilities</t>
  </si>
  <si>
    <t>Long-term debt</t>
  </si>
  <si>
    <t>Other long-term liabilities</t>
  </si>
  <si>
    <t>Total liabilities</t>
  </si>
  <si>
    <t>Stockholders’ equity:</t>
  </si>
  <si>
    <t>Additional paid-in capital</t>
  </si>
  <si>
    <t>Retained earnings</t>
  </si>
  <si>
    <t>Accumulated other comprehensive loss</t>
  </si>
  <si>
    <t>Total—The Hershey Company stockholders’ equity</t>
  </si>
  <si>
    <t>Noncontrolling interest in subsidiary</t>
  </si>
  <si>
    <t>Total stockholders’ equity</t>
  </si>
  <si>
    <t>Total liabilities and stockholders’ equity</t>
  </si>
  <si>
    <t>CONSOLIDATED STATEMENTS OF CASH FLOWS - USD ($) $ in Thousands</t>
  </si>
  <si>
    <t>Adjustments to reconcile net income to net cash provided by operating activities:</t>
  </si>
  <si>
    <t>Depreciation and amortization</t>
  </si>
  <si>
    <t>Stock-based compensation expense</t>
  </si>
  <si>
    <t>Write-down of equity investments</t>
  </si>
  <si>
    <t>Other</t>
  </si>
  <si>
    <t>Changes in assets and liabilities, net of business acquisitions and divestitures:</t>
  </si>
  <si>
    <t>Prepaid expenses and other current assets</t>
  </si>
  <si>
    <t>Accounts payable and accrued liabilities</t>
  </si>
  <si>
    <t>Contributions to pension and other benefit plans</t>
  </si>
  <si>
    <t>Other assets and liabilities</t>
  </si>
  <si>
    <t>Net cash provided by operating activities</t>
  </si>
  <si>
    <t>Investing Activities</t>
  </si>
  <si>
    <t>Capital additions (including software)</t>
  </si>
  <si>
    <t>Proceeds from sales of businesses, net of cash and cash equivalents divested</t>
  </si>
  <si>
    <t>Equity investments in tax credit qualifying partnerships</t>
  </si>
  <si>
    <t>Business acquisitions, net of cash and cash equivalents acquired</t>
  </si>
  <si>
    <t>Net cash used in investing activities</t>
  </si>
  <si>
    <t>Financing Activities</t>
  </si>
  <si>
    <t>Net increase (decrease) in short-term debt</t>
  </si>
  <si>
    <t>Long-term borrowings</t>
  </si>
  <si>
    <t>Repayment of long-term debt</t>
  </si>
  <si>
    <t>Repayment of tax receivable obligation</t>
  </si>
  <si>
    <t>Cash dividends paid</t>
  </si>
  <si>
    <t>Repurchase of common stock</t>
  </si>
  <si>
    <t>Exercise of stock options</t>
  </si>
  <si>
    <t>Net cash provided by (used in) financing activities</t>
  </si>
  <si>
    <t>Effect of exchange rate changes on cash and cash equivalents</t>
  </si>
  <si>
    <t>Increase (decrease) in cash and cash equivalents</t>
  </si>
  <si>
    <t>Cash and cash equivalents, beginning of period</t>
  </si>
  <si>
    <t>Cash and cash equivalents, end of period</t>
  </si>
  <si>
    <t>Supplemental Disclosure</t>
  </si>
  <si>
    <t>Interest paid</t>
  </si>
  <si>
    <t>Income taxes paid</t>
  </si>
  <si>
    <t>For the 12 months ending:</t>
  </si>
  <si>
    <t>Short-term investments</t>
  </si>
  <si>
    <t>Dec. 31, 2022</t>
  </si>
  <si>
    <t>Dec. 31, 2021</t>
  </si>
  <si>
    <t>Dec. 31, 2020</t>
  </si>
  <si>
    <t> </t>
  </si>
  <si>
    <t>Dec. 31, 2019</t>
  </si>
  <si>
    <t>Preferred stock, shares issued: none in 2022 and 2021</t>
  </si>
  <si>
    <t>Treasury—common stock shares, at cost</t>
  </si>
  <si>
    <t>Operating Activities</t>
  </si>
  <si>
    <t>Other investing activities</t>
  </si>
  <si>
    <t>Less: Decrease (increase) in cash and cash equivalents classified as held for sale</t>
  </si>
  <si>
    <t>=365/inventory turnover</t>
  </si>
  <si>
    <t>Days inventory on hand</t>
  </si>
  <si>
    <t>=365/receivables turnover</t>
  </si>
  <si>
    <t>Days sales outstanding</t>
  </si>
  <si>
    <t>COGS/inventory</t>
  </si>
  <si>
    <t>Inventory turnover</t>
  </si>
  <si>
    <t>Sales/AR</t>
  </si>
  <si>
    <t>Receivables turnover</t>
  </si>
  <si>
    <t>Sales/assets</t>
  </si>
  <si>
    <t>Asset turnover</t>
  </si>
  <si>
    <t>Efficiency/Activity</t>
  </si>
  <si>
    <t>(% change in operating profit)/(% change in sales)</t>
  </si>
  <si>
    <t>Operating Leverage</t>
  </si>
  <si>
    <t>EBIT/interest or EBITDA/interest</t>
  </si>
  <si>
    <t>Interest coverage</t>
  </si>
  <si>
    <t>Ops CF/capex</t>
  </si>
  <si>
    <t>Operating cash flow to capital expenditures</t>
  </si>
  <si>
    <t>Ops CF/total debt</t>
  </si>
  <si>
    <t>Operating cash flow to total debt</t>
  </si>
  <si>
    <t>Ops CF/total liabilities</t>
  </si>
  <si>
    <t>Operating cash flow to total liabilities</t>
  </si>
  <si>
    <t>Coverage</t>
  </si>
  <si>
    <t>(Current assets - current liabilities) / (total debt + equity)</t>
  </si>
  <si>
    <t>Working capital to total capital</t>
  </si>
  <si>
    <t>Total debt/(total debt + equity)</t>
  </si>
  <si>
    <t>Total debt to total capital</t>
  </si>
  <si>
    <t>Total liabilities/equity</t>
  </si>
  <si>
    <t>Liabilities to Equity</t>
  </si>
  <si>
    <t>(Long-term debt)/(Long-term debt + equity)</t>
  </si>
  <si>
    <t>Long-term debt ratio</t>
  </si>
  <si>
    <t>TD/equity</t>
  </si>
  <si>
    <t>Total debt to Equity</t>
  </si>
  <si>
    <t>assets/common equity</t>
  </si>
  <si>
    <t>Capital Structure Leverage</t>
  </si>
  <si>
    <t>Financial leverage</t>
  </si>
  <si>
    <t>(Cash + marketable securities + receivables)/current liabilities</t>
  </si>
  <si>
    <t>Quick Ratio</t>
  </si>
  <si>
    <t>Current assets/current liabilities</t>
  </si>
  <si>
    <t>Current Ratio</t>
  </si>
  <si>
    <t>Liquidity</t>
  </si>
  <si>
    <t>Net income/equity</t>
  </si>
  <si>
    <t>ROE</t>
  </si>
  <si>
    <t>(Net profit margin for ROA)(asset turnover) which is also [EBIT(1-t)/assets]</t>
  </si>
  <si>
    <t>ROA</t>
  </si>
  <si>
    <t>Net income/sales</t>
  </si>
  <si>
    <t>Net profit margin</t>
  </si>
  <si>
    <t>EBITDA / sales</t>
  </si>
  <si>
    <t>EBITDA margin</t>
  </si>
  <si>
    <t>EBIT/sales or EBT/sales</t>
  </si>
  <si>
    <t>Pre-tax operating profit margin</t>
  </si>
  <si>
    <t>gross profit/sales</t>
  </si>
  <si>
    <t>Gross margin</t>
  </si>
  <si>
    <t>Formula</t>
  </si>
  <si>
    <t>Profitability</t>
  </si>
  <si>
    <t>Hershey Ratio Analysis</t>
  </si>
  <si>
    <t>COMMON SIZE STATEMENTS OF INCOME - USD ($) $ in Thousands</t>
  </si>
  <si>
    <t>PERCENT CHANGE STATEMENTS OF INCOME - USD ($) $ in Thousands</t>
  </si>
  <si>
    <t>PERCENT CHANGE BALANCE SHEETS - USD ($) $ in Thousands</t>
  </si>
  <si>
    <t>COMMON SIZE BALANCE SHEETS - USD ($) $ in Thousands</t>
  </si>
  <si>
    <t>Impairment of long-lived and intangible assets</t>
  </si>
  <si>
    <t>Proceeds from sales of PP&amp;E and other long-lived assets</t>
  </si>
  <si>
    <t xml:space="preserve">Increase (decrease) in cash and cash equivalents, including cash classified as held for sale	</t>
  </si>
  <si>
    <t>COMMON SIZE STATEMENTS OF CASH FLOWS, AS % OF TOTAL REVENUE</t>
  </si>
  <si>
    <t>PERCENT CHANGE STATEMENTS OF CASH FLOWS - USD ($) $ in Thousands</t>
  </si>
  <si>
    <t>Net Sales</t>
  </si>
  <si>
    <t>Notes:</t>
  </si>
  <si>
    <t>North America Total</t>
  </si>
  <si>
    <t>Total</t>
  </si>
  <si>
    <t>Net Sales Growth</t>
  </si>
  <si>
    <t>Price Change</t>
  </si>
  <si>
    <t>Volume Change</t>
  </si>
  <si>
    <t>very modest volume growth</t>
  </si>
  <si>
    <t>Acquisition /Divestiture Effects</t>
  </si>
  <si>
    <t>Foreign Currency Tranlation</t>
  </si>
  <si>
    <t>Assume zero net effect long-term</t>
  </si>
  <si>
    <t>Guided to 1%-3% for 2019</t>
  </si>
  <si>
    <t>International</t>
  </si>
  <si>
    <t>Total Company</t>
  </si>
  <si>
    <t>Dec. 31, 2023</t>
  </si>
  <si>
    <t>Beginning Gross PP&amp;E</t>
  </si>
  <si>
    <t>prior year balance</t>
  </si>
  <si>
    <t>+ Capex</t>
  </si>
  <si>
    <t>Capex guidance of $330M - $350M in 2019 or ~4% of revenue</t>
  </si>
  <si>
    <t>= Ending Gross PP&amp;E</t>
  </si>
  <si>
    <t>sum</t>
  </si>
  <si>
    <t>Beginning Accum Depreciation</t>
  </si>
  <si>
    <t>- Depreciation expense</t>
  </si>
  <si>
    <t>% of gross PP&amp;E</t>
  </si>
  <si>
    <t>= Ending Accum Depreciation</t>
  </si>
  <si>
    <t>Capex</t>
  </si>
  <si>
    <t>Depreciation expense</t>
  </si>
  <si>
    <t>% of gross PP&amp;E, trend / estimate</t>
  </si>
  <si>
    <t>Debt</t>
  </si>
  <si>
    <t>Estimated paydown until revert to historical levels</t>
  </si>
  <si>
    <t>Keep in long-term debt</t>
  </si>
  <si>
    <t>Total Debt</t>
  </si>
  <si>
    <t>Paydown modestly over next two years, then constant</t>
  </si>
  <si>
    <t>Net Debt to EBITDA</t>
  </si>
  <si>
    <t>Debt mix</t>
  </si>
  <si>
    <t>Retained Earnings</t>
  </si>
  <si>
    <t>Beginning Retained Earnings</t>
  </si>
  <si>
    <t>+ Net Income</t>
  </si>
  <si>
    <t>- Dividends</t>
  </si>
  <si>
    <t>+ Reclassification of tax effects relating to U.S. tax reform</t>
  </si>
  <si>
    <t>non-recurring</t>
  </si>
  <si>
    <t>= Ending Retained Earnings</t>
  </si>
  <si>
    <t>Dividend payout ratio / net income</t>
  </si>
  <si>
    <t>dividends will increase incrementally</t>
  </si>
  <si>
    <t>North America Confectionary</t>
  </si>
  <si>
    <t>North America Salty Snacks</t>
  </si>
  <si>
    <t>Net Change in NA Confectionary Sales</t>
  </si>
  <si>
    <t>IMF Inflation Forecasts, average consumer prices</t>
  </si>
  <si>
    <t>Net Change in Sales</t>
  </si>
  <si>
    <t>North America</t>
  </si>
  <si>
    <t>Advanced Economies</t>
  </si>
  <si>
    <t>Emerging market and developing economies</t>
  </si>
  <si>
    <t>World</t>
  </si>
  <si>
    <t>calc</t>
  </si>
  <si>
    <t>Guided by IMF inflation forecast</t>
  </si>
  <si>
    <t>Too speculative to predict</t>
  </si>
  <si>
    <t>North Salty Snacks</t>
  </si>
  <si>
    <t>price realization temporarily better due to improved mix</t>
  </si>
  <si>
    <t xml:space="preserve">average of expected inflation in advanced and emerging economies </t>
  </si>
  <si>
    <t>ASSUMPTIONS</t>
  </si>
  <si>
    <t/>
  </si>
  <si>
    <t>Notes</t>
  </si>
  <si>
    <t>See Revenue Model</t>
  </si>
  <si>
    <t>% of sales</t>
  </si>
  <si>
    <t>% of debt</t>
  </si>
  <si>
    <t>% of pretax income</t>
  </si>
  <si>
    <t>Trend to 0</t>
  </si>
  <si>
    <t>Expect improvement following higher supply chain inflation costs</t>
  </si>
  <si>
    <t>sustined efficiencies from business realigment</t>
  </si>
  <si>
    <t>trend</t>
  </si>
  <si>
    <t>$94m of deferred taxes associated with Amplify acquisition</t>
  </si>
  <si>
    <t>Repurchases</t>
  </si>
  <si>
    <t>Shares repurchased</t>
  </si>
  <si>
    <t>Average repurchase price</t>
  </si>
  <si>
    <t>appreciates at cost of equity</t>
  </si>
  <si>
    <t>Dec. 31, 2024</t>
  </si>
  <si>
    <t>Dec. 31, 2025</t>
  </si>
  <si>
    <t>Dec. 31, 2026</t>
  </si>
  <si>
    <t>Dec. 31, 2027</t>
  </si>
  <si>
    <t>PLUG</t>
  </si>
  <si>
    <t>% of cost of sales</t>
  </si>
  <si>
    <t>% operating expenses</t>
  </si>
  <si>
    <t>See Schedule</t>
  </si>
  <si>
    <t>Constant. Assumes no additional acqusitions</t>
  </si>
  <si>
    <t>% of tax expense</t>
  </si>
  <si>
    <t>See Schedules</t>
  </si>
  <si>
    <t>Constant</t>
  </si>
  <si>
    <t>Accrue repurchases</t>
  </si>
  <si>
    <t xml:space="preserve">Remaining disposed in 2019 </t>
  </si>
  <si>
    <t>% of revenue; guidance of ~8% in 2023, ~4% long-term</t>
  </si>
  <si>
    <t xml:space="preserve">Revenue growth guidance </t>
  </si>
  <si>
    <t>6-8%</t>
  </si>
  <si>
    <t>3-4%</t>
  </si>
  <si>
    <t>2-4%</t>
  </si>
  <si>
    <t>Investor Day presentation</t>
  </si>
  <si>
    <t>source: IMF</t>
  </si>
  <si>
    <t xml:space="preserve"> Fixed income security data provided by</t>
  </si>
  <si>
    <t>Book Entry</t>
  </si>
  <si>
    <t>30/360</t>
  </si>
  <si>
    <t>Semi-Annual</t>
  </si>
  <si>
    <t>Fixed</t>
  </si>
  <si>
    <t>False</t>
  </si>
  <si>
    <t>USD</t>
  </si>
  <si>
    <t>-</t>
  </si>
  <si>
    <t>New Rating</t>
  </si>
  <si>
    <t>A</t>
  </si>
  <si>
    <t>Senior Unsecured</t>
  </si>
  <si>
    <t>The Hershey Company (NYSE:HSY)</t>
  </si>
  <si>
    <t>Corporate Debentures</t>
  </si>
  <si>
    <t>NM</t>
  </si>
  <si>
    <t>Downgrade</t>
  </si>
  <si>
    <t>Call Price</t>
  </si>
  <si>
    <t>Next Call Date</t>
  </si>
  <si>
    <t>Last Coupon Date</t>
  </si>
  <si>
    <t>First Coupon Date</t>
  </si>
  <si>
    <t>Dated Date</t>
  </si>
  <si>
    <t>Offering Yield</t>
  </si>
  <si>
    <t>Offering Price</t>
  </si>
  <si>
    <t>Ownership</t>
  </si>
  <si>
    <t>Coupon Day Count Basis</t>
  </si>
  <si>
    <t>Interest Frequency</t>
  </si>
  <si>
    <t>Coupon Type</t>
  </si>
  <si>
    <t>Private Placement</t>
  </si>
  <si>
    <t>Issued Currency</t>
  </si>
  <si>
    <t>S&amp;P CreditWatch/Outlook</t>
  </si>
  <si>
    <t>S&amp;P Action</t>
  </si>
  <si>
    <t>S&amp;P Rating Date</t>
  </si>
  <si>
    <t>S&amp;P Rating</t>
  </si>
  <si>
    <t>Current YTW</t>
  </si>
  <si>
    <t>Current Price</t>
  </si>
  <si>
    <t>Amt. Outstdg. ($mm)</t>
  </si>
  <si>
    <t>Offering Amt. ($mm)</t>
  </si>
  <si>
    <t>Offer Date</t>
  </si>
  <si>
    <t>Capital IQ Trading ID</t>
  </si>
  <si>
    <t>Coupon</t>
  </si>
  <si>
    <t>Seniority</t>
  </si>
  <si>
    <t>Ultimate Parent</t>
  </si>
  <si>
    <t>Security Type</t>
  </si>
  <si>
    <t>Issuer</t>
  </si>
  <si>
    <t>Maturity Date</t>
  </si>
  <si>
    <t>Securities Summary</t>
  </si>
  <si>
    <t>Includes: Subsidaries, Rule 144A, Regulation S</t>
  </si>
  <si>
    <t>Report Criteria</t>
  </si>
  <si>
    <t>The Hershey Company (NYSE:HSY) &gt; Fixed Income &gt; Securities Summary</t>
  </si>
  <si>
    <t>2027+</t>
  </si>
  <si>
    <t>Amount</t>
  </si>
  <si>
    <t>Avg. Yield 2023</t>
  </si>
  <si>
    <t>% of debt, see debt calculations</t>
  </si>
  <si>
    <t>Volatile; LT average (see image to right)</t>
  </si>
  <si>
    <t>Assume will trend up over time</t>
  </si>
  <si>
    <t>divested Lotte Shanghai Foods Co., taken out of operation in 2018</t>
  </si>
  <si>
    <t>Amortize according to schedule in 10-K (p. 64). Assumes no additional acqusitions</t>
  </si>
  <si>
    <t>Amortization schedule from 10-K</t>
  </si>
  <si>
    <t>$370m in approvals remaining</t>
  </si>
  <si>
    <t>Net Income</t>
  </si>
  <si>
    <t>Dividends</t>
  </si>
  <si>
    <t>Change in cash</t>
  </si>
  <si>
    <t>Beginning cash</t>
  </si>
  <si>
    <t>Ending cash</t>
  </si>
  <si>
    <t>Add back dividends and repurchases</t>
  </si>
  <si>
    <t>Balance sheet check</t>
  </si>
  <si>
    <t>Will refinance maturing debt with new debt; partially fund capex each year</t>
  </si>
  <si>
    <t>Guidance: Net leverage ratio target of 1.5-2.0</t>
  </si>
  <si>
    <t>Free Cash Flows to Equity (FCFE)</t>
  </si>
  <si>
    <t>Company name</t>
  </si>
  <si>
    <t>Company ticker</t>
  </si>
  <si>
    <t>Price = est FCFE/(ke-g)</t>
  </si>
  <si>
    <t>Price = E*(1+g)/(ke-g)</t>
  </si>
  <si>
    <t>Cost of Equity</t>
  </si>
  <si>
    <t>P/E = (1+g)/(ke-g)</t>
  </si>
  <si>
    <t>ke = (1+g)/(P/E) + g</t>
  </si>
  <si>
    <t>S&amp;P 500 data</t>
  </si>
  <si>
    <t>Reference</t>
  </si>
  <si>
    <t>S&amp;P500 Forward P/E</t>
  </si>
  <si>
    <t>1-Year Forward P/E for S&amp;P</t>
  </si>
  <si>
    <r>
      <t xml:space="preserve">Projected EPS growth rate (g </t>
    </r>
    <r>
      <rPr>
        <vertAlign val="subscript"/>
        <sz val="11"/>
        <rFont val="Calibri (Body)"/>
      </rPr>
      <t>S&amp;P</t>
    </r>
    <r>
      <rPr>
        <sz val="11"/>
        <rFont val="Calibri"/>
        <family val="2"/>
        <scheme val="minor"/>
      </rPr>
      <t>)</t>
    </r>
  </si>
  <si>
    <t>5-Year Projected Earnings Growth Rate for S&amp;P</t>
  </si>
  <si>
    <r>
      <t>Risk-free rate (R</t>
    </r>
    <r>
      <rPr>
        <vertAlign val="subscript"/>
        <sz val="11"/>
        <rFont val="Calibri (Body)"/>
      </rPr>
      <t>f</t>
    </r>
    <r>
      <rPr>
        <sz val="11"/>
        <rFont val="Calibri"/>
        <family val="2"/>
        <scheme val="minor"/>
      </rPr>
      <t>)</t>
    </r>
  </si>
  <si>
    <t>10 yr T-Note</t>
  </si>
  <si>
    <r>
      <t>Implied required return on equity (R</t>
    </r>
    <r>
      <rPr>
        <vertAlign val="subscript"/>
        <sz val="11"/>
        <rFont val="Calibri (Body)"/>
      </rPr>
      <t>s&amp;p</t>
    </r>
    <r>
      <rPr>
        <vertAlign val="subscript"/>
        <sz val="11"/>
        <rFont val="Calibri"/>
        <family val="2"/>
        <scheme val="minor"/>
      </rPr>
      <t>500</t>
    </r>
    <r>
      <rPr>
        <sz val="11"/>
        <rFont val="Calibri"/>
        <family val="2"/>
        <scheme val="minor"/>
      </rPr>
      <t>)</t>
    </r>
  </si>
  <si>
    <r>
      <t>{ (1+ g</t>
    </r>
    <r>
      <rPr>
        <vertAlign val="subscript"/>
        <sz val="11"/>
        <rFont val="Calibri (Body)"/>
      </rPr>
      <t>s&amp;p500</t>
    </r>
    <r>
      <rPr>
        <sz val="11"/>
        <rFont val="Calibri"/>
        <family val="2"/>
        <scheme val="minor"/>
      </rPr>
      <t xml:space="preserve"> ) / (P/E</t>
    </r>
    <r>
      <rPr>
        <vertAlign val="subscript"/>
        <sz val="11"/>
        <rFont val="Calibri (Body)"/>
      </rPr>
      <t>s&amp;p500</t>
    </r>
    <r>
      <rPr>
        <sz val="11"/>
        <rFont val="Calibri"/>
        <family val="2"/>
        <scheme val="minor"/>
      </rPr>
      <t>) } + g</t>
    </r>
    <r>
      <rPr>
        <vertAlign val="subscript"/>
        <sz val="11"/>
        <rFont val="Calibri (Body)"/>
      </rPr>
      <t>s&amp;p500</t>
    </r>
  </si>
  <si>
    <r>
      <t>Implied equity risk premium (R</t>
    </r>
    <r>
      <rPr>
        <vertAlign val="subscript"/>
        <sz val="11"/>
        <rFont val="Calibri (Body)"/>
      </rPr>
      <t>m</t>
    </r>
    <r>
      <rPr>
        <sz val="11"/>
        <rFont val="Calibri"/>
        <family val="2"/>
        <scheme val="minor"/>
      </rPr>
      <t>)</t>
    </r>
  </si>
  <si>
    <r>
      <t>R</t>
    </r>
    <r>
      <rPr>
        <vertAlign val="subscript"/>
        <sz val="11"/>
        <rFont val="Calibri (Body)"/>
      </rPr>
      <t>s&amp;p500</t>
    </r>
    <r>
      <rPr>
        <sz val="11"/>
        <rFont val="Calibri"/>
        <family val="2"/>
        <scheme val="minor"/>
      </rPr>
      <t>-R</t>
    </r>
    <r>
      <rPr>
        <vertAlign val="subscript"/>
        <sz val="11"/>
        <rFont val="Calibri (Body)"/>
      </rPr>
      <t>m</t>
    </r>
  </si>
  <si>
    <t>Forward Beta calculation:</t>
  </si>
  <si>
    <t>Apple data</t>
  </si>
  <si>
    <t>Current Price (P)</t>
  </si>
  <si>
    <t>Forward EPS (E)</t>
  </si>
  <si>
    <t>P/E ratio</t>
  </si>
  <si>
    <t>Projected EPS growth rate (g)</t>
  </si>
  <si>
    <t>5yr growth rate, Next 5 years per annum</t>
  </si>
  <si>
    <t>Implied required return on equity (Re)</t>
  </si>
  <si>
    <t>{ (1+g) / (P/E) } +g</t>
  </si>
  <si>
    <t>Beta</t>
  </si>
  <si>
    <t>Forward (Bf)</t>
  </si>
  <si>
    <t>(Re-Rf)/Rm</t>
  </si>
  <si>
    <t>Historic (Bh)</t>
  </si>
  <si>
    <t>Cost of Equity:</t>
  </si>
  <si>
    <t>Historic equity risk premium</t>
  </si>
  <si>
    <t>Using Forward Beta</t>
  </si>
  <si>
    <t>Rf+Rm*Bf</t>
  </si>
  <si>
    <t>Using Historic Beta</t>
  </si>
  <si>
    <t>Rf+Rm*Bh</t>
  </si>
  <si>
    <t>Weighted COE</t>
  </si>
  <si>
    <t>Market COE (beta = 1)</t>
  </si>
  <si>
    <t>Assumes beta of 1.0</t>
  </si>
  <si>
    <t>Hershey Co</t>
  </si>
  <si>
    <t>HSY</t>
  </si>
  <si>
    <t xml:space="preserve">Based on long-term, historic, average risk premium </t>
  </si>
  <si>
    <t>5Y monthly beta</t>
  </si>
  <si>
    <t>FY24</t>
  </si>
  <si>
    <t>Calcualtion</t>
  </si>
  <si>
    <t>Share count</t>
  </si>
  <si>
    <t>Today</t>
  </si>
  <si>
    <t>Number of Shares:</t>
  </si>
  <si>
    <t>One year</t>
  </si>
  <si>
    <t>Two year</t>
  </si>
  <si>
    <t>Actual Price:</t>
  </si>
  <si>
    <t>Thomson Mean Price Target</t>
  </si>
  <si>
    <t>12 month</t>
  </si>
  <si>
    <t>Model Valuation:</t>
  </si>
  <si>
    <t>Price Appreciation</t>
  </si>
  <si>
    <t>Model 12 Month Price Target:</t>
  </si>
  <si>
    <t>Price Appreciation / current beta</t>
  </si>
  <si>
    <t>Model Current Valuation with Sensitivity of Ke</t>
  </si>
  <si>
    <t>Time period (years)</t>
  </si>
  <si>
    <t>Nominal FCFE:</t>
  </si>
  <si>
    <t>PV FCFE:</t>
  </si>
  <si>
    <t>Terminal Growth Rate</t>
  </si>
  <si>
    <t>Terminal Value in 2027</t>
  </si>
  <si>
    <t>&lt;== Implied terminal value / net income (or P/E) multiple for terminal value</t>
  </si>
  <si>
    <t>PV of Terminal Value</t>
  </si>
  <si>
    <t>Total PV:</t>
  </si>
  <si>
    <t>Valuation per Share ($):</t>
  </si>
  <si>
    <t>Growth step-up/down</t>
  </si>
  <si>
    <t>Ke step-up/down</t>
  </si>
  <si>
    <t>Cost Of Equity Ke</t>
  </si>
  <si>
    <t>Model 12 Month Price Target with Sensitivity of Ke</t>
  </si>
  <si>
    <t>Time period</t>
  </si>
  <si>
    <t>Hershey Valuation</t>
  </si>
  <si>
    <t>Hershey Co [HSY]</t>
  </si>
  <si>
    <t>Best Case</t>
  </si>
  <si>
    <t>Base Case</t>
  </si>
  <si>
    <t>Worst Case</t>
  </si>
  <si>
    <t>Case Selected</t>
  </si>
  <si>
    <t xml:space="preserve">1 Best </t>
  </si>
  <si>
    <t>2 Base</t>
  </si>
  <si>
    <t>3 Worst</t>
  </si>
  <si>
    <t>NA Confectionary Sales</t>
  </si>
  <si>
    <t>NA Salty Snacks Sales</t>
  </si>
  <si>
    <t>International Sales</t>
  </si>
  <si>
    <t>Valuation Price</t>
  </si>
  <si>
    <t>12 Month Valuation Price</t>
  </si>
  <si>
    <t>Valuation Appreciation</t>
  </si>
  <si>
    <t>12 Month Valuation Appreciation</t>
  </si>
  <si>
    <t>Cost of Sales</t>
  </si>
  <si>
    <t>Selling, Marketing &amp; Advertising Exp</t>
  </si>
  <si>
    <t>@Risk Monte Carlo Simulation on Base case</t>
  </si>
  <si>
    <t>Aman Sharma</t>
  </si>
  <si>
    <t>Siddhesh Gore</t>
  </si>
  <si>
    <t>119256503</t>
  </si>
  <si>
    <t>119370346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</si>
</sst>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 &quot;#,##0_);_(&quot;$ &quot;\(#,##0\)"/>
    <numFmt numFmtId="165" formatCode="_(&quot;$ &quot;#,##0.00_);_(&quot;$ &quot;\(#,##0.00\)"/>
    <numFmt numFmtId="166" formatCode="#,##0.000_);\(#,##0.000\)"/>
    <numFmt numFmtId="167" formatCode="_(&quot;$ &quot;#,##0.000_);_(&quot;$ &quot;\(#,##0.000\)"/>
    <numFmt numFmtId="168" formatCode="0.0%"/>
    <numFmt numFmtId="169" formatCode="#,##0.0_);\(#,##0.0\)"/>
    <numFmt numFmtId="170" formatCode="&quot;$&quot;#,##0"/>
    <numFmt numFmtId="171" formatCode="0.00\x"/>
    <numFmt numFmtId="172" formatCode="&quot;$&quot;#,##0.0"/>
    <numFmt numFmtId="173" formatCode="&quot;$&quot;#,##0.00"/>
    <numFmt numFmtId="174" formatCode="_(* #,##0_);_(* \(#,##0\);_(* &quot;-&quot;??_);_(@_)"/>
    <numFmt numFmtId="175" formatCode="_(\ #,##0.0#_);_(\(\ #,##0.0#\)_);_(\ &quot; - &quot;_)"/>
    <numFmt numFmtId="176" formatCode="mmm\-dd\-yyyy"/>
    <numFmt numFmtId="177" formatCode="_(\ #,##0.0##_);_(\ \(#,##0.0##\)_);_(\ &quot; - &quot;_)"/>
    <numFmt numFmtId="178" formatCode="0.000%"/>
    <numFmt numFmtId="179" formatCode="0.0\x"/>
    <numFmt numFmtId="180" formatCode="m/d/yy;@"/>
  </numFmts>
  <fonts count="5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0"/>
      <name val="Calibri (Body)"/>
    </font>
    <font>
      <sz val="11"/>
      <color theme="0"/>
      <name val="Calibri (Body)"/>
    </font>
    <font>
      <sz val="12"/>
      <color theme="0"/>
      <name val="Calibri (Body)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4"/>
      <color theme="0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432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sz val="11"/>
      <color indexed="0"/>
      <name val="Calibri"/>
      <family val="2"/>
      <scheme val="minor"/>
    </font>
    <font>
      <sz val="11"/>
      <color rgb="FF0432FF"/>
      <name val="Calibri"/>
      <family val="2"/>
    </font>
    <font>
      <sz val="9"/>
      <color theme="1"/>
      <name val="Helvetica"/>
      <family val="2"/>
    </font>
    <font>
      <b/>
      <i/>
      <sz val="11"/>
      <color rgb="FF00B050"/>
      <name val="Calibri"/>
      <family val="2"/>
      <scheme val="minor"/>
    </font>
    <font>
      <sz val="1"/>
      <color indexed="9"/>
      <name val="Symbol"/>
      <family val="1"/>
      <charset val="2"/>
    </font>
    <font>
      <sz val="11"/>
      <name val="Arial"/>
      <family val="2"/>
    </font>
    <font>
      <b/>
      <sz val="11"/>
      <color indexed="8"/>
      <name val="Verdana"/>
      <family val="2"/>
    </font>
    <font>
      <b/>
      <sz val="11"/>
      <color indexed="9"/>
      <name val="Verdana"/>
      <family val="2"/>
    </font>
    <font>
      <sz val="11"/>
      <color indexed="9"/>
      <name val="Symbol"/>
      <family val="1"/>
      <charset val="2"/>
    </font>
    <font>
      <b/>
      <u val="singleAccounting"/>
      <sz val="11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Times New Roman"/>
      <family val="1"/>
    </font>
    <font>
      <b/>
      <sz val="11"/>
      <color rgb="FF0432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indexed="48"/>
      <name val="Calibri"/>
      <family val="2"/>
      <scheme val="minor"/>
    </font>
    <font>
      <vertAlign val="subscript"/>
      <sz val="11"/>
      <name val="Calibri (Body)"/>
    </font>
    <font>
      <vertAlign val="subscript"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0080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1" fillId="0" borderId="0" applyProtection="0"/>
    <xf numFmtId="9" fontId="11" fillId="0" borderId="0" applyFont="0" applyFill="0" applyBorder="0" applyAlignment="0" applyProtection="0"/>
    <xf numFmtId="0" fontId="11" fillId="0" borderId="0" applyProtection="0"/>
    <xf numFmtId="0" fontId="2" fillId="0" borderId="0"/>
    <xf numFmtId="9" fontId="2" fillId="0" borderId="0" applyFont="0" applyFill="0" applyBorder="0" applyAlignment="0" applyProtection="0"/>
    <xf numFmtId="0" fontId="11" fillId="0" borderId="0"/>
    <xf numFmtId="0" fontId="30" fillId="0" borderId="0" applyAlignment="0"/>
    <xf numFmtId="0" fontId="56" fillId="0" borderId="0" applyNumberFormat="0" applyFill="0" applyBorder="0" applyAlignment="0" applyProtection="0"/>
  </cellStyleXfs>
  <cellXfs count="435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37" fontId="5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39" fontId="5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0" fontId="5" fillId="0" borderId="1" xfId="0" applyFont="1" applyBorder="1" applyAlignment="1">
      <alignment vertical="top" wrapText="1"/>
    </xf>
    <xf numFmtId="37" fontId="5" fillId="0" borderId="1" xfId="0" applyNumberFormat="1" applyFont="1" applyBorder="1" applyAlignment="1">
      <alignment horizontal="right" vertical="top"/>
    </xf>
    <xf numFmtId="0" fontId="5" fillId="0" borderId="2" xfId="0" applyFont="1" applyBorder="1" applyAlignment="1">
      <alignment vertical="top" wrapText="1"/>
    </xf>
    <xf numFmtId="37" fontId="5" fillId="0" borderId="2" xfId="0" applyNumberFormat="1" applyFont="1" applyBorder="1" applyAlignment="1">
      <alignment horizontal="right" vertical="top"/>
    </xf>
    <xf numFmtId="0" fontId="5" fillId="0" borderId="3" xfId="0" applyFont="1" applyBorder="1" applyAlignment="1">
      <alignment vertical="top" wrapText="1"/>
    </xf>
    <xf numFmtId="37" fontId="5" fillId="0" borderId="3" xfId="0" applyNumberFormat="1" applyFont="1" applyBorder="1" applyAlignment="1">
      <alignment horizontal="right" vertical="top"/>
    </xf>
    <xf numFmtId="164" fontId="5" fillId="0" borderId="2" xfId="0" applyNumberFormat="1" applyFont="1" applyBorder="1" applyAlignment="1">
      <alignment horizontal="right" vertical="top"/>
    </xf>
    <xf numFmtId="0" fontId="8" fillId="2" borderId="0" xfId="0" applyFont="1" applyFill="1"/>
    <xf numFmtId="0" fontId="3" fillId="0" borderId="0" xfId="0" applyFont="1"/>
    <xf numFmtId="0" fontId="5" fillId="0" borderId="0" xfId="0" applyFont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1"/>
    </xf>
    <xf numFmtId="0" fontId="5" fillId="0" borderId="0" xfId="0" applyFont="1" applyAlignment="1">
      <alignment horizontal="left" vertical="top" wrapText="1" indent="2"/>
    </xf>
    <xf numFmtId="0" fontId="5" fillId="0" borderId="1" xfId="0" applyFont="1" applyBorder="1" applyAlignment="1">
      <alignment horizontal="left" vertical="top" wrapText="1" indent="2"/>
    </xf>
    <xf numFmtId="0" fontId="5" fillId="0" borderId="2" xfId="0" applyFont="1" applyBorder="1" applyAlignment="1">
      <alignment horizontal="left" vertical="top" wrapText="1" indent="2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1" fillId="0" borderId="0" xfId="3"/>
    <xf numFmtId="168" fontId="0" fillId="0" borderId="0" xfId="4" applyNumberFormat="1" applyFont="1"/>
    <xf numFmtId="2" fontId="11" fillId="0" borderId="0" xfId="3" applyNumberFormat="1"/>
    <xf numFmtId="0" fontId="11" fillId="0" borderId="0" xfId="3" quotePrefix="1"/>
    <xf numFmtId="0" fontId="11" fillId="0" borderId="4" xfId="3" quotePrefix="1" applyBorder="1"/>
    <xf numFmtId="2" fontId="11" fillId="0" borderId="5" xfId="3" applyNumberFormat="1" applyBorder="1"/>
    <xf numFmtId="0" fontId="11" fillId="0" borderId="6" xfId="3" applyBorder="1"/>
    <xf numFmtId="0" fontId="11" fillId="0" borderId="7" xfId="3" quotePrefix="1" applyBorder="1"/>
    <xf numFmtId="0" fontId="11" fillId="0" borderId="8" xfId="3" applyBorder="1"/>
    <xf numFmtId="0" fontId="11" fillId="0" borderId="7" xfId="3" applyBorder="1"/>
    <xf numFmtId="0" fontId="12" fillId="3" borderId="7" xfId="5" applyFont="1" applyFill="1" applyBorder="1"/>
    <xf numFmtId="0" fontId="13" fillId="3" borderId="0" xfId="5" applyFont="1" applyFill="1"/>
    <xf numFmtId="0" fontId="12" fillId="3" borderId="0" xfId="5" applyFont="1" applyFill="1"/>
    <xf numFmtId="0" fontId="12" fillId="3" borderId="8" xfId="5" applyFont="1" applyFill="1" applyBorder="1"/>
    <xf numFmtId="2" fontId="11" fillId="0" borderId="0" xfId="3" applyNumberFormat="1" applyAlignment="1">
      <alignment horizontal="right"/>
    </xf>
    <xf numFmtId="0" fontId="0" fillId="0" borderId="7" xfId="5" applyFont="1" applyBorder="1" applyAlignment="1">
      <alignment horizontal="left"/>
    </xf>
    <xf numFmtId="0" fontId="0" fillId="0" borderId="8" xfId="5" applyFont="1" applyBorder="1"/>
    <xf numFmtId="0" fontId="11" fillId="0" borderId="7" xfId="5" applyBorder="1"/>
    <xf numFmtId="0" fontId="11" fillId="0" borderId="8" xfId="5" applyBorder="1"/>
    <xf numFmtId="43" fontId="11" fillId="0" borderId="0" xfId="1" applyFont="1"/>
    <xf numFmtId="168" fontId="11" fillId="0" borderId="0" xfId="2" applyNumberFormat="1" applyFont="1"/>
    <xf numFmtId="168" fontId="16" fillId="0" borderId="0" xfId="2" applyNumberFormat="1" applyFont="1"/>
    <xf numFmtId="2" fontId="17" fillId="0" borderId="0" xfId="5" applyNumberFormat="1" applyFont="1"/>
    <xf numFmtId="168" fontId="5" fillId="0" borderId="0" xfId="2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168" fontId="5" fillId="0" borderId="3" xfId="0" applyNumberFormat="1" applyFont="1" applyBorder="1" applyAlignment="1">
      <alignment horizontal="right" vertical="top"/>
    </xf>
    <xf numFmtId="168" fontId="5" fillId="0" borderId="2" xfId="0" applyNumberFormat="1" applyFont="1" applyBorder="1" applyAlignment="1">
      <alignment horizontal="right" vertical="top"/>
    </xf>
    <xf numFmtId="168" fontId="5" fillId="0" borderId="3" xfId="2" applyNumberFormat="1" applyFont="1" applyBorder="1" applyAlignment="1">
      <alignment horizontal="right" vertical="top"/>
    </xf>
    <xf numFmtId="168" fontId="5" fillId="0" borderId="2" xfId="2" applyNumberFormat="1" applyFont="1" applyBorder="1" applyAlignment="1">
      <alignment horizontal="right" vertical="top"/>
    </xf>
    <xf numFmtId="168" fontId="0" fillId="0" borderId="0" xfId="2" applyNumberFormat="1" applyFont="1"/>
    <xf numFmtId="168" fontId="5" fillId="0" borderId="1" xfId="2" applyNumberFormat="1" applyFont="1" applyBorder="1" applyAlignment="1">
      <alignment horizontal="right" vertical="top"/>
    </xf>
    <xf numFmtId="169" fontId="5" fillId="0" borderId="0" xfId="0" applyNumberFormat="1" applyFont="1" applyAlignment="1">
      <alignment horizontal="right" vertical="top"/>
    </xf>
    <xf numFmtId="169" fontId="0" fillId="0" borderId="0" xfId="0" applyNumberFormat="1"/>
    <xf numFmtId="169" fontId="5" fillId="0" borderId="1" xfId="0" applyNumberFormat="1" applyFont="1" applyBorder="1" applyAlignment="1">
      <alignment horizontal="right" vertical="top"/>
    </xf>
    <xf numFmtId="169" fontId="5" fillId="0" borderId="2" xfId="0" applyNumberFormat="1" applyFont="1" applyBorder="1" applyAlignment="1">
      <alignment horizontal="right" vertical="top"/>
    </xf>
    <xf numFmtId="168" fontId="11" fillId="0" borderId="5" xfId="2" applyNumberFormat="1" applyFont="1" applyBorder="1"/>
    <xf numFmtId="2" fontId="17" fillId="0" borderId="0" xfId="3" applyNumberFormat="1" applyFont="1"/>
    <xf numFmtId="0" fontId="15" fillId="4" borderId="11" xfId="3" applyFont="1" applyFill="1" applyBorder="1"/>
    <xf numFmtId="0" fontId="14" fillId="4" borderId="10" xfId="3" applyFont="1" applyFill="1" applyBorder="1"/>
    <xf numFmtId="0" fontId="14" fillId="4" borderId="9" xfId="3" applyFont="1" applyFill="1" applyBorder="1"/>
    <xf numFmtId="0" fontId="6" fillId="4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7" fillId="4" borderId="0" xfId="0" applyFont="1" applyFill="1"/>
    <xf numFmtId="0" fontId="7" fillId="4" borderId="0" xfId="0" applyFont="1" applyFill="1" applyAlignment="1">
      <alignment horizontal="center" vertical="center" wrapText="1"/>
    </xf>
    <xf numFmtId="0" fontId="8" fillId="4" borderId="0" xfId="0" applyFont="1" applyFill="1"/>
    <xf numFmtId="0" fontId="8" fillId="4" borderId="0" xfId="0" applyFont="1" applyFill="1" applyAlignment="1">
      <alignment horizontal="center" vertical="center" wrapText="1"/>
    </xf>
    <xf numFmtId="0" fontId="10" fillId="0" borderId="0" xfId="6" applyFont="1"/>
    <xf numFmtId="0" fontId="10" fillId="6" borderId="0" xfId="6" applyFont="1" applyFill="1"/>
    <xf numFmtId="0" fontId="0" fillId="0" borderId="0" xfId="6" applyFont="1" applyAlignment="1">
      <alignment horizontal="left" indent="2"/>
    </xf>
    <xf numFmtId="0" fontId="0" fillId="0" borderId="0" xfId="6" applyFont="1" applyAlignment="1">
      <alignment horizontal="left" indent="1"/>
    </xf>
    <xf numFmtId="170" fontId="10" fillId="6" borderId="3" xfId="6" applyNumberFormat="1" applyFont="1" applyFill="1" applyBorder="1"/>
    <xf numFmtId="0" fontId="0" fillId="0" borderId="0" xfId="6" applyFont="1"/>
    <xf numFmtId="0" fontId="16" fillId="0" borderId="0" xfId="6" applyFont="1" applyAlignment="1">
      <alignment horizontal="left" indent="2"/>
    </xf>
    <xf numFmtId="0" fontId="16" fillId="0" borderId="0" xfId="6" applyFont="1"/>
    <xf numFmtId="168" fontId="20" fillId="6" borderId="0" xfId="2" applyNumberFormat="1" applyFont="1" applyFill="1"/>
    <xf numFmtId="168" fontId="10" fillId="0" borderId="3" xfId="2" applyNumberFormat="1" applyFont="1" applyBorder="1"/>
    <xf numFmtId="168" fontId="20" fillId="6" borderId="3" xfId="2" applyNumberFormat="1" applyFont="1" applyFill="1" applyBorder="1"/>
    <xf numFmtId="168" fontId="10" fillId="0" borderId="0" xfId="2" applyNumberFormat="1" applyFont="1"/>
    <xf numFmtId="168" fontId="10" fillId="6" borderId="0" xfId="2" applyNumberFormat="1" applyFont="1" applyFill="1"/>
    <xf numFmtId="0" fontId="0" fillId="0" borderId="0" xfId="6" applyFont="1" applyAlignment="1">
      <alignment horizontal="left" indent="4"/>
    </xf>
    <xf numFmtId="168" fontId="10" fillId="0" borderId="0" xfId="7" applyNumberFormat="1" applyFont="1"/>
    <xf numFmtId="0" fontId="21" fillId="0" borderId="0" xfId="6" applyFont="1"/>
    <xf numFmtId="0" fontId="2" fillId="0" borderId="0" xfId="0" applyFont="1"/>
    <xf numFmtId="0" fontId="24" fillId="2" borderId="0" xfId="0" applyFont="1" applyFill="1" applyAlignment="1">
      <alignment horizontal="left" vertical="center" wrapText="1"/>
    </xf>
    <xf numFmtId="0" fontId="24" fillId="5" borderId="12" xfId="0" applyFont="1" applyFill="1" applyBorder="1"/>
    <xf numFmtId="0" fontId="24" fillId="5" borderId="13" xfId="0" applyFont="1" applyFill="1" applyBorder="1"/>
    <xf numFmtId="0" fontId="24" fillId="5" borderId="14" xfId="0" applyFont="1" applyFill="1" applyBorder="1"/>
    <xf numFmtId="0" fontId="0" fillId="0" borderId="15" xfId="0" applyBorder="1"/>
    <xf numFmtId="37" fontId="0" fillId="0" borderId="0" xfId="0" applyNumberFormat="1"/>
    <xf numFmtId="37" fontId="0" fillId="6" borderId="0" xfId="0" applyNumberFormat="1" applyFill="1"/>
    <xf numFmtId="0" fontId="0" fillId="0" borderId="15" xfId="0" quotePrefix="1" applyBorder="1" applyAlignment="1">
      <alignment horizontal="left" indent="1"/>
    </xf>
    <xf numFmtId="37" fontId="0" fillId="0" borderId="1" xfId="0" applyNumberFormat="1" applyBorder="1"/>
    <xf numFmtId="37" fontId="0" fillId="6" borderId="1" xfId="0" applyNumberFormat="1" applyFill="1" applyBorder="1"/>
    <xf numFmtId="0" fontId="0" fillId="0" borderId="15" xfId="0" applyBorder="1" applyAlignment="1">
      <alignment horizontal="left"/>
    </xf>
    <xf numFmtId="37" fontId="0" fillId="0" borderId="3" xfId="0" applyNumberFormat="1" applyBorder="1"/>
    <xf numFmtId="37" fontId="0" fillId="6" borderId="3" xfId="0" applyNumberFormat="1" applyFill="1" applyBorder="1"/>
    <xf numFmtId="37" fontId="0" fillId="0" borderId="0" xfId="0" applyNumberFormat="1" applyAlignment="1">
      <alignment wrapText="1"/>
    </xf>
    <xf numFmtId="0" fontId="5" fillId="0" borderId="16" xfId="0" applyFont="1" applyBorder="1" applyAlignment="1">
      <alignment horizontal="left" vertical="top" wrapText="1" indent="3"/>
    </xf>
    <xf numFmtId="37" fontId="21" fillId="0" borderId="1" xfId="0" applyNumberFormat="1" applyFont="1" applyBorder="1"/>
    <xf numFmtId="37" fontId="21" fillId="6" borderId="1" xfId="0" applyNumberFormat="1" applyFont="1" applyFill="1" applyBorder="1"/>
    <xf numFmtId="10" fontId="0" fillId="0" borderId="0" xfId="2" applyNumberFormat="1" applyFont="1"/>
    <xf numFmtId="37" fontId="20" fillId="6" borderId="0" xfId="0" applyNumberFormat="1" applyFont="1" applyFill="1"/>
    <xf numFmtId="37" fontId="20" fillId="6" borderId="3" xfId="0" applyNumberFormat="1" applyFont="1" applyFill="1" applyBorder="1"/>
    <xf numFmtId="37" fontId="0" fillId="0" borderId="0" xfId="2" applyNumberFormat="1" applyFont="1"/>
    <xf numFmtId="37" fontId="10" fillId="6" borderId="0" xfId="2" applyNumberFormat="1" applyFont="1" applyFill="1"/>
    <xf numFmtId="0" fontId="16" fillId="0" borderId="0" xfId="0" applyFont="1" applyAlignment="1">
      <alignment horizontal="left" indent="2"/>
    </xf>
    <xf numFmtId="0" fontId="16" fillId="0" borderId="0" xfId="0" applyFont="1"/>
    <xf numFmtId="0" fontId="21" fillId="0" borderId="3" xfId="0" applyFont="1" applyBorder="1"/>
    <xf numFmtId="0" fontId="0" fillId="0" borderId="15" xfId="0" applyBorder="1" applyAlignment="1">
      <alignment horizontal="left" indent="1"/>
    </xf>
    <xf numFmtId="37" fontId="0" fillId="6" borderId="17" xfId="0" applyNumberFormat="1" applyFill="1" applyBorder="1"/>
    <xf numFmtId="0" fontId="0" fillId="0" borderId="15" xfId="0" quotePrefix="1" applyBorder="1" applyAlignment="1">
      <alignment horizontal="left" indent="2"/>
    </xf>
    <xf numFmtId="3" fontId="25" fillId="0" borderId="0" xfId="0" applyNumberFormat="1" applyFont="1"/>
    <xf numFmtId="0" fontId="0" fillId="0" borderId="16" xfId="0" quotePrefix="1" applyBorder="1" applyAlignment="1">
      <alignment horizontal="left" indent="3"/>
    </xf>
    <xf numFmtId="37" fontId="0" fillId="6" borderId="18" xfId="0" applyNumberFormat="1" applyFill="1" applyBorder="1"/>
    <xf numFmtId="0" fontId="0" fillId="0" borderId="0" xfId="0" applyAlignment="1">
      <alignment horizontal="left" indent="2"/>
    </xf>
    <xf numFmtId="168" fontId="20" fillId="6" borderId="0" xfId="2" applyNumberFormat="1" applyFont="1" applyFill="1" applyBorder="1"/>
    <xf numFmtId="0" fontId="18" fillId="4" borderId="0" xfId="6" applyFont="1" applyFill="1"/>
    <xf numFmtId="0" fontId="19" fillId="4" borderId="0" xfId="6" applyFont="1" applyFill="1"/>
    <xf numFmtId="0" fontId="19" fillId="4" borderId="0" xfId="0" applyFont="1" applyFill="1" applyAlignment="1">
      <alignment horizontal="left" vertical="center" wrapText="1"/>
    </xf>
    <xf numFmtId="168" fontId="16" fillId="0" borderId="0" xfId="2" applyNumberFormat="1" applyFont="1" applyFill="1"/>
    <xf numFmtId="168" fontId="20" fillId="0" borderId="0" xfId="2" applyNumberFormat="1" applyFont="1" applyFill="1"/>
    <xf numFmtId="168" fontId="20" fillId="0" borderId="3" xfId="2" applyNumberFormat="1" applyFont="1" applyFill="1" applyBorder="1"/>
    <xf numFmtId="168" fontId="10" fillId="0" borderId="0" xfId="2" applyNumberFormat="1" applyFont="1" applyFill="1"/>
    <xf numFmtId="0" fontId="2" fillId="0" borderId="0" xfId="6"/>
    <xf numFmtId="172" fontId="10" fillId="0" borderId="0" xfId="6" applyNumberFormat="1" applyFont="1"/>
    <xf numFmtId="172" fontId="10" fillId="0" borderId="3" xfId="6" applyNumberFormat="1" applyFont="1" applyBorder="1"/>
    <xf numFmtId="0" fontId="19" fillId="4" borderId="17" xfId="6" applyFont="1" applyFill="1" applyBorder="1"/>
    <xf numFmtId="0" fontId="10" fillId="0" borderId="17" xfId="6" applyFont="1" applyBorder="1"/>
    <xf numFmtId="172" fontId="10" fillId="0" borderId="17" xfId="6" applyNumberFormat="1" applyFont="1" applyBorder="1"/>
    <xf numFmtId="172" fontId="10" fillId="0" borderId="18" xfId="6" applyNumberFormat="1" applyFont="1" applyBorder="1"/>
    <xf numFmtId="168" fontId="16" fillId="0" borderId="17" xfId="2" applyNumberFormat="1" applyFont="1" applyFill="1" applyBorder="1"/>
    <xf numFmtId="168" fontId="10" fillId="0" borderId="17" xfId="2" applyNumberFormat="1" applyFont="1" applyFill="1" applyBorder="1"/>
    <xf numFmtId="172" fontId="10" fillId="7" borderId="0" xfId="6" applyNumberFormat="1" applyFont="1" applyFill="1"/>
    <xf numFmtId="172" fontId="10" fillId="7" borderId="3" xfId="6" applyNumberFormat="1" applyFont="1" applyFill="1" applyBorder="1"/>
    <xf numFmtId="168" fontId="10" fillId="0" borderId="3" xfId="2" applyNumberFormat="1" applyFont="1" applyFill="1" applyBorder="1"/>
    <xf numFmtId="168" fontId="10" fillId="0" borderId="18" xfId="2" applyNumberFormat="1" applyFont="1" applyFill="1" applyBorder="1"/>
    <xf numFmtId="10" fontId="10" fillId="0" borderId="0" xfId="6" applyNumberFormat="1" applyFont="1"/>
    <xf numFmtId="10" fontId="10" fillId="0" borderId="3" xfId="6" applyNumberFormat="1" applyFont="1" applyBorder="1"/>
    <xf numFmtId="10" fontId="10" fillId="0" borderId="14" xfId="6" applyNumberFormat="1" applyFont="1" applyBorder="1"/>
    <xf numFmtId="168" fontId="10" fillId="0" borderId="17" xfId="2" applyNumberFormat="1" applyFont="1" applyBorder="1"/>
    <xf numFmtId="10" fontId="2" fillId="0" borderId="0" xfId="2" applyNumberFormat="1" applyFont="1"/>
    <xf numFmtId="10" fontId="10" fillId="0" borderId="17" xfId="2" applyNumberFormat="1" applyFont="1" applyBorder="1"/>
    <xf numFmtId="10" fontId="10" fillId="0" borderId="0" xfId="2" applyNumberFormat="1" applyFont="1"/>
    <xf numFmtId="10" fontId="10" fillId="0" borderId="3" xfId="2" applyNumberFormat="1" applyFont="1" applyBorder="1"/>
    <xf numFmtId="10" fontId="10" fillId="0" borderId="18" xfId="2" applyNumberFormat="1" applyFont="1" applyFill="1" applyBorder="1"/>
    <xf numFmtId="43" fontId="10" fillId="0" borderId="0" xfId="1" applyFont="1"/>
    <xf numFmtId="168" fontId="20" fillId="6" borderId="16" xfId="2" applyNumberFormat="1" applyFont="1" applyFill="1" applyBorder="1"/>
    <xf numFmtId="173" fontId="10" fillId="6" borderId="16" xfId="6" applyNumberFormat="1" applyFont="1" applyFill="1" applyBorder="1"/>
    <xf numFmtId="173" fontId="10" fillId="6" borderId="15" xfId="6" applyNumberFormat="1" applyFont="1" applyFill="1" applyBorder="1"/>
    <xf numFmtId="173" fontId="10" fillId="6" borderId="0" xfId="6" applyNumberFormat="1" applyFont="1" applyFill="1"/>
    <xf numFmtId="173" fontId="10" fillId="6" borderId="3" xfId="6" applyNumberFormat="1" applyFont="1" applyFill="1" applyBorder="1"/>
    <xf numFmtId="170" fontId="10" fillId="6" borderId="15" xfId="6" applyNumberFormat="1" applyFont="1" applyFill="1" applyBorder="1"/>
    <xf numFmtId="170" fontId="10" fillId="6" borderId="0" xfId="6" applyNumberFormat="1" applyFont="1" applyFill="1"/>
    <xf numFmtId="170" fontId="10" fillId="6" borderId="16" xfId="6" applyNumberFormat="1" applyFont="1" applyFill="1" applyBorder="1"/>
    <xf numFmtId="168" fontId="16" fillId="6" borderId="15" xfId="2" applyNumberFormat="1" applyFont="1" applyFill="1" applyBorder="1"/>
    <xf numFmtId="168" fontId="16" fillId="6" borderId="0" xfId="2" applyNumberFormat="1" applyFont="1" applyFill="1" applyBorder="1"/>
    <xf numFmtId="0" fontId="0" fillId="0" borderId="0" xfId="0" applyAlignment="1">
      <alignment horizontal="left"/>
    </xf>
    <xf numFmtId="0" fontId="26" fillId="0" borderId="0" xfId="0" applyFont="1" applyAlignment="1">
      <alignment horizontal="left"/>
    </xf>
    <xf numFmtId="0" fontId="7" fillId="4" borderId="17" xfId="0" applyFont="1" applyFill="1" applyBorder="1" applyAlignment="1">
      <alignment vertical="center" wrapText="1"/>
    </xf>
    <xf numFmtId="0" fontId="7" fillId="4" borderId="17" xfId="0" applyFont="1" applyFill="1" applyBorder="1" applyAlignment="1">
      <alignment horizontal="center" vertical="center" wrapText="1"/>
    </xf>
    <xf numFmtId="164" fontId="5" fillId="0" borderId="17" xfId="0" applyNumberFormat="1" applyFont="1" applyBorder="1" applyAlignment="1">
      <alignment horizontal="right" vertical="top"/>
    </xf>
    <xf numFmtId="37" fontId="5" fillId="0" borderId="18" xfId="0" applyNumberFormat="1" applyFont="1" applyBorder="1" applyAlignment="1">
      <alignment horizontal="right" vertical="top"/>
    </xf>
    <xf numFmtId="37" fontId="5" fillId="0" borderId="17" xfId="0" applyNumberFormat="1" applyFont="1" applyBorder="1" applyAlignment="1">
      <alignment horizontal="right" vertical="top"/>
    </xf>
    <xf numFmtId="164" fontId="5" fillId="0" borderId="19" xfId="0" applyNumberFormat="1" applyFont="1" applyBorder="1" applyAlignment="1">
      <alignment horizontal="right" vertical="top"/>
    </xf>
    <xf numFmtId="0" fontId="0" fillId="0" borderId="17" xfId="0" applyBorder="1"/>
    <xf numFmtId="165" fontId="5" fillId="0" borderId="17" xfId="0" applyNumberFormat="1" applyFont="1" applyBorder="1" applyAlignment="1">
      <alignment horizontal="right" vertical="top"/>
    </xf>
    <xf numFmtId="39" fontId="5" fillId="0" borderId="17" xfId="0" applyNumberFormat="1" applyFont="1" applyBorder="1" applyAlignment="1">
      <alignment horizontal="right" vertical="top"/>
    </xf>
    <xf numFmtId="166" fontId="5" fillId="0" borderId="17" xfId="0" applyNumberFormat="1" applyFont="1" applyBorder="1" applyAlignment="1">
      <alignment horizontal="right" vertical="top"/>
    </xf>
    <xf numFmtId="167" fontId="5" fillId="0" borderId="17" xfId="0" applyNumberFormat="1" applyFont="1" applyBorder="1" applyAlignment="1">
      <alignment horizontal="right" vertical="top"/>
    </xf>
    <xf numFmtId="168" fontId="0" fillId="0" borderId="17" xfId="2" applyNumberFormat="1" applyFont="1" applyBorder="1"/>
    <xf numFmtId="10" fontId="0" fillId="0" borderId="17" xfId="2" applyNumberFormat="1" applyFont="1" applyBorder="1"/>
    <xf numFmtId="168" fontId="5" fillId="0" borderId="17" xfId="0" applyNumberFormat="1" applyFont="1" applyBorder="1" applyAlignment="1">
      <alignment horizontal="right" vertical="top"/>
    </xf>
    <xf numFmtId="168" fontId="5" fillId="0" borderId="18" xfId="0" applyNumberFormat="1" applyFont="1" applyBorder="1" applyAlignment="1">
      <alignment horizontal="right" vertical="top"/>
    </xf>
    <xf numFmtId="168" fontId="5" fillId="0" borderId="19" xfId="0" applyNumberFormat="1" applyFont="1" applyBorder="1" applyAlignment="1">
      <alignment horizontal="right" vertical="top"/>
    </xf>
    <xf numFmtId="164" fontId="5" fillId="0" borderId="15" xfId="0" applyNumberFormat="1" applyFont="1" applyBorder="1" applyAlignment="1">
      <alignment horizontal="right" vertical="top"/>
    </xf>
    <xf numFmtId="37" fontId="5" fillId="0" borderId="16" xfId="0" applyNumberFormat="1" applyFont="1" applyBorder="1" applyAlignment="1">
      <alignment horizontal="right" vertical="top"/>
    </xf>
    <xf numFmtId="37" fontId="5" fillId="0" borderId="15" xfId="0" applyNumberFormat="1" applyFont="1" applyBorder="1" applyAlignment="1">
      <alignment horizontal="right" vertical="top"/>
    </xf>
    <xf numFmtId="164" fontId="5" fillId="0" borderId="20" xfId="0" applyNumberFormat="1" applyFont="1" applyBorder="1" applyAlignment="1">
      <alignment horizontal="right" vertical="top"/>
    </xf>
    <xf numFmtId="168" fontId="5" fillId="0" borderId="7" xfId="0" applyNumberFormat="1" applyFont="1" applyBorder="1" applyAlignment="1">
      <alignment horizontal="right" vertical="top"/>
    </xf>
    <xf numFmtId="168" fontId="5" fillId="0" borderId="21" xfId="0" applyNumberFormat="1" applyFont="1" applyBorder="1" applyAlignment="1">
      <alignment horizontal="right" vertical="top"/>
    </xf>
    <xf numFmtId="168" fontId="5" fillId="0" borderId="22" xfId="0" applyNumberFormat="1" applyFont="1" applyBorder="1" applyAlignment="1">
      <alignment horizontal="right" vertical="top"/>
    </xf>
    <xf numFmtId="37" fontId="27" fillId="0" borderId="16" xfId="0" applyNumberFormat="1" applyFont="1" applyBorder="1" applyAlignment="1">
      <alignment horizontal="right" vertical="top"/>
    </xf>
    <xf numFmtId="37" fontId="27" fillId="0" borderId="3" xfId="0" applyNumberFormat="1" applyFont="1" applyBorder="1" applyAlignment="1">
      <alignment horizontal="right" vertical="top"/>
    </xf>
    <xf numFmtId="37" fontId="27" fillId="0" borderId="15" xfId="0" applyNumberFormat="1" applyFont="1" applyBorder="1" applyAlignment="1">
      <alignment horizontal="right" vertical="top"/>
    </xf>
    <xf numFmtId="37" fontId="27" fillId="0" borderId="0" xfId="0" applyNumberFormat="1" applyFont="1" applyAlignment="1">
      <alignment horizontal="right" vertical="top"/>
    </xf>
    <xf numFmtId="37" fontId="5" fillId="0" borderId="12" xfId="0" applyNumberFormat="1" applyFont="1" applyBorder="1" applyAlignment="1">
      <alignment horizontal="right" vertical="top"/>
    </xf>
    <xf numFmtId="37" fontId="5" fillId="0" borderId="13" xfId="0" applyNumberFormat="1" applyFont="1" applyBorder="1" applyAlignment="1">
      <alignment horizontal="right" vertical="top"/>
    </xf>
    <xf numFmtId="0" fontId="6" fillId="4" borderId="1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6" fillId="0" borderId="0" xfId="0" applyFont="1" applyAlignment="1">
      <alignment horizontal="left" wrapText="1"/>
    </xf>
    <xf numFmtId="10" fontId="0" fillId="0" borderId="0" xfId="2" applyNumberFormat="1" applyFont="1" applyBorder="1"/>
    <xf numFmtId="0" fontId="5" fillId="0" borderId="15" xfId="0" applyFont="1" applyBorder="1" applyAlignment="1">
      <alignment vertical="top" wrapText="1"/>
    </xf>
    <xf numFmtId="168" fontId="0" fillId="0" borderId="0" xfId="2" applyNumberFormat="1" applyFont="1" applyBorder="1"/>
    <xf numFmtId="168" fontId="20" fillId="6" borderId="17" xfId="2" applyNumberFormat="1" applyFont="1" applyFill="1" applyBorder="1"/>
    <xf numFmtId="0" fontId="5" fillId="0" borderId="16" xfId="0" applyFont="1" applyBorder="1" applyAlignment="1">
      <alignment vertical="top" wrapText="1"/>
    </xf>
    <xf numFmtId="168" fontId="0" fillId="0" borderId="3" xfId="2" applyNumberFormat="1" applyFont="1" applyBorder="1"/>
    <xf numFmtId="10" fontId="20" fillId="6" borderId="0" xfId="2" applyNumberFormat="1" applyFont="1" applyFill="1" applyBorder="1"/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3" fontId="28" fillId="0" borderId="0" xfId="0" applyNumberFormat="1" applyFont="1"/>
    <xf numFmtId="37" fontId="0" fillId="0" borderId="0" xfId="2" applyNumberFormat="1" applyFont="1" applyBorder="1"/>
    <xf numFmtId="37" fontId="20" fillId="6" borderId="0" xfId="2" applyNumberFormat="1" applyFont="1" applyFill="1" applyBorder="1"/>
    <xf numFmtId="174" fontId="10" fillId="0" borderId="0" xfId="1" applyNumberFormat="1" applyFont="1" applyFill="1" applyBorder="1"/>
    <xf numFmtId="174" fontId="10" fillId="6" borderId="0" xfId="1" applyNumberFormat="1" applyFont="1" applyFill="1" applyBorder="1"/>
    <xf numFmtId="173" fontId="0" fillId="0" borderId="0" xfId="2" applyNumberFormat="1" applyFont="1" applyBorder="1"/>
    <xf numFmtId="173" fontId="20" fillId="6" borderId="0" xfId="2" applyNumberFormat="1" applyFont="1" applyFill="1" applyBorder="1"/>
    <xf numFmtId="0" fontId="1" fillId="0" borderId="0" xfId="0" applyFont="1"/>
    <xf numFmtId="171" fontId="16" fillId="8" borderId="0" xfId="2" applyNumberFormat="1" applyFont="1" applyFill="1"/>
    <xf numFmtId="10" fontId="20" fillId="6" borderId="0" xfId="2" applyNumberFormat="1" applyFont="1" applyFill="1"/>
    <xf numFmtId="0" fontId="10" fillId="0" borderId="0" xfId="6" applyFont="1" applyAlignment="1">
      <alignment horizontal="left" indent="4"/>
    </xf>
    <xf numFmtId="0" fontId="29" fillId="6" borderId="0" xfId="6" quotePrefix="1" applyFont="1" applyFill="1" applyAlignment="1">
      <alignment horizontal="right"/>
    </xf>
    <xf numFmtId="0" fontId="18" fillId="9" borderId="0" xfId="6" applyFont="1" applyFill="1"/>
    <xf numFmtId="0" fontId="19" fillId="9" borderId="0" xfId="6" applyFont="1" applyFill="1"/>
    <xf numFmtId="0" fontId="19" fillId="9" borderId="17" xfId="6" applyFont="1" applyFill="1" applyBorder="1"/>
    <xf numFmtId="0" fontId="31" fillId="0" borderId="0" xfId="8" applyFont="1"/>
    <xf numFmtId="0" fontId="32" fillId="0" borderId="0" xfId="8" applyFont="1"/>
    <xf numFmtId="0" fontId="33" fillId="11" borderId="0" xfId="8" applyFont="1" applyFill="1"/>
    <xf numFmtId="0" fontId="34" fillId="0" borderId="0" xfId="9" applyFont="1" applyAlignment="1"/>
    <xf numFmtId="0" fontId="35" fillId="10" borderId="0" xfId="8" applyFont="1" applyFill="1" applyAlignment="1">
      <alignment vertical="top" wrapText="1"/>
    </xf>
    <xf numFmtId="0" fontId="35" fillId="10" borderId="0" xfId="8" applyFont="1" applyFill="1" applyAlignment="1">
      <alignment horizontal="center" vertical="top" wrapText="1"/>
    </xf>
    <xf numFmtId="0" fontId="35" fillId="10" borderId="0" xfId="8" applyFont="1" applyFill="1" applyAlignment="1">
      <alignment horizontal="left" vertical="top" wrapText="1"/>
    </xf>
    <xf numFmtId="0" fontId="35" fillId="10" borderId="0" xfId="8" applyFont="1" applyFill="1" applyAlignment="1">
      <alignment horizontal="right" vertical="top" wrapText="1"/>
    </xf>
    <xf numFmtId="0" fontId="36" fillId="0" borderId="0" xfId="8" applyFont="1" applyAlignment="1">
      <alignment horizontal="center" vertical="top" wrapText="1"/>
    </xf>
    <xf numFmtId="176" fontId="36" fillId="0" borderId="0" xfId="8" applyNumberFormat="1" applyFont="1" applyAlignment="1">
      <alignment horizontal="center" vertical="top" wrapText="1"/>
    </xf>
    <xf numFmtId="0" fontId="36" fillId="0" borderId="0" xfId="8" applyFont="1" applyAlignment="1">
      <alignment horizontal="left" vertical="top" wrapText="1"/>
    </xf>
    <xf numFmtId="177" fontId="36" fillId="0" borderId="0" xfId="8" applyNumberFormat="1" applyFont="1" applyAlignment="1">
      <alignment horizontal="center" vertical="top" wrapText="1"/>
    </xf>
    <xf numFmtId="175" fontId="36" fillId="0" borderId="0" xfId="8" applyNumberFormat="1" applyFont="1" applyAlignment="1">
      <alignment horizontal="center" vertical="top" wrapText="1"/>
    </xf>
    <xf numFmtId="0" fontId="31" fillId="0" borderId="0" xfId="8" applyFont="1" applyAlignment="1">
      <alignment wrapText="1"/>
    </xf>
    <xf numFmtId="175" fontId="31" fillId="0" borderId="0" xfId="8" applyNumberFormat="1" applyFont="1"/>
    <xf numFmtId="10" fontId="31" fillId="0" borderId="0" xfId="2" applyNumberFormat="1" applyFont="1"/>
    <xf numFmtId="173" fontId="31" fillId="0" borderId="0" xfId="8" applyNumberFormat="1" applyFont="1"/>
    <xf numFmtId="173" fontId="31" fillId="0" borderId="3" xfId="8" applyNumberFormat="1" applyFont="1" applyBorder="1"/>
    <xf numFmtId="0" fontId="31" fillId="0" borderId="0" xfId="8" applyFont="1" applyAlignment="1">
      <alignment vertical="top" wrapText="1"/>
    </xf>
    <xf numFmtId="0" fontId="31" fillId="0" borderId="3" xfId="8" applyFont="1" applyBorder="1" applyAlignment="1">
      <alignment horizontal="right"/>
    </xf>
    <xf numFmtId="10" fontId="31" fillId="12" borderId="0" xfId="2" applyNumberFormat="1" applyFont="1" applyFill="1"/>
    <xf numFmtId="10" fontId="31" fillId="0" borderId="0" xfId="2" applyNumberFormat="1" applyFont="1" applyBorder="1"/>
    <xf numFmtId="10" fontId="31" fillId="12" borderId="0" xfId="2" applyNumberFormat="1" applyFont="1" applyFill="1" applyBorder="1"/>
    <xf numFmtId="10" fontId="31" fillId="0" borderId="3" xfId="2" applyNumberFormat="1" applyFont="1" applyBorder="1"/>
    <xf numFmtId="164" fontId="5" fillId="8" borderId="0" xfId="0" applyNumberFormat="1" applyFont="1" applyFill="1" applyAlignment="1">
      <alignment horizontal="right" vertical="top"/>
    </xf>
    <xf numFmtId="0" fontId="8" fillId="4" borderId="17" xfId="0" applyFont="1" applyFill="1" applyBorder="1" applyAlignment="1">
      <alignment horizontal="center" vertical="center" wrapText="1"/>
    </xf>
    <xf numFmtId="37" fontId="5" fillId="0" borderId="19" xfId="0" applyNumberFormat="1" applyFont="1" applyBorder="1" applyAlignment="1">
      <alignment horizontal="right" vertical="top"/>
    </xf>
    <xf numFmtId="37" fontId="5" fillId="0" borderId="23" xfId="0" applyNumberFormat="1" applyFont="1" applyBorder="1" applyAlignment="1">
      <alignment horizontal="right" vertical="top"/>
    </xf>
    <xf numFmtId="168" fontId="0" fillId="0" borderId="18" xfId="2" applyNumberFormat="1" applyFont="1" applyBorder="1"/>
    <xf numFmtId="37" fontId="0" fillId="0" borderId="17" xfId="2" applyNumberFormat="1" applyFont="1" applyBorder="1"/>
    <xf numFmtId="174" fontId="10" fillId="0" borderId="17" xfId="1" applyNumberFormat="1" applyFont="1" applyFill="1" applyBorder="1"/>
    <xf numFmtId="173" fontId="0" fillId="0" borderId="17" xfId="2" applyNumberFormat="1" applyFont="1" applyBorder="1"/>
    <xf numFmtId="168" fontId="5" fillId="0" borderId="17" xfId="2" applyNumberFormat="1" applyFont="1" applyBorder="1" applyAlignment="1">
      <alignment horizontal="right" vertical="top"/>
    </xf>
    <xf numFmtId="168" fontId="5" fillId="0" borderId="18" xfId="2" applyNumberFormat="1" applyFont="1" applyBorder="1" applyAlignment="1">
      <alignment horizontal="right" vertical="top"/>
    </xf>
    <xf numFmtId="168" fontId="5" fillId="0" borderId="19" xfId="2" applyNumberFormat="1" applyFont="1" applyBorder="1" applyAlignment="1">
      <alignment horizontal="right" vertical="top"/>
    </xf>
    <xf numFmtId="168" fontId="5" fillId="0" borderId="23" xfId="2" applyNumberFormat="1" applyFont="1" applyBorder="1" applyAlignment="1">
      <alignment horizontal="right" vertical="top"/>
    </xf>
    <xf numFmtId="0" fontId="37" fillId="0" borderId="0" xfId="0" applyFont="1"/>
    <xf numFmtId="170" fontId="20" fillId="6" borderId="0" xfId="2" applyNumberFormat="1" applyFont="1" applyFill="1" applyBorder="1"/>
    <xf numFmtId="37" fontId="5" fillId="7" borderId="0" xfId="0" applyNumberFormat="1" applyFont="1" applyFill="1" applyAlignment="1">
      <alignment horizontal="right" vertical="top"/>
    </xf>
    <xf numFmtId="37" fontId="5" fillId="7" borderId="1" xfId="0" applyNumberFormat="1" applyFont="1" applyFill="1" applyBorder="1" applyAlignment="1">
      <alignment horizontal="right" vertical="top"/>
    </xf>
    <xf numFmtId="37" fontId="5" fillId="7" borderId="2" xfId="0" applyNumberFormat="1" applyFont="1" applyFill="1" applyBorder="1" applyAlignment="1">
      <alignment horizontal="right" vertical="top"/>
    </xf>
    <xf numFmtId="170" fontId="0" fillId="0" borderId="0" xfId="0" applyNumberFormat="1"/>
    <xf numFmtId="174" fontId="0" fillId="0" borderId="0" xfId="0" applyNumberFormat="1"/>
    <xf numFmtId="9" fontId="0" fillId="0" borderId="0" xfId="0" applyNumberFormat="1"/>
    <xf numFmtId="9" fontId="38" fillId="8" borderId="0" xfId="0" applyNumberFormat="1" applyFont="1" applyFill="1"/>
    <xf numFmtId="10" fontId="0" fillId="0" borderId="0" xfId="0" applyNumberFormat="1"/>
    <xf numFmtId="174" fontId="0" fillId="0" borderId="1" xfId="0" applyNumberFormat="1" applyBorder="1"/>
    <xf numFmtId="0" fontId="24" fillId="9" borderId="11" xfId="6" applyFont="1" applyFill="1" applyBorder="1"/>
    <xf numFmtId="0" fontId="24" fillId="9" borderId="10" xfId="6" applyFont="1" applyFill="1" applyBorder="1"/>
    <xf numFmtId="0" fontId="19" fillId="9" borderId="10" xfId="6" applyFont="1" applyFill="1" applyBorder="1" applyAlignment="1">
      <alignment horizontal="right"/>
    </xf>
    <xf numFmtId="0" fontId="24" fillId="9" borderId="24" xfId="6" applyFont="1" applyFill="1" applyBorder="1" applyAlignment="1">
      <alignment horizontal="left"/>
    </xf>
    <xf numFmtId="0" fontId="19" fillId="9" borderId="8" xfId="6" applyFont="1" applyFill="1" applyBorder="1"/>
    <xf numFmtId="0" fontId="24" fillId="9" borderId="0" xfId="6" applyFont="1" applyFill="1"/>
    <xf numFmtId="0" fontId="24" fillId="9" borderId="25" xfId="6" applyFont="1" applyFill="1" applyBorder="1" applyAlignment="1">
      <alignment horizontal="left"/>
    </xf>
    <xf numFmtId="0" fontId="39" fillId="13" borderId="8" xfId="6" applyFont="1" applyFill="1" applyBorder="1"/>
    <xf numFmtId="0" fontId="39" fillId="13" borderId="0" xfId="6" applyFont="1" applyFill="1"/>
    <xf numFmtId="10" fontId="43" fillId="13" borderId="0" xfId="6" applyNumberFormat="1" applyFont="1" applyFill="1"/>
    <xf numFmtId="0" fontId="0" fillId="13" borderId="0" xfId="0" applyFill="1"/>
    <xf numFmtId="10" fontId="39" fillId="13" borderId="25" xfId="6" applyNumberFormat="1" applyFont="1" applyFill="1" applyBorder="1" applyAlignment="1">
      <alignment horizontal="left"/>
    </xf>
    <xf numFmtId="10" fontId="40" fillId="13" borderId="0" xfId="2" applyNumberFormat="1" applyFont="1" applyFill="1" applyBorder="1" applyAlignment="1"/>
    <xf numFmtId="168" fontId="39" fillId="13" borderId="25" xfId="6" applyNumberFormat="1" applyFont="1" applyFill="1" applyBorder="1" applyAlignment="1">
      <alignment horizontal="left"/>
    </xf>
    <xf numFmtId="10" fontId="40" fillId="13" borderId="0" xfId="6" applyNumberFormat="1" applyFont="1" applyFill="1"/>
    <xf numFmtId="0" fontId="39" fillId="13" borderId="0" xfId="6" applyFont="1" applyFill="1" applyAlignment="1">
      <alignment horizontal="right"/>
    </xf>
    <xf numFmtId="0" fontId="39" fillId="13" borderId="25" xfId="6" applyFont="1" applyFill="1" applyBorder="1" applyAlignment="1">
      <alignment horizontal="left"/>
    </xf>
    <xf numFmtId="0" fontId="40" fillId="13" borderId="0" xfId="6" applyFont="1" applyFill="1"/>
    <xf numFmtId="0" fontId="39" fillId="13" borderId="6" xfId="6" applyFont="1" applyFill="1" applyBorder="1"/>
    <xf numFmtId="0" fontId="40" fillId="13" borderId="5" xfId="6" applyFont="1" applyFill="1" applyBorder="1"/>
    <xf numFmtId="0" fontId="39" fillId="13" borderId="5" xfId="6" applyFont="1" applyFill="1" applyBorder="1"/>
    <xf numFmtId="10" fontId="40" fillId="13" borderId="5" xfId="6" applyNumberFormat="1" applyFont="1" applyFill="1" applyBorder="1"/>
    <xf numFmtId="168" fontId="39" fillId="13" borderId="26" xfId="6" applyNumberFormat="1" applyFont="1" applyFill="1" applyBorder="1" applyAlignment="1">
      <alignment horizontal="left"/>
    </xf>
    <xf numFmtId="0" fontId="40" fillId="13" borderId="8" xfId="6" applyFont="1" applyFill="1" applyBorder="1"/>
    <xf numFmtId="44" fontId="43" fillId="13" borderId="0" xfId="6" applyNumberFormat="1" applyFont="1" applyFill="1" applyAlignment="1">
      <alignment horizontal="left"/>
    </xf>
    <xf numFmtId="14" fontId="39" fillId="13" borderId="25" xfId="6" applyNumberFormat="1" applyFont="1" applyFill="1" applyBorder="1" applyAlignment="1">
      <alignment horizontal="left"/>
    </xf>
    <xf numFmtId="44" fontId="43" fillId="13" borderId="0" xfId="6" applyNumberFormat="1" applyFont="1" applyFill="1"/>
    <xf numFmtId="179" fontId="40" fillId="13" borderId="0" xfId="6" applyNumberFormat="1" applyFont="1" applyFill="1"/>
    <xf numFmtId="43" fontId="39" fillId="13" borderId="25" xfId="6" applyNumberFormat="1" applyFont="1" applyFill="1" applyBorder="1" applyAlignment="1">
      <alignment horizontal="left"/>
    </xf>
    <xf numFmtId="10" fontId="43" fillId="13" borderId="0" xfId="2" applyNumberFormat="1" applyFont="1" applyFill="1" applyBorder="1" applyAlignment="1"/>
    <xf numFmtId="168" fontId="39" fillId="13" borderId="25" xfId="4" applyNumberFormat="1" applyFont="1" applyFill="1" applyBorder="1" applyAlignment="1">
      <alignment horizontal="left"/>
    </xf>
    <xf numFmtId="2" fontId="40" fillId="13" borderId="0" xfId="6" applyNumberFormat="1" applyFont="1" applyFill="1"/>
    <xf numFmtId="2" fontId="39" fillId="13" borderId="25" xfId="6" applyNumberFormat="1" applyFont="1" applyFill="1" applyBorder="1" applyAlignment="1">
      <alignment horizontal="left"/>
    </xf>
    <xf numFmtId="2" fontId="43" fillId="13" borderId="0" xfId="6" applyNumberFormat="1" applyFont="1" applyFill="1"/>
    <xf numFmtId="168" fontId="40" fillId="13" borderId="0" xfId="4" applyNumberFormat="1" applyFont="1" applyFill="1" applyBorder="1" applyAlignment="1"/>
    <xf numFmtId="171" fontId="43" fillId="13" borderId="0" xfId="6" applyNumberFormat="1" applyFont="1" applyFill="1"/>
    <xf numFmtId="16" fontId="39" fillId="13" borderId="25" xfId="6" applyNumberFormat="1" applyFont="1" applyFill="1" applyBorder="1" applyAlignment="1">
      <alignment horizontal="left"/>
    </xf>
    <xf numFmtId="178" fontId="43" fillId="13" borderId="0" xfId="6" applyNumberFormat="1" applyFont="1" applyFill="1"/>
    <xf numFmtId="10" fontId="40" fillId="13" borderId="0" xfId="4" applyNumberFormat="1" applyFont="1" applyFill="1" applyBorder="1" applyAlignment="1"/>
    <xf numFmtId="168" fontId="40" fillId="13" borderId="0" xfId="6" applyNumberFormat="1" applyFont="1" applyFill="1"/>
    <xf numFmtId="0" fontId="40" fillId="13" borderId="0" xfId="6" applyFont="1" applyFill="1" applyAlignment="1">
      <alignment horizontal="right"/>
    </xf>
    <xf numFmtId="0" fontId="39" fillId="13" borderId="0" xfId="6" applyFont="1" applyFill="1" applyAlignment="1">
      <alignment horizontal="left"/>
    </xf>
    <xf numFmtId="0" fontId="41" fillId="13" borderId="0" xfId="6" applyFont="1" applyFill="1"/>
    <xf numFmtId="0" fontId="41" fillId="13" borderId="0" xfId="6" applyFont="1" applyFill="1" applyAlignment="1">
      <alignment horizontal="center"/>
    </xf>
    <xf numFmtId="0" fontId="42" fillId="13" borderId="0" xfId="6" applyFont="1" applyFill="1"/>
    <xf numFmtId="0" fontId="24" fillId="9" borderId="27" xfId="6" applyFont="1" applyFill="1" applyBorder="1" applyAlignment="1">
      <alignment horizontal="right"/>
    </xf>
    <xf numFmtId="0" fontId="44" fillId="13" borderId="17" xfId="6" applyFont="1" applyFill="1" applyBorder="1" applyAlignment="1">
      <alignment horizontal="right"/>
    </xf>
    <xf numFmtId="10" fontId="44" fillId="13" borderId="17" xfId="6" applyNumberFormat="1" applyFont="1" applyFill="1" applyBorder="1" applyAlignment="1">
      <alignment horizontal="right"/>
    </xf>
    <xf numFmtId="168" fontId="39" fillId="13" borderId="17" xfId="4" applyNumberFormat="1" applyFont="1" applyFill="1" applyBorder="1" applyAlignment="1">
      <alignment horizontal="right"/>
    </xf>
    <xf numFmtId="168" fontId="39" fillId="13" borderId="17" xfId="6" applyNumberFormat="1" applyFont="1" applyFill="1" applyBorder="1" applyAlignment="1">
      <alignment horizontal="right"/>
    </xf>
    <xf numFmtId="0" fontId="24" fillId="9" borderId="17" xfId="6" applyFont="1" applyFill="1" applyBorder="1" applyAlignment="1">
      <alignment horizontal="right"/>
    </xf>
    <xf numFmtId="0" fontId="39" fillId="13" borderId="17" xfId="6" applyFont="1" applyFill="1" applyBorder="1" applyAlignment="1">
      <alignment horizontal="right"/>
    </xf>
    <xf numFmtId="44" fontId="44" fillId="13" borderId="17" xfId="6" applyNumberFormat="1" applyFont="1" applyFill="1" applyBorder="1" applyAlignment="1">
      <alignment horizontal="right"/>
    </xf>
    <xf numFmtId="43" fontId="39" fillId="13" borderId="17" xfId="6" applyNumberFormat="1" applyFont="1" applyFill="1" applyBorder="1" applyAlignment="1">
      <alignment horizontal="right"/>
    </xf>
    <xf numFmtId="168" fontId="44" fillId="13" borderId="17" xfId="6" applyNumberFormat="1" applyFont="1" applyFill="1" applyBorder="1" applyAlignment="1">
      <alignment horizontal="right"/>
    </xf>
    <xf numFmtId="2" fontId="39" fillId="13" borderId="17" xfId="6" applyNumberFormat="1" applyFont="1" applyFill="1" applyBorder="1" applyAlignment="1">
      <alignment horizontal="right"/>
    </xf>
    <xf numFmtId="168" fontId="40" fillId="13" borderId="17" xfId="6" applyNumberFormat="1" applyFont="1" applyFill="1" applyBorder="1" applyAlignment="1">
      <alignment horizontal="right"/>
    </xf>
    <xf numFmtId="168" fontId="39" fillId="13" borderId="28" xfId="6" applyNumberFormat="1" applyFont="1" applyFill="1" applyBorder="1" applyAlignment="1">
      <alignment horizontal="right"/>
    </xf>
    <xf numFmtId="0" fontId="47" fillId="14" borderId="0" xfId="6" applyFont="1" applyFill="1" applyAlignment="1">
      <alignment horizontal="centerContinuous"/>
    </xf>
    <xf numFmtId="173" fontId="48" fillId="15" borderId="33" xfId="6" applyNumberFormat="1" applyFont="1" applyFill="1" applyBorder="1" applyAlignment="1">
      <alignment horizontal="center"/>
    </xf>
    <xf numFmtId="173" fontId="48" fillId="15" borderId="0" xfId="6" applyNumberFormat="1" applyFont="1" applyFill="1" applyAlignment="1">
      <alignment horizontal="center"/>
    </xf>
    <xf numFmtId="173" fontId="48" fillId="14" borderId="11" xfId="6" applyNumberFormat="1" applyFont="1" applyFill="1" applyBorder="1" applyAlignment="1">
      <alignment horizontal="center"/>
    </xf>
    <xf numFmtId="173" fontId="48" fillId="14" borderId="10" xfId="6" applyNumberFormat="1" applyFont="1" applyFill="1" applyBorder="1" applyAlignment="1">
      <alignment horizontal="center"/>
    </xf>
    <xf numFmtId="173" fontId="48" fillId="14" borderId="9" xfId="6" applyNumberFormat="1" applyFont="1" applyFill="1" applyBorder="1" applyAlignment="1">
      <alignment horizontal="center"/>
    </xf>
    <xf numFmtId="173" fontId="48" fillId="15" borderId="35" xfId="6" applyNumberFormat="1" applyFont="1" applyFill="1" applyBorder="1" applyAlignment="1">
      <alignment horizontal="center"/>
    </xf>
    <xf numFmtId="173" fontId="48" fillId="14" borderId="8" xfId="6" applyNumberFormat="1" applyFont="1" applyFill="1" applyBorder="1" applyAlignment="1">
      <alignment horizontal="center"/>
    </xf>
    <xf numFmtId="173" fontId="53" fillId="16" borderId="0" xfId="6" applyNumberFormat="1" applyFont="1" applyFill="1" applyAlignment="1">
      <alignment horizontal="center"/>
    </xf>
    <xf numFmtId="173" fontId="48" fillId="14" borderId="7" xfId="6" applyNumberFormat="1" applyFont="1" applyFill="1" applyBorder="1" applyAlignment="1">
      <alignment horizontal="center"/>
    </xf>
    <xf numFmtId="173" fontId="48" fillId="15" borderId="36" xfId="6" applyNumberFormat="1" applyFont="1" applyFill="1" applyBorder="1" applyAlignment="1">
      <alignment horizontal="center"/>
    </xf>
    <xf numFmtId="173" fontId="48" fillId="14" borderId="6" xfId="6" applyNumberFormat="1" applyFont="1" applyFill="1" applyBorder="1" applyAlignment="1">
      <alignment horizontal="center"/>
    </xf>
    <xf numFmtId="173" fontId="48" fillId="14" borderId="5" xfId="6" applyNumberFormat="1" applyFont="1" applyFill="1" applyBorder="1" applyAlignment="1">
      <alignment horizontal="center"/>
    </xf>
    <xf numFmtId="173" fontId="48" fillId="14" borderId="4" xfId="6" applyNumberFormat="1" applyFont="1" applyFill="1" applyBorder="1" applyAlignment="1">
      <alignment horizontal="center"/>
    </xf>
    <xf numFmtId="173" fontId="48" fillId="15" borderId="38" xfId="6" applyNumberFormat="1" applyFont="1" applyFill="1" applyBorder="1" applyAlignment="1">
      <alignment horizontal="center"/>
    </xf>
    <xf numFmtId="0" fontId="48" fillId="13" borderId="0" xfId="6" applyFont="1" applyFill="1"/>
    <xf numFmtId="173" fontId="48" fillId="13" borderId="0" xfId="6" applyNumberFormat="1" applyFont="1" applyFill="1" applyAlignment="1">
      <alignment horizontal="center"/>
    </xf>
    <xf numFmtId="173" fontId="48" fillId="13" borderId="36" xfId="6" applyNumberFormat="1" applyFont="1" applyFill="1" applyBorder="1" applyAlignment="1">
      <alignment horizontal="center"/>
    </xf>
    <xf numFmtId="173" fontId="48" fillId="13" borderId="38" xfId="6" applyNumberFormat="1" applyFont="1" applyFill="1" applyBorder="1" applyAlignment="1">
      <alignment horizontal="center"/>
    </xf>
    <xf numFmtId="173" fontId="48" fillId="13" borderId="39" xfId="6" applyNumberFormat="1" applyFont="1" applyFill="1" applyBorder="1" applyAlignment="1">
      <alignment horizontal="center"/>
    </xf>
    <xf numFmtId="173" fontId="48" fillId="13" borderId="33" xfId="6" applyNumberFormat="1" applyFont="1" applyFill="1" applyBorder="1" applyAlignment="1">
      <alignment horizontal="center"/>
    </xf>
    <xf numFmtId="173" fontId="48" fillId="13" borderId="34" xfId="6" applyNumberFormat="1" applyFont="1" applyFill="1" applyBorder="1" applyAlignment="1">
      <alignment horizontal="center"/>
    </xf>
    <xf numFmtId="0" fontId="48" fillId="13" borderId="0" xfId="6" applyFont="1" applyFill="1" applyAlignment="1">
      <alignment horizontal="centerContinuous" vertical="center"/>
    </xf>
    <xf numFmtId="168" fontId="48" fillId="13" borderId="0" xfId="6" applyNumberFormat="1" applyFont="1" applyFill="1"/>
    <xf numFmtId="173" fontId="48" fillId="13" borderId="35" xfId="6" applyNumberFormat="1" applyFont="1" applyFill="1" applyBorder="1" applyAlignment="1">
      <alignment horizontal="center"/>
    </xf>
    <xf numFmtId="173" fontId="48" fillId="13" borderId="37" xfId="6" applyNumberFormat="1" applyFont="1" applyFill="1" applyBorder="1" applyAlignment="1">
      <alignment horizontal="center"/>
    </xf>
    <xf numFmtId="168" fontId="47" fillId="13" borderId="0" xfId="6" applyNumberFormat="1" applyFont="1" applyFill="1"/>
    <xf numFmtId="173" fontId="48" fillId="13" borderId="32" xfId="6" applyNumberFormat="1" applyFont="1" applyFill="1" applyBorder="1" applyAlignment="1">
      <alignment horizontal="center"/>
    </xf>
    <xf numFmtId="0" fontId="47" fillId="13" borderId="0" xfId="6" applyFont="1" applyFill="1" applyAlignment="1">
      <alignment horizontal="centerContinuous"/>
    </xf>
    <xf numFmtId="0" fontId="49" fillId="13" borderId="0" xfId="0" applyFont="1" applyFill="1"/>
    <xf numFmtId="0" fontId="47" fillId="13" borderId="0" xfId="6" applyFont="1" applyFill="1"/>
    <xf numFmtId="2" fontId="48" fillId="13" borderId="0" xfId="6" applyNumberFormat="1" applyFont="1" applyFill="1"/>
    <xf numFmtId="0" fontId="47" fillId="13" borderId="3" xfId="6" applyFont="1" applyFill="1" applyBorder="1"/>
    <xf numFmtId="0" fontId="48" fillId="13" borderId="3" xfId="6" applyFont="1" applyFill="1" applyBorder="1"/>
    <xf numFmtId="3" fontId="48" fillId="13" borderId="3" xfId="6" applyNumberFormat="1" applyFont="1" applyFill="1" applyBorder="1"/>
    <xf numFmtId="37" fontId="48" fillId="13" borderId="0" xfId="6" applyNumberFormat="1" applyFont="1" applyFill="1"/>
    <xf numFmtId="4" fontId="48" fillId="13" borderId="0" xfId="6" quotePrefix="1" applyNumberFormat="1" applyFont="1" applyFill="1" applyAlignment="1">
      <alignment horizontal="center"/>
    </xf>
    <xf numFmtId="3" fontId="48" fillId="13" borderId="0" xfId="6" applyNumberFormat="1" applyFont="1" applyFill="1"/>
    <xf numFmtId="4" fontId="48" fillId="13" borderId="0" xfId="6" applyNumberFormat="1" applyFont="1" applyFill="1"/>
    <xf numFmtId="0" fontId="47" fillId="13" borderId="2" xfId="6" applyFont="1" applyFill="1" applyBorder="1"/>
    <xf numFmtId="4" fontId="47" fillId="13" borderId="2" xfId="6" applyNumberFormat="1" applyFont="1" applyFill="1" applyBorder="1"/>
    <xf numFmtId="4" fontId="47" fillId="13" borderId="0" xfId="6" applyNumberFormat="1" applyFont="1" applyFill="1"/>
    <xf numFmtId="0" fontId="48" fillId="13" borderId="0" xfId="6" applyFont="1" applyFill="1" applyAlignment="1">
      <alignment horizontal="centerContinuous"/>
    </xf>
    <xf numFmtId="4" fontId="52" fillId="13" borderId="0" xfId="6" applyNumberFormat="1" applyFont="1" applyFill="1"/>
    <xf numFmtId="10" fontId="48" fillId="13" borderId="3" xfId="2" applyNumberFormat="1" applyFont="1" applyFill="1" applyBorder="1" applyAlignment="1">
      <alignment horizontal="center"/>
    </xf>
    <xf numFmtId="168" fontId="47" fillId="13" borderId="3" xfId="2" applyNumberFormat="1" applyFont="1" applyFill="1" applyBorder="1" applyAlignment="1">
      <alignment horizontal="center"/>
    </xf>
    <xf numFmtId="10" fontId="48" fillId="13" borderId="0" xfId="6" applyNumberFormat="1" applyFont="1" applyFill="1"/>
    <xf numFmtId="0" fontId="48" fillId="13" borderId="0" xfId="6" applyFont="1" applyFill="1" applyAlignment="1">
      <alignment horizontal="center"/>
    </xf>
    <xf numFmtId="0" fontId="48" fillId="13" borderId="30" xfId="6" applyFont="1" applyFill="1" applyBorder="1"/>
    <xf numFmtId="10" fontId="48" fillId="13" borderId="31" xfId="6" applyNumberFormat="1" applyFont="1" applyFill="1" applyBorder="1"/>
    <xf numFmtId="180" fontId="47" fillId="13" borderId="3" xfId="6" applyNumberFormat="1" applyFont="1" applyFill="1" applyBorder="1"/>
    <xf numFmtId="37" fontId="48" fillId="13" borderId="3" xfId="6" applyNumberFormat="1" applyFont="1" applyFill="1" applyBorder="1"/>
    <xf numFmtId="168" fontId="47" fillId="13" borderId="29" xfId="6" applyNumberFormat="1" applyFont="1" applyFill="1" applyBorder="1"/>
    <xf numFmtId="179" fontId="48" fillId="13" borderId="0" xfId="6" applyNumberFormat="1" applyFont="1" applyFill="1"/>
    <xf numFmtId="2" fontId="47" fillId="13" borderId="2" xfId="6" applyNumberFormat="1" applyFont="1" applyFill="1" applyBorder="1"/>
    <xf numFmtId="2" fontId="47" fillId="13" borderId="0" xfId="6" applyNumberFormat="1" applyFont="1" applyFill="1"/>
    <xf numFmtId="2" fontId="52" fillId="13" borderId="0" xfId="6" applyNumberFormat="1" applyFont="1" applyFill="1"/>
    <xf numFmtId="10" fontId="48" fillId="13" borderId="0" xfId="6" applyNumberFormat="1" applyFont="1" applyFill="1" applyAlignment="1">
      <alignment horizontal="center"/>
    </xf>
    <xf numFmtId="168" fontId="47" fillId="13" borderId="0" xfId="6" applyNumberFormat="1" applyFont="1" applyFill="1" applyAlignment="1">
      <alignment horizontal="center"/>
    </xf>
    <xf numFmtId="0" fontId="48" fillId="13" borderId="7" xfId="6" applyFont="1" applyFill="1" applyBorder="1"/>
    <xf numFmtId="0" fontId="48" fillId="13" borderId="11" xfId="6" applyFont="1" applyFill="1" applyBorder="1"/>
    <xf numFmtId="0" fontId="48" fillId="13" borderId="10" xfId="6" applyFont="1" applyFill="1" applyBorder="1"/>
    <xf numFmtId="10" fontId="48" fillId="13" borderId="9" xfId="6" applyNumberFormat="1" applyFont="1" applyFill="1" applyBorder="1"/>
    <xf numFmtId="0" fontId="48" fillId="13" borderId="6" xfId="6" applyFont="1" applyFill="1" applyBorder="1"/>
    <xf numFmtId="0" fontId="48" fillId="13" borderId="5" xfId="6" applyFont="1" applyFill="1" applyBorder="1"/>
    <xf numFmtId="10" fontId="48" fillId="13" borderId="4" xfId="4" applyNumberFormat="1" applyFont="1" applyFill="1" applyBorder="1"/>
    <xf numFmtId="0" fontId="48" fillId="13" borderId="8" xfId="6" applyFont="1" applyFill="1" applyBorder="1"/>
    <xf numFmtId="0" fontId="47" fillId="13" borderId="3" xfId="6" applyFont="1" applyFill="1" applyBorder="1" applyAlignment="1">
      <alignment horizontal="right"/>
    </xf>
    <xf numFmtId="0" fontId="47" fillId="13" borderId="11" xfId="6" applyFont="1" applyFill="1" applyBorder="1"/>
    <xf numFmtId="10" fontId="47" fillId="13" borderId="9" xfId="6" applyNumberFormat="1" applyFont="1" applyFill="1" applyBorder="1"/>
    <xf numFmtId="14" fontId="48" fillId="13" borderId="0" xfId="6" applyNumberFormat="1" applyFont="1" applyFill="1"/>
    <xf numFmtId="0" fontId="48" fillId="13" borderId="0" xfId="6" applyFont="1" applyFill="1" applyAlignment="1">
      <alignment wrapText="1"/>
    </xf>
    <xf numFmtId="10" fontId="47" fillId="13" borderId="0" xfId="6" applyNumberFormat="1" applyFont="1" applyFill="1"/>
    <xf numFmtId="14" fontId="48" fillId="13" borderId="0" xfId="6" applyNumberFormat="1" applyFont="1" applyFill="1" applyAlignment="1">
      <alignment horizontal="right"/>
    </xf>
    <xf numFmtId="3" fontId="49" fillId="13" borderId="7" xfId="6" applyNumberFormat="1" applyFont="1" applyFill="1" applyBorder="1"/>
    <xf numFmtId="44" fontId="50" fillId="13" borderId="7" xfId="6" applyNumberFormat="1" applyFont="1" applyFill="1" applyBorder="1"/>
    <xf numFmtId="173" fontId="51" fillId="13" borderId="7" xfId="6" applyNumberFormat="1" applyFont="1" applyFill="1" applyBorder="1"/>
    <xf numFmtId="2" fontId="47" fillId="14" borderId="7" xfId="6" applyNumberFormat="1" applyFont="1" applyFill="1" applyBorder="1"/>
    <xf numFmtId="2" fontId="47" fillId="14" borderId="4" xfId="6" applyNumberFormat="1" applyFont="1" applyFill="1" applyBorder="1"/>
    <xf numFmtId="3" fontId="54" fillId="0" borderId="0" xfId="0" applyNumberFormat="1" applyFont="1"/>
    <xf numFmtId="3" fontId="10" fillId="13" borderId="0" xfId="6" applyNumberFormat="1" applyFont="1" applyFill="1"/>
    <xf numFmtId="168" fontId="10" fillId="17" borderId="0" xfId="2" applyNumberFormat="1" applyFont="1" applyFill="1"/>
    <xf numFmtId="168" fontId="10" fillId="17" borderId="17" xfId="2" applyNumberFormat="1" applyFont="1" applyFill="1" applyBorder="1"/>
    <xf numFmtId="168" fontId="55" fillId="6" borderId="0" xfId="2" applyNumberFormat="1" applyFont="1" applyFill="1"/>
    <xf numFmtId="168" fontId="0" fillId="17" borderId="0" xfId="2" applyNumberFormat="1" applyFont="1" applyFill="1"/>
    <xf numFmtId="168" fontId="0" fillId="17" borderId="17" xfId="2" applyNumberFormat="1" applyFont="1" applyFill="1" applyBorder="1"/>
    <xf numFmtId="0" fontId="16" fillId="17" borderId="0" xfId="6" applyFont="1" applyFill="1" applyAlignment="1">
      <alignment horizontal="right" indent="2"/>
    </xf>
    <xf numFmtId="168" fontId="38" fillId="17" borderId="0" xfId="2" applyNumberFormat="1" applyFont="1" applyFill="1"/>
    <xf numFmtId="0" fontId="39" fillId="13" borderId="0" xfId="0" applyFont="1" applyFill="1"/>
    <xf numFmtId="0" fontId="39" fillId="13" borderId="15" xfId="0" applyFont="1" applyFill="1" applyBorder="1"/>
    <xf numFmtId="0" fontId="39" fillId="13" borderId="16" xfId="0" applyFont="1" applyFill="1" applyBorder="1"/>
    <xf numFmtId="0" fontId="39" fillId="13" borderId="17" xfId="0" applyFont="1" applyFill="1" applyBorder="1"/>
    <xf numFmtId="0" fontId="39" fillId="13" borderId="3" xfId="0" applyFont="1" applyFill="1" applyBorder="1"/>
    <xf numFmtId="0" fontId="39" fillId="13" borderId="18" xfId="0" applyFont="1" applyFill="1" applyBorder="1"/>
    <xf numFmtId="0" fontId="39" fillId="6" borderId="12" xfId="0" applyFont="1" applyFill="1" applyBorder="1"/>
    <xf numFmtId="44" fontId="39" fillId="6" borderId="14" xfId="0" applyNumberFormat="1" applyFont="1" applyFill="1" applyBorder="1"/>
    <xf numFmtId="0" fontId="39" fillId="18" borderId="15" xfId="0" applyFont="1" applyFill="1" applyBorder="1"/>
    <xf numFmtId="2" fontId="39" fillId="18" borderId="17" xfId="0" applyNumberFormat="1" applyFont="1" applyFill="1" applyBorder="1"/>
    <xf numFmtId="0" fontId="39" fillId="7" borderId="15" xfId="0" applyFont="1" applyFill="1" applyBorder="1"/>
    <xf numFmtId="4" fontId="39" fillId="7" borderId="17" xfId="0" applyNumberFormat="1" applyFont="1" applyFill="1" applyBorder="1"/>
    <xf numFmtId="0" fontId="39" fillId="19" borderId="15" xfId="0" applyFont="1" applyFill="1" applyBorder="1"/>
    <xf numFmtId="10" fontId="39" fillId="19" borderId="17" xfId="2" applyNumberFormat="1" applyFont="1" applyFill="1" applyBorder="1"/>
    <xf numFmtId="0" fontId="39" fillId="5" borderId="16" xfId="0" applyFont="1" applyFill="1" applyBorder="1"/>
    <xf numFmtId="10" fontId="39" fillId="5" borderId="18" xfId="2" applyNumberFormat="1" applyFont="1" applyFill="1" applyBorder="1"/>
    <xf numFmtId="49" fontId="39" fillId="13" borderId="0" xfId="10" applyNumberFormat="1" applyFont="1" applyFill="1"/>
    <xf numFmtId="49" fontId="0" fillId="13" borderId="0" xfId="0" applyNumberFormat="1" applyFill="1"/>
    <xf numFmtId="0" fontId="39" fillId="18" borderId="40" xfId="0" applyFont="1" applyFill="1" applyBorder="1" applyAlignment="1">
      <alignment horizontal="center"/>
    </xf>
    <xf numFmtId="0" fontId="39" fillId="18" borderId="1" xfId="0" applyFont="1" applyFill="1" applyBorder="1" applyAlignment="1">
      <alignment horizontal="center"/>
    </xf>
    <xf numFmtId="0" fontId="39" fillId="18" borderId="23" xfId="0" applyFont="1" applyFill="1" applyBorder="1" applyAlignment="1">
      <alignment horizontal="center"/>
    </xf>
    <xf numFmtId="0" fontId="31" fillId="0" borderId="0" xfId="8" applyFont="1" applyAlignment="1">
      <alignment horizontal="right" wrapText="1"/>
    </xf>
    <xf numFmtId="0" fontId="31" fillId="0" borderId="0" xfId="8" applyFont="1"/>
  </cellXfs>
  <cellStyles count="11">
    <cellStyle name="Comma" xfId="1" builtinId="3"/>
    <cellStyle name="Hyperlink" xfId="10" builtinId="8"/>
    <cellStyle name="Invisible" xfId="9" xr:uid="{6ABA8773-E40F-9A47-B048-DA23F2E07D1C}"/>
    <cellStyle name="Normal" xfId="0" builtinId="0"/>
    <cellStyle name="Normal 2" xfId="3" xr:uid="{D7BA019A-56A8-464C-A217-F1637D1F15D4}"/>
    <cellStyle name="Normal 3" xfId="6" xr:uid="{6BCD6E6A-A01A-774E-95FA-C2FDC13053CE}"/>
    <cellStyle name="Normal 4" xfId="8" xr:uid="{5A2CAB84-0B4A-1E43-B011-79A2C5845C6B}"/>
    <cellStyle name="Normal_Ibm sp'08 dcf" xfId="5" xr:uid="{8A1E5FB3-ECC6-ED4C-9548-8679C4DD24E1}"/>
    <cellStyle name="Percent" xfId="2" builtinId="5"/>
    <cellStyle name="Percent 2" xfId="4" xr:uid="{8805781B-578D-2445-BA5E-8CEB21278D11}"/>
    <cellStyle name="Percent 3" xfId="7" xr:uid="{B91C0A69-7EC2-0E4E-A5B5-0F486B158133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Gross Margin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531040234595"/>
          <c:y val="0.17301086780832101"/>
          <c:w val="0.65040317686127502"/>
          <c:h val="0.6747423844524510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Ratios!$A$5</c:f>
              <c:strCache>
                <c:ptCount val="1"/>
                <c:pt idx="0">
                  <c:v>Gross margin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val>
            <c:numRef>
              <c:f>Ratios!$B$5:$F$5</c:f>
              <c:numCache>
                <c:formatCode>0.0%</c:formatCode>
                <c:ptCount val="5"/>
                <c:pt idx="0">
                  <c:v>0.45890044100495064</c:v>
                </c:pt>
                <c:pt idx="1">
                  <c:v>0.45358924311429188</c:v>
                </c:pt>
                <c:pt idx="2">
                  <c:v>0.4541590943196937</c:v>
                </c:pt>
                <c:pt idx="3">
                  <c:v>0.45128145336642689</c:v>
                </c:pt>
                <c:pt idx="4">
                  <c:v>0.43177445611957971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CE-DF4C-A2C9-37AA78275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6758104"/>
        <c:axId val="2126754824"/>
      </c:barChart>
      <c:lineChart>
        <c:grouping val="standard"/>
        <c:varyColors val="0"/>
        <c:ser>
          <c:idx val="0"/>
          <c:order val="0"/>
          <c:tx>
            <c:strRef>
              <c:f>IS!$A$3</c:f>
              <c:strCache>
                <c:ptCount val="1"/>
                <c:pt idx="0">
                  <c:v>Net sales</c:v>
                </c:pt>
              </c:strCache>
            </c:strRef>
          </c:tx>
          <c:spPr>
            <a:ln>
              <a:solidFill>
                <a:srgbClr val="C0504D"/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rgbClr val="C0504D"/>
                </a:solidFill>
              </a:ln>
            </c:spPr>
          </c:marker>
          <c:cat>
            <c:numRef>
              <c:f>Ratios!$B$4:$F$4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IS!$B$3:$F$3</c:f>
              <c:numCache>
                <c:formatCode>_("$ "#,##0_);_("$ "\(#,##0\)</c:formatCode>
                <c:ptCount val="5"/>
                <c:pt idx="0">
                  <c:v>7791069</c:v>
                </c:pt>
                <c:pt idx="1">
                  <c:v>7986252</c:v>
                </c:pt>
                <c:pt idx="2">
                  <c:v>8149719</c:v>
                </c:pt>
                <c:pt idx="3">
                  <c:v>8971337</c:v>
                </c:pt>
                <c:pt idx="4">
                  <c:v>10419294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CE-DF4C-A2C9-37AA78275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766648"/>
        <c:axId val="2126763880"/>
      </c:lineChart>
      <c:catAx>
        <c:axId val="2126766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763880"/>
        <c:crosses val="autoZero"/>
        <c:auto val="1"/>
        <c:lblAlgn val="ctr"/>
        <c:lblOffset val="100"/>
        <c:noMultiLvlLbl val="0"/>
      </c:catAx>
      <c:valAx>
        <c:axId val="21267638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_(&quot;$ &quot;#,##0_);_(&quot;$ &quot;\(#,##0\)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766648"/>
        <c:crosses val="autoZero"/>
        <c:crossBetween val="between"/>
      </c:valAx>
      <c:catAx>
        <c:axId val="2126758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126754824"/>
        <c:crosses val="autoZero"/>
        <c:auto val="1"/>
        <c:lblAlgn val="ctr"/>
        <c:lblOffset val="100"/>
        <c:noMultiLvlLbl val="0"/>
      </c:catAx>
      <c:valAx>
        <c:axId val="2126754824"/>
        <c:scaling>
          <c:orientation val="minMax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Gross Margin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758104"/>
        <c:crosses val="max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" l="0.70000000000000095" r="0.70000000000000095" t="0.750000000000002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Net Profit Margin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635186271737701"/>
          <c:y val="0.17301086780832101"/>
          <c:w val="0.80340388244187899"/>
          <c:h val="0.674742384452451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Ratios!$A$8</c:f>
              <c:strCache>
                <c:ptCount val="1"/>
                <c:pt idx="0">
                  <c:v>Net profit margin</c:v>
                </c:pt>
              </c:strCache>
            </c:strRef>
          </c:tx>
          <c:invertIfNegative val="0"/>
          <c:cat>
            <c:numRef>
              <c:f>Ratios!$B$4:$F$4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Ratios!$B$8:$F$8</c:f>
              <c:numCache>
                <c:formatCode>0.0%</c:formatCode>
                <c:ptCount val="5"/>
                <c:pt idx="0">
                  <c:v>0.15114254539396327</c:v>
                </c:pt>
                <c:pt idx="1">
                  <c:v>0.14395889335823614</c:v>
                </c:pt>
                <c:pt idx="2">
                  <c:v>0.15690209686984299</c:v>
                </c:pt>
                <c:pt idx="3">
                  <c:v>0.16469250904296651</c:v>
                </c:pt>
                <c:pt idx="4">
                  <c:v>0.15786261525972872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AA-CE43-9C4B-046BA51AB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6721240"/>
        <c:axId val="2126718072"/>
      </c:barChart>
      <c:catAx>
        <c:axId val="212672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718072"/>
        <c:crosses val="autoZero"/>
        <c:auto val="1"/>
        <c:lblAlgn val="ctr"/>
        <c:lblOffset val="100"/>
        <c:noMultiLvlLbl val="0"/>
      </c:catAx>
      <c:valAx>
        <c:axId val="2126718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72124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" l="0.70000000000000095" r="0.70000000000000095" t="0.750000000000002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ROA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946158356915099"/>
          <c:y val="0.17301086780832101"/>
          <c:w val="0.81180442544294495"/>
          <c:h val="0.674742384452451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Ratios!$A$9</c:f>
              <c:strCache>
                <c:ptCount val="1"/>
                <c:pt idx="0">
                  <c:v>ROA</c:v>
                </c:pt>
              </c:strCache>
            </c:strRef>
          </c:tx>
          <c:invertIfNegative val="0"/>
          <c:cat>
            <c:numRef>
              <c:f>Ratios!$B$4:$F$4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Ratios!$B$9:$F$9</c:f>
              <c:numCache>
                <c:formatCode>0.0%</c:formatCode>
                <c:ptCount val="5"/>
                <c:pt idx="0">
                  <c:v>0.17505440535068803</c:v>
                </c:pt>
                <c:pt idx="1">
                  <c:v>0.16282388270844661</c:v>
                </c:pt>
                <c:pt idx="2">
                  <c:v>0.16654429638590754</c:v>
                </c:pt>
                <c:pt idx="3">
                  <c:v>0.16194366292011203</c:v>
                </c:pt>
                <c:pt idx="4">
                  <c:v>0.17716246718222081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56-3F40-88DE-6F47F5D64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6686344"/>
        <c:axId val="2126683176"/>
      </c:barChart>
      <c:catAx>
        <c:axId val="2126686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683176"/>
        <c:crosses val="autoZero"/>
        <c:auto val="1"/>
        <c:lblAlgn val="ctr"/>
        <c:lblOffset val="100"/>
        <c:noMultiLvlLbl val="0"/>
      </c:catAx>
      <c:valAx>
        <c:axId val="21266831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68634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" l="0.70000000000000095" r="0.70000000000000095" t="0.750000000000002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ROE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58439725171399"/>
          <c:y val="0.17301086780832101"/>
          <c:w val="0.79206170998387504"/>
          <c:h val="0.674742384452451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Ratios!$A$10</c:f>
              <c:strCache>
                <c:ptCount val="1"/>
                <c:pt idx="0">
                  <c:v>ROE</c:v>
                </c:pt>
              </c:strCache>
            </c:strRef>
          </c:tx>
          <c:invertIfNegative val="0"/>
          <c:cat>
            <c:numRef>
              <c:f>Ratios!$B$4:$F$4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Ratios!$B$10:$F$10</c:f>
              <c:numCache>
                <c:formatCode>0.0%</c:formatCode>
                <c:ptCount val="5"/>
                <c:pt idx="0">
                  <c:v>0.83677286312608989</c:v>
                </c:pt>
                <c:pt idx="1">
                  <c:v>0.65885154905976751</c:v>
                </c:pt>
                <c:pt idx="2">
                  <c:v>0.57139180198428607</c:v>
                </c:pt>
                <c:pt idx="3">
                  <c:v>0.5358684389290842</c:v>
                </c:pt>
                <c:pt idx="4">
                  <c:v>0.49849827733771696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2D-3A41-AA66-E27033B7B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6652968"/>
        <c:axId val="2126649800"/>
      </c:barChart>
      <c:catAx>
        <c:axId val="2126652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649800"/>
        <c:crosses val="autoZero"/>
        <c:auto val="1"/>
        <c:lblAlgn val="ctr"/>
        <c:lblOffset val="100"/>
        <c:noMultiLvlLbl val="0"/>
      </c:catAx>
      <c:valAx>
        <c:axId val="2126649800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65296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" l="0.70000000000000095" r="0.70000000000000095" t="0.750000000000002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Current Ratio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707954735139"/>
          <c:y val="0.17301086780832101"/>
          <c:w val="0.82844650460542302"/>
          <c:h val="0.674742384452451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Ratios!$A$13</c:f>
              <c:strCache>
                <c:ptCount val="1"/>
                <c:pt idx="0">
                  <c:v>Current Ratio</c:v>
                </c:pt>
              </c:strCache>
            </c:strRef>
          </c:tx>
          <c:invertIfNegative val="0"/>
          <c:cat>
            <c:numRef>
              <c:f>Ratios!$B$4:$F$4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Ratios!$B$13:$F$13</c:f>
              <c:numCache>
                <c:formatCode>_(* #,##0.00_);_(* \(#,##0.00\);_(* "-"??_);_(@_)</c:formatCode>
                <c:ptCount val="5"/>
                <c:pt idx="0">
                  <c:v>0.92583001662968878</c:v>
                </c:pt>
                <c:pt idx="1">
                  <c:v>1.0539174519226222</c:v>
                </c:pt>
                <c:pt idx="2">
                  <c:v>1.5741577221031375</c:v>
                </c:pt>
                <c:pt idx="3">
                  <c:v>0.90089210620567894</c:v>
                </c:pt>
                <c:pt idx="4">
                  <c:v>0.80450786177135003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BF-5842-828B-1E755021B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7926296"/>
        <c:axId val="2127929448"/>
      </c:barChart>
      <c:catAx>
        <c:axId val="2127926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7929448"/>
        <c:crosses val="autoZero"/>
        <c:auto val="1"/>
        <c:lblAlgn val="ctr"/>
        <c:lblOffset val="100"/>
        <c:noMultiLvlLbl val="0"/>
      </c:catAx>
      <c:valAx>
        <c:axId val="2127929448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792629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" l="0.70000000000000095" r="0.70000000000000095" t="0.750000000000002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Quick Ratio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853654886693299"/>
          <c:y val="0.17301086780832101"/>
          <c:w val="0.821651542466449"/>
          <c:h val="0.674742384452451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Ratios!$A$14</c:f>
              <c:strCache>
                <c:ptCount val="1"/>
                <c:pt idx="0">
                  <c:v>Quick Ratio</c:v>
                </c:pt>
              </c:strCache>
            </c:strRef>
          </c:tx>
          <c:invertIfNegative val="0"/>
          <c:cat>
            <c:numRef>
              <c:f>Ratios!$B$4:$F$4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Ratios!$B$14:$F$14</c:f>
              <c:numCache>
                <c:formatCode>_(* #,##0.00_);_(* \(#,##0.00\);_(* "-"??_);_(@_)</c:formatCode>
                <c:ptCount val="5"/>
                <c:pt idx="0">
                  <c:v>0.48877847451754469</c:v>
                </c:pt>
                <c:pt idx="1">
                  <c:v>0.52856167858012248</c:v>
                </c:pt>
                <c:pt idx="2">
                  <c:v>0.92994563220730064</c:v>
                </c:pt>
                <c:pt idx="3">
                  <c:v>0.40136557263368056</c:v>
                </c:pt>
                <c:pt idx="4">
                  <c:v>0.36077262542698318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51-C14C-BA77-6399A90E5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6637096"/>
        <c:axId val="2126633880"/>
      </c:barChart>
      <c:catAx>
        <c:axId val="2126637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633880"/>
        <c:crosses val="autoZero"/>
        <c:auto val="1"/>
        <c:lblAlgn val="ctr"/>
        <c:lblOffset val="100"/>
        <c:noMultiLvlLbl val="0"/>
      </c:catAx>
      <c:valAx>
        <c:axId val="2126633880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63709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" l="0.70000000000000095" r="0.70000000000000095" t="0.750000000000003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Total Debt-to-Equity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707954735139"/>
          <c:y val="0.17301086780832101"/>
          <c:w val="0.82844650460542302"/>
          <c:h val="0.674742384452451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Ratios!$A$18</c:f>
              <c:strCache>
                <c:ptCount val="1"/>
                <c:pt idx="0">
                  <c:v>Total debt to Equity</c:v>
                </c:pt>
              </c:strCache>
            </c:strRef>
          </c:tx>
          <c:invertIfNegative val="0"/>
          <c:cat>
            <c:numRef>
              <c:f>Ratios!$B$4:$F$4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Ratios!$B$18:$F$18</c:f>
              <c:numCache>
                <c:formatCode>0.00</c:formatCode>
                <c:ptCount val="5"/>
                <c:pt idx="0">
                  <c:v>3.1675575193318108</c:v>
                </c:pt>
                <c:pt idx="1">
                  <c:v>2.4449854841907768</c:v>
                </c:pt>
                <c:pt idx="2">
                  <c:v>2.0566870564725681</c:v>
                </c:pt>
                <c:pt idx="3">
                  <c:v>1.8238942068286674</c:v>
                </c:pt>
                <c:pt idx="4">
                  <c:v>1.4521233843221972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0C-0649-AFDF-BAE327B39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6602328"/>
        <c:axId val="2126599160"/>
      </c:barChart>
      <c:catAx>
        <c:axId val="2126602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599160"/>
        <c:crosses val="autoZero"/>
        <c:auto val="1"/>
        <c:lblAlgn val="ctr"/>
        <c:lblOffset val="100"/>
        <c:noMultiLvlLbl val="0"/>
      </c:catAx>
      <c:valAx>
        <c:axId val="21265991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60232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" l="0.70000000000000095" r="0.70000000000000095" t="0.750000000000003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Liabilities to Equity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853654886693299"/>
          <c:y val="0.17301086780832101"/>
          <c:w val="0.821651542466449"/>
          <c:h val="0.674742384452451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Ratios!$A$20</c:f>
              <c:strCache>
                <c:ptCount val="1"/>
                <c:pt idx="0">
                  <c:v>Liabilities to Equity</c:v>
                </c:pt>
              </c:strCache>
            </c:strRef>
          </c:tx>
          <c:invertIfNegative val="0"/>
          <c:cat>
            <c:numRef>
              <c:f>Ratios!$B$4:$F$4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Ratios!$B$20:$F$20</c:f>
              <c:numCache>
                <c:formatCode>0.00</c:formatCode>
                <c:ptCount val="5"/>
                <c:pt idx="0">
                  <c:v>4.4737483887196881</c:v>
                </c:pt>
                <c:pt idx="1">
                  <c:v>3.6649988481335751</c:v>
                </c:pt>
                <c:pt idx="2">
                  <c:v>3.0805730237014179</c:v>
                </c:pt>
                <c:pt idx="3">
                  <c:v>2.7763388532472275</c:v>
                </c:pt>
                <c:pt idx="4">
                  <c:v>2.3182827687704726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B6-144A-8D36-B066E8433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6570184"/>
        <c:axId val="2126567016"/>
      </c:barChart>
      <c:catAx>
        <c:axId val="2126570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567016"/>
        <c:crosses val="autoZero"/>
        <c:auto val="1"/>
        <c:lblAlgn val="ctr"/>
        <c:lblOffset val="100"/>
        <c:noMultiLvlLbl val="0"/>
      </c:catAx>
      <c:valAx>
        <c:axId val="21265670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57018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" l="0.70000000000000095" r="0.70000000000000095" t="0.750000000000003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Total Debt to Total Capital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707954735139"/>
          <c:y val="0.17301086780832101"/>
          <c:w val="0.82844650460542302"/>
          <c:h val="0.674742384452451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Ratios!$A$21</c:f>
              <c:strCache>
                <c:ptCount val="1"/>
                <c:pt idx="0">
                  <c:v>Total debt to total capital</c:v>
                </c:pt>
              </c:strCache>
            </c:strRef>
          </c:tx>
          <c:invertIfNegative val="0"/>
          <c:cat>
            <c:numRef>
              <c:f>Ratios!$B$4:$F$4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Ratios!$B$21:$F$21</c:f>
              <c:numCache>
                <c:formatCode>0.00</c:formatCode>
                <c:ptCount val="5"/>
                <c:pt idx="0">
                  <c:v>0.76005130214487571</c:v>
                </c:pt>
                <c:pt idx="1">
                  <c:v>0.70972301491862488</c:v>
                </c:pt>
                <c:pt idx="2">
                  <c:v>0.67284842002962353</c:v>
                </c:pt>
                <c:pt idx="3">
                  <c:v>0.64587908513646652</c:v>
                </c:pt>
                <c:pt idx="4">
                  <c:v>0.59219017835988108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BE-7A45-82ED-44300DF2B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6541944"/>
        <c:axId val="2126538776"/>
      </c:barChart>
      <c:catAx>
        <c:axId val="2126541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538776"/>
        <c:crosses val="autoZero"/>
        <c:auto val="1"/>
        <c:lblAlgn val="ctr"/>
        <c:lblOffset val="100"/>
        <c:noMultiLvlLbl val="0"/>
      </c:catAx>
      <c:valAx>
        <c:axId val="21265387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654194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" l="0.70000000000000095" r="0.70000000000000095" t="0.750000000000003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Long-term Debt Ratio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853654886693299"/>
          <c:y val="0.17301086780832101"/>
          <c:w val="0.821651542466449"/>
          <c:h val="0.674742384452451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Ratios!$A$19</c:f>
              <c:strCache>
                <c:ptCount val="1"/>
                <c:pt idx="0">
                  <c:v>Long-term debt ratio</c:v>
                </c:pt>
              </c:strCache>
            </c:strRef>
          </c:tx>
          <c:invertIfNegative val="0"/>
          <c:cat>
            <c:numRef>
              <c:f>Ratios!$B$4:$F$4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Ratios!$B$19:$F$19</c:f>
              <c:numCache>
                <c:formatCode>0.00</c:formatCode>
                <c:ptCount val="5"/>
                <c:pt idx="0">
                  <c:v>0.69811174232754536</c:v>
                </c:pt>
                <c:pt idx="1">
                  <c:v>0.66924605088851807</c:v>
                </c:pt>
                <c:pt idx="2">
                  <c:v>0.64633201203987967</c:v>
                </c:pt>
                <c:pt idx="3">
                  <c:v>0.59712346373155722</c:v>
                </c:pt>
                <c:pt idx="4">
                  <c:v>0.50334408516206997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06-B844-951B-262994310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8912984"/>
        <c:axId val="2128916136"/>
      </c:barChart>
      <c:catAx>
        <c:axId val="2128912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8916136"/>
        <c:crosses val="autoZero"/>
        <c:auto val="1"/>
        <c:lblAlgn val="ctr"/>
        <c:lblOffset val="100"/>
        <c:noMultiLvlLbl val="0"/>
      </c:catAx>
      <c:valAx>
        <c:axId val="21289161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891298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" l="0.70000000000000095" r="0.70000000000000095" t="0.750000000000003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Interest Coverage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555813075678"/>
          <c:y val="0.17301086780832101"/>
          <c:w val="0.86659864626488703"/>
          <c:h val="0.674742384452451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Ratios!$A$28</c:f>
              <c:strCache>
                <c:ptCount val="1"/>
                <c:pt idx="0">
                  <c:v>Interest coverage</c:v>
                </c:pt>
              </c:strCache>
            </c:strRef>
          </c:tx>
          <c:invertIfNegative val="0"/>
          <c:cat>
            <c:numRef>
              <c:f>Ratios!$B$4:$F$4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Ratios!$B$28:$F$28</c:f>
              <c:numCache>
                <c:formatCode>0.00</c:formatCode>
                <c:ptCount val="5"/>
                <c:pt idx="0">
                  <c:v>12.255362830789668</c:v>
                </c:pt>
                <c:pt idx="1">
                  <c:v>11.440188094965018</c:v>
                </c:pt>
                <c:pt idx="2">
                  <c:v>11.811422513748095</c:v>
                </c:pt>
                <c:pt idx="3">
                  <c:v>16.000829901507917</c:v>
                </c:pt>
                <c:pt idx="4">
                  <c:v>17.158761963311246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CA-BD4C-B24A-3C6C1D1BB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8944776"/>
        <c:axId val="2128947928"/>
      </c:barChart>
      <c:catAx>
        <c:axId val="2128944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8947928"/>
        <c:crosses val="autoZero"/>
        <c:auto val="1"/>
        <c:lblAlgn val="ctr"/>
        <c:lblOffset val="100"/>
        <c:noMultiLvlLbl val="0"/>
      </c:catAx>
      <c:valAx>
        <c:axId val="21289479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894477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" l="0.70000000000000095" r="0.70000000000000095" t="0.750000000000003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Operating Cash Flow to Total Liabilities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Ratios!$A$25</c:f>
              <c:strCache>
                <c:ptCount val="1"/>
                <c:pt idx="0">
                  <c:v>Operating cash flow to total liabilities</c:v>
                </c:pt>
              </c:strCache>
            </c:strRef>
          </c:tx>
          <c:invertIfNegative val="0"/>
          <c:cat>
            <c:numRef>
              <c:f>Ratios!$B$4:$F$4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Ratios!$B$25:$F$25</c:f>
              <c:numCache>
                <c:formatCode>0.00</c:formatCode>
                <c:ptCount val="5"/>
                <c:pt idx="0">
                  <c:v>0.25413842408709109</c:v>
                </c:pt>
                <c:pt idx="1">
                  <c:v>0.27580334681124763</c:v>
                </c:pt>
                <c:pt idx="2">
                  <c:v>0.2465428443034644</c:v>
                </c:pt>
                <c:pt idx="3">
                  <c:v>0.27209450761737225</c:v>
                </c:pt>
                <c:pt idx="4">
                  <c:v>0.30432121941998169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40-2B42-80ED-CFC9AF40C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8976456"/>
        <c:axId val="2128979608"/>
      </c:barChart>
      <c:catAx>
        <c:axId val="2128976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8979608"/>
        <c:crosses val="autoZero"/>
        <c:auto val="1"/>
        <c:lblAlgn val="ctr"/>
        <c:lblOffset val="100"/>
        <c:noMultiLvlLbl val="0"/>
      </c:catAx>
      <c:valAx>
        <c:axId val="21289796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897645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" l="0.70000000000000095" r="0.70000000000000095" t="0.750000000000003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Operating Leverage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555813075678"/>
          <c:y val="0.17301086780832101"/>
          <c:w val="0.86659864626488703"/>
          <c:h val="0.7716284704251139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Ratios!$A$31</c:f>
              <c:strCache>
                <c:ptCount val="1"/>
                <c:pt idx="0">
                  <c:v>Operating Leverage</c:v>
                </c:pt>
              </c:strCache>
            </c:strRef>
          </c:tx>
          <c:invertIfNegative val="0"/>
          <c:cat>
            <c:numRef>
              <c:f>Ratios!$C$4:$F$4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Ratios!$C$31:$F$31</c:f>
              <c:numCache>
                <c:formatCode>0.00</c:formatCode>
                <c:ptCount val="4"/>
                <c:pt idx="0">
                  <c:v>-0.68128177373869414</c:v>
                </c:pt>
                <c:pt idx="1">
                  <c:v>5.7166868162614035</c:v>
                </c:pt>
                <c:pt idx="2">
                  <c:v>1.4523635898979657</c:v>
                </c:pt>
                <c:pt idx="3">
                  <c:v>0.65806605417075037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8-A342-8751-77EB9B0B0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7954408"/>
        <c:axId val="2127957608"/>
      </c:barChart>
      <c:catAx>
        <c:axId val="212795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7957608"/>
        <c:crosses val="autoZero"/>
        <c:auto val="1"/>
        <c:lblAlgn val="ctr"/>
        <c:lblOffset val="100"/>
        <c:noMultiLvlLbl val="0"/>
      </c:catAx>
      <c:valAx>
        <c:axId val="21279576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79544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" l="0.70000000000000095" r="0.70000000000000095" t="0.750000000000003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Asset Turnover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Ratios!$A$34</c:f>
              <c:strCache>
                <c:ptCount val="1"/>
                <c:pt idx="0">
                  <c:v>Asset turnover</c:v>
                </c:pt>
              </c:strCache>
            </c:strRef>
          </c:tx>
          <c:invertIfNegative val="0"/>
          <c:cat>
            <c:numRef>
              <c:f>Ratios!$C$4:$F$4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Ratios!$C$34:$F$34</c:f>
              <c:numCache>
                <c:formatCode>0.00</c:formatCode>
                <c:ptCount val="4"/>
                <c:pt idx="0">
                  <c:v>1.0081478014683072</c:v>
                </c:pt>
                <c:pt idx="1">
                  <c:v>0.943678295345595</c:v>
                </c:pt>
                <c:pt idx="2">
                  <c:v>0.9180620255467693</c:v>
                </c:pt>
                <c:pt idx="3">
                  <c:v>0.97554132519041314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58-C346-AB09-6F7D7C83C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9006520"/>
        <c:axId val="2129009720"/>
      </c:barChart>
      <c:catAx>
        <c:axId val="2129006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9009720"/>
        <c:crosses val="autoZero"/>
        <c:auto val="1"/>
        <c:lblAlgn val="ctr"/>
        <c:lblOffset val="100"/>
        <c:noMultiLvlLbl val="0"/>
      </c:catAx>
      <c:valAx>
        <c:axId val="212900972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900652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" l="0.70000000000000095" r="0.70000000000000095" t="0.750000000000003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Receivables Turnover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0838432522524507E-2"/>
          <c:y val="0.17301086780832101"/>
          <c:w val="0.879316026818036"/>
          <c:h val="0.674742384452451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Ratios!$A$35</c:f>
              <c:strCache>
                <c:ptCount val="1"/>
                <c:pt idx="0">
                  <c:v>Receivables turnover</c:v>
                </c:pt>
              </c:strCache>
            </c:strRef>
          </c:tx>
          <c:invertIfNegative val="0"/>
          <c:cat>
            <c:numRef>
              <c:f>Ratios!$C$4:$F$4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Ratios!$C$35:$F$35</c:f>
              <c:numCache>
                <c:formatCode>0.00</c:formatCode>
                <c:ptCount val="4"/>
                <c:pt idx="0">
                  <c:v>13.737968475573988</c:v>
                </c:pt>
                <c:pt idx="1">
                  <c:v>13.769417660267187</c:v>
                </c:pt>
                <c:pt idx="2">
                  <c:v>13.944754670291452</c:v>
                </c:pt>
                <c:pt idx="3">
                  <c:v>15.071299163139065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66-9145-8B91-556DDA1C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9037640"/>
        <c:axId val="2129040792"/>
      </c:barChart>
      <c:catAx>
        <c:axId val="2129037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9040792"/>
        <c:crosses val="autoZero"/>
        <c:auto val="1"/>
        <c:lblAlgn val="ctr"/>
        <c:lblOffset val="100"/>
        <c:noMultiLvlLbl val="0"/>
      </c:catAx>
      <c:valAx>
        <c:axId val="21290407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903764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" l="0.70000000000000095" r="0.70000000000000095" t="0.750000000000003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Inventory Turnover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Ratios!$A$36</c:f>
              <c:strCache>
                <c:ptCount val="1"/>
                <c:pt idx="0">
                  <c:v>Inventory turnover</c:v>
                </c:pt>
              </c:strCache>
            </c:strRef>
          </c:tx>
          <c:invertIfNegative val="0"/>
          <c:cat>
            <c:numRef>
              <c:f>Ratios!$C$4:$F$4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Ratios!$C$36:$F$36</c:f>
              <c:numCache>
                <c:formatCode>0.00</c:formatCode>
                <c:ptCount val="4"/>
                <c:pt idx="0">
                  <c:v>5.4542743402098584</c:v>
                </c:pt>
                <c:pt idx="1">
                  <c:v>4.9997808321410231</c:v>
                </c:pt>
                <c:pt idx="2">
                  <c:v>5.0419353946652823</c:v>
                </c:pt>
                <c:pt idx="3">
                  <c:v>5.4778190532144722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1D-934B-89D5-44E892B4C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9071736"/>
        <c:axId val="2129074888"/>
      </c:barChart>
      <c:catAx>
        <c:axId val="2129071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9074888"/>
        <c:crosses val="autoZero"/>
        <c:auto val="1"/>
        <c:lblAlgn val="ctr"/>
        <c:lblOffset val="100"/>
        <c:noMultiLvlLbl val="0"/>
      </c:catAx>
      <c:valAx>
        <c:axId val="212907488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907173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" l="0.70000000000000095" r="0.70000000000000095" t="0.750000000000003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108759</xdr:colOff>
      <xdr:row>0</xdr:row>
      <xdr:rowOff>0</xdr:rowOff>
    </xdr:from>
    <xdr:to>
      <xdr:col>14</xdr:col>
      <xdr:colOff>499533</xdr:colOff>
      <xdr:row>15</xdr:row>
      <xdr:rowOff>164132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6E4580-5D02-4569-B756-3C0CA3004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3059" y="0"/>
          <a:ext cx="4251574" cy="2894632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</xdr:row>
      <xdr:rowOff>173083</xdr:rowOff>
    </xdr:from>
    <xdr:to>
      <xdr:col>8</xdr:col>
      <xdr:colOff>108759</xdr:colOff>
      <xdr:row>13</xdr:row>
      <xdr:rowOff>101600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6E49E5D-6E49-5889-8DC5-D9C683E5591F}"/>
            </a:ext>
          </a:extLst>
        </xdr:cNvPr>
        <xdr:cNvCxnSpPr>
          <a:endCxn id="2" idx="1"/>
        </xdr:cNvCxnSpPr>
      </xdr:nvCxnSpPr>
      <xdr:spPr>
        <a:xfrm flipV="1">
          <a:off x="5177367" y="1447316"/>
          <a:ext cx="1395692" cy="10207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80433</xdr:colOff>
      <xdr:row>15</xdr:row>
      <xdr:rowOff>169333</xdr:rowOff>
    </xdr:from>
    <xdr:to>
      <xdr:col>14</xdr:col>
      <xdr:colOff>491067</xdr:colOff>
      <xdr:row>32</xdr:row>
      <xdr:rowOff>9107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788EF89-D92C-4DA0-B1F6-99CB7AAE8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4733" y="2899833"/>
          <a:ext cx="4271434" cy="2934341"/>
        </a:xfrm>
        <a:prstGeom prst="rect">
          <a:avLst/>
        </a:prstGeom>
      </xdr:spPr>
    </xdr:pic>
    <xdr:clientData/>
  </xdr:twoCellAnchor>
  <xdr:twoCellAnchor>
    <xdr:from>
      <xdr:col>6</xdr:col>
      <xdr:colOff>4233</xdr:colOff>
      <xdr:row>14</xdr:row>
      <xdr:rowOff>93133</xdr:rowOff>
    </xdr:from>
    <xdr:to>
      <xdr:col>8</xdr:col>
      <xdr:colOff>80433</xdr:colOff>
      <xdr:row>23</xdr:row>
      <xdr:rowOff>180237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A534D38-5828-1E38-22F2-B2BADAF20F26}"/>
            </a:ext>
          </a:extLst>
        </xdr:cNvPr>
        <xdr:cNvCxnSpPr>
          <a:endCxn id="5" idx="1"/>
        </xdr:cNvCxnSpPr>
      </xdr:nvCxnSpPr>
      <xdr:spPr>
        <a:xfrm>
          <a:off x="5181600" y="2641600"/>
          <a:ext cx="1363133" cy="1725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4826001</xdr:colOff>
      <xdr:row>30</xdr:row>
      <xdr:rowOff>81643</xdr:rowOff>
    </xdr:from>
    <xdr:to>
      <xdr:col>24</xdr:col>
      <xdr:colOff>188686</xdr:colOff>
      <xdr:row>43</xdr:row>
      <xdr:rowOff>87340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A27F0F-0CDA-E224-4651-C5596B5A0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51715" y="3292929"/>
          <a:ext cx="7772400" cy="22076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1054100</xdr:colOff>
      <xdr:row>2</xdr:row>
      <xdr:rowOff>101600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ED1CE73B-F56F-DB4D-A977-A46BD5D62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5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165100</xdr:colOff>
      <xdr:row>12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59975990-729D-D14C-AB19-85589CA6C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700"/>
          <a:ext cx="990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165100</xdr:colOff>
      <xdr:row>13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BFA3DF04-D1AC-BF4E-B42D-6B127177C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990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165100</xdr:colOff>
      <xdr:row>14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CAEB0702-FC63-5442-8CE7-2ABCC6EF2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6100"/>
          <a:ext cx="990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165100</xdr:colOff>
      <xdr:row>15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151AC13C-C252-7640-85CE-F199DE29D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5800"/>
          <a:ext cx="990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165100</xdr:colOff>
      <xdr:row>16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673443D7-FBA4-CD40-ABCB-2D477107B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90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165100</xdr:colOff>
      <xdr:row>17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80D94D3-68FB-9B4D-A458-1D674720F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990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165100</xdr:colOff>
      <xdr:row>18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F5550C7E-5E3A-3644-A428-2599F40D5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4900"/>
          <a:ext cx="990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165100</xdr:colOff>
      <xdr:row>19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297DD209-C74A-6B4C-AF6F-52618FE22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990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165100</xdr:colOff>
      <xdr:row>20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350BFD3E-15C0-4247-B7AD-3EF5DD5AC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90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165100</xdr:colOff>
      <xdr:row>21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E22B5F1A-61FF-5F43-B1DD-8DCB483BC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4000"/>
          <a:ext cx="990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165100</xdr:colOff>
      <xdr:row>22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C72AB148-1989-004F-ADCE-479378364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"/>
          <a:ext cx="990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165100</xdr:colOff>
      <xdr:row>23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FA3271ED-3CC7-8E40-BEAF-07A377D71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3400"/>
          <a:ext cx="990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3</xdr:col>
      <xdr:colOff>723900</xdr:colOff>
      <xdr:row>27</xdr:row>
      <xdr:rowOff>50800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9B8B18-1065-0B46-9CF2-CD93A80B3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32200"/>
          <a:ext cx="7239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312964</xdr:colOff>
      <xdr:row>40</xdr:row>
      <xdr:rowOff>57151</xdr:rowOff>
    </xdr:from>
    <xdr:to>
      <xdr:col>4</xdr:col>
      <xdr:colOff>322384</xdr:colOff>
      <xdr:row>57</xdr:row>
      <xdr:rowOff>28576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D88E24-117D-1247-A713-5B26047705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73025</xdr:colOff>
      <xdr:row>40</xdr:row>
      <xdr:rowOff>111125</xdr:rowOff>
    </xdr:from>
    <xdr:to>
      <xdr:col>12</xdr:col>
      <xdr:colOff>4667251</xdr:colOff>
      <xdr:row>57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61A21A-631F-7F49-9B5F-30085BE371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323850</xdr:colOff>
      <xdr:row>58</xdr:row>
      <xdr:rowOff>38100</xdr:rowOff>
    </xdr:from>
    <xdr:to>
      <xdr:col>4</xdr:col>
      <xdr:colOff>333270</xdr:colOff>
      <xdr:row>75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BF1EF4-EDDB-7E4C-808A-91EAD7A087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41276</xdr:colOff>
      <xdr:row>58</xdr:row>
      <xdr:rowOff>177800</xdr:rowOff>
    </xdr:from>
    <xdr:to>
      <xdr:col>12</xdr:col>
      <xdr:colOff>4622956</xdr:colOff>
      <xdr:row>75</xdr:row>
      <xdr:rowOff>149225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797873E-1057-F241-B0C6-1DDD95685E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312963</xdr:colOff>
      <xdr:row>76</xdr:row>
      <xdr:rowOff>95251</xdr:rowOff>
    </xdr:from>
    <xdr:to>
      <xdr:col>4</xdr:col>
      <xdr:colOff>332619</xdr:colOff>
      <xdr:row>93</xdr:row>
      <xdr:rowOff>65315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26BD33-3EC6-5B4D-A6A9-981B065AB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69851</xdr:colOff>
      <xdr:row>76</xdr:row>
      <xdr:rowOff>121557</xdr:rowOff>
    </xdr:from>
    <xdr:to>
      <xdr:col>12</xdr:col>
      <xdr:colOff>4684002</xdr:colOff>
      <xdr:row>93</xdr:row>
      <xdr:rowOff>92982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0CDED17-A369-714D-A7D5-9EE8A5B435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272143</xdr:colOff>
      <xdr:row>94</xdr:row>
      <xdr:rowOff>81643</xdr:rowOff>
    </xdr:from>
    <xdr:to>
      <xdr:col>4</xdr:col>
      <xdr:colOff>371231</xdr:colOff>
      <xdr:row>111</xdr:row>
      <xdr:rowOff>51707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F4C76C2-F233-DC4A-82A6-EB1D7C9CDB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56243</xdr:colOff>
      <xdr:row>94</xdr:row>
      <xdr:rowOff>126093</xdr:rowOff>
    </xdr:from>
    <xdr:to>
      <xdr:col>12</xdr:col>
      <xdr:colOff>4698749</xdr:colOff>
      <xdr:row>111</xdr:row>
      <xdr:rowOff>97518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4F475E1-9014-3D4C-A1D4-8800E3E8A7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272142</xdr:colOff>
      <xdr:row>112</xdr:row>
      <xdr:rowOff>149679</xdr:rowOff>
    </xdr:from>
    <xdr:to>
      <xdr:col>4</xdr:col>
      <xdr:colOff>351692</xdr:colOff>
      <xdr:row>129</xdr:row>
      <xdr:rowOff>119743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E1A085F-CE16-0443-A433-AC137F3C1C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69850</xdr:colOff>
      <xdr:row>112</xdr:row>
      <xdr:rowOff>92075</xdr:rowOff>
    </xdr:from>
    <xdr:to>
      <xdr:col>12</xdr:col>
      <xdr:colOff>4818423</xdr:colOff>
      <xdr:row>129</xdr:row>
      <xdr:rowOff>63500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74BC896-5577-B143-8E70-AF519ED4C9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285749</xdr:colOff>
      <xdr:row>131</xdr:row>
      <xdr:rowOff>0</xdr:rowOff>
    </xdr:from>
    <xdr:to>
      <xdr:col>4</xdr:col>
      <xdr:colOff>333763</xdr:colOff>
      <xdr:row>147</xdr:row>
      <xdr:rowOff>133350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0FBB1A2-280C-1644-9EA2-5C629B2D9C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56244</xdr:colOff>
      <xdr:row>130</xdr:row>
      <xdr:rowOff>151039</xdr:rowOff>
    </xdr:from>
    <xdr:to>
      <xdr:col>12</xdr:col>
      <xdr:colOff>4826082</xdr:colOff>
      <xdr:row>147</xdr:row>
      <xdr:rowOff>122464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642692A-4E54-234E-B384-E055DFA193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299356</xdr:colOff>
      <xdr:row>148</xdr:row>
      <xdr:rowOff>166076</xdr:rowOff>
    </xdr:from>
    <xdr:to>
      <xdr:col>4</xdr:col>
      <xdr:colOff>333880</xdr:colOff>
      <xdr:row>165</xdr:row>
      <xdr:rowOff>133350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57FB5AA-FDC5-A544-923E-EA718C5C1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41276</xdr:colOff>
      <xdr:row>148</xdr:row>
      <xdr:rowOff>150132</xdr:rowOff>
    </xdr:from>
    <xdr:to>
      <xdr:col>12</xdr:col>
      <xdr:colOff>4826000</xdr:colOff>
      <xdr:row>165</xdr:row>
      <xdr:rowOff>129721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7C7EA2E-DA8D-3B4D-9495-CBA09578C7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326571</xdr:colOff>
      <xdr:row>167</xdr:row>
      <xdr:rowOff>13607</xdr:rowOff>
    </xdr:from>
    <xdr:to>
      <xdr:col>4</xdr:col>
      <xdr:colOff>234460</xdr:colOff>
      <xdr:row>183</xdr:row>
      <xdr:rowOff>146957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33F9945-D67E-BC4A-B538-E7C70F7902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12</xdr:col>
      <xdr:colOff>70758</xdr:colOff>
      <xdr:row>166</xdr:row>
      <xdr:rowOff>130629</xdr:rowOff>
    </xdr:from>
    <xdr:to>
      <xdr:col>12</xdr:col>
      <xdr:colOff>4837474</xdr:colOff>
      <xdr:row>183</xdr:row>
      <xdr:rowOff>122918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65BF244-B9D2-004C-8AE0-BEAD19D4BD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Courses\BUFN760\Spr'15\0101\MKC%20Class%20Examp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Volumes\Users\skroncke\Courses\BUFN760\Fall'15\AAPL\Towers_Comps%20Q4%202013%2012.31.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Volumes\Users\skroncke\Courses\BUFN760\Fall'15\AAPL\tabl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CF"/>
      <sheetName val="Inc. Stmt."/>
      <sheetName val="Bal. Sheet"/>
      <sheetName val="Derived Cash Flows"/>
      <sheetName val="Ke"/>
      <sheetName val="Hist. Cash Flows"/>
    </sheetNames>
    <sheetDataSet>
      <sheetData sheetId="0" refreshError="1">
        <row r="3">
          <cell r="L3">
            <v>1</v>
          </cell>
        </row>
        <row r="4">
          <cell r="K4">
            <v>1</v>
          </cell>
          <cell r="L4" t="str">
            <v>Base Case</v>
          </cell>
        </row>
        <row r="5">
          <cell r="K5">
            <v>2</v>
          </cell>
          <cell r="L5" t="str">
            <v>Best Case</v>
          </cell>
        </row>
        <row r="6">
          <cell r="K6">
            <v>3</v>
          </cell>
          <cell r="L6" t="str">
            <v>Worst Case</v>
          </cell>
        </row>
      </sheetData>
      <sheetData sheetId="1" refreshError="1"/>
      <sheetData sheetId="2" refreshError="1"/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S"/>
      <sheetName val="__FDSCACHE__"/>
      <sheetName val="Output Charts from Comps"/>
      <sheetName val="OutputWCPdeck"/>
      <sheetName val="Debt"/>
      <sheetName val="OW&amp;C"/>
      <sheetName val="__FDS_SIDEBAR__"/>
      <sheetName val="Sheet3"/>
      <sheetName val="AMT"/>
      <sheetName val="CCI"/>
      <sheetName val="AMT-07"/>
      <sheetName val="CCI-07"/>
      <sheetName val="SBAC-07"/>
      <sheetName val="Tenant per tower"/>
      <sheetName val="SBAC"/>
      <sheetName val="GTL"/>
      <sheetName val="Bersama"/>
      <sheetName val="NII Holdings"/>
      <sheetName val="America Movil"/>
      <sheetName val="DMT-Italy"/>
      <sheetName val="AMT-HistIS"/>
      <sheetName val="SBAC-HistIS"/>
      <sheetName val="Bar Graphs"/>
      <sheetName val="WACCsummary"/>
      <sheetName val="Graphs"/>
      <sheetName val="Stockprice"/>
      <sheetName val="Stockprice-Jan 2006"/>
      <sheetName val="Stock - Jan11"/>
      <sheetName val="FTSENAREIT Prices"/>
      <sheetName val="Historical"/>
      <sheetName val="Tower Transactions"/>
      <sheetName val="Tower Trans. Count"/>
      <sheetName val="AMT International "/>
      <sheetName val="WACC &amp; Terminal Growth"/>
      <sheetName val="Precedent transaction"/>
      <sheetName val="Towers sale Emerging Mrks"/>
      <sheetName val="Company Ratings"/>
      <sheetName val="Sheet1"/>
      <sheetName val="Q2 2008 LQA"/>
      <sheetName val="Since AMT Conversion"/>
      <sheetName val="Stockprice (3)"/>
      <sheetName val="SBAC 2012"/>
      <sheetName val="CCI 2012"/>
      <sheetName val="__APW_ACTIVE_FIELD_RESTORE__"/>
      <sheetName val="Sheet2"/>
      <sheetName val="LTM"/>
    </sheetNames>
    <sheetDataSet>
      <sheetData sheetId="0">
        <row r="2">
          <cell r="A2">
            <v>41722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"/>
    </sheetNames>
    <sheetDataSet>
      <sheetData sheetId="0">
        <row r="2">
          <cell r="K2">
            <v>38281</v>
          </cell>
          <cell r="L2">
            <v>806</v>
          </cell>
          <cell r="M2">
            <v>0.7</v>
          </cell>
        </row>
        <row r="3">
          <cell r="K3">
            <v>38384</v>
          </cell>
          <cell r="L3">
            <v>1031</v>
          </cell>
          <cell r="M3">
            <v>0.92</v>
          </cell>
        </row>
        <row r="4">
          <cell r="K4">
            <v>38463</v>
          </cell>
          <cell r="L4">
            <v>1256</v>
          </cell>
          <cell r="M4">
            <v>1.29</v>
          </cell>
        </row>
        <row r="5">
          <cell r="K5">
            <v>38554</v>
          </cell>
          <cell r="L5">
            <v>1384</v>
          </cell>
          <cell r="M5">
            <v>1.36</v>
          </cell>
        </row>
        <row r="6">
          <cell r="K6">
            <v>38646</v>
          </cell>
          <cell r="L6">
            <v>1578</v>
          </cell>
          <cell r="M6">
            <v>1.51</v>
          </cell>
        </row>
        <row r="7">
          <cell r="K7">
            <v>38748</v>
          </cell>
          <cell r="L7">
            <v>1919</v>
          </cell>
          <cell r="M7">
            <v>1.54</v>
          </cell>
        </row>
        <row r="8">
          <cell r="K8">
            <v>38827</v>
          </cell>
          <cell r="L8">
            <v>1531</v>
          </cell>
          <cell r="M8">
            <v>2.29</v>
          </cell>
        </row>
        <row r="9">
          <cell r="K9">
            <v>38918</v>
          </cell>
          <cell r="L9">
            <v>1671</v>
          </cell>
          <cell r="M9">
            <v>2.4900000000000002</v>
          </cell>
        </row>
        <row r="10">
          <cell r="K10">
            <v>39009</v>
          </cell>
          <cell r="L10">
            <v>1865</v>
          </cell>
          <cell r="M10">
            <v>2.62</v>
          </cell>
        </row>
        <row r="11">
          <cell r="K11">
            <v>39113</v>
          </cell>
          <cell r="L11">
            <v>2230</v>
          </cell>
          <cell r="M11">
            <v>3.18</v>
          </cell>
        </row>
        <row r="12">
          <cell r="K12">
            <v>39191</v>
          </cell>
          <cell r="L12">
            <v>2530</v>
          </cell>
          <cell r="M12">
            <v>3.68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.@Risk%20Monte%20Carlo%20Simulation%20on%20Base%20cas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f.org/external/datamapper/PCPIPCH@WEO/OEMDC/ADVEC/WEOWORLD/NMQ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9384-F386-4DE7-980F-5276C0DA47BF}">
  <dimension ref="B2:C3"/>
  <sheetViews>
    <sheetView workbookViewId="0">
      <selection activeCell="E14" sqref="E14"/>
    </sheetView>
  </sheetViews>
  <sheetFormatPr defaultRowHeight="14.35"/>
  <cols>
    <col min="1" max="1" width="8.9375" style="429"/>
    <col min="2" max="2" width="12.1171875" style="429" bestFit="1" customWidth="1"/>
    <col min="3" max="3" width="9.8203125" style="429" customWidth="1"/>
    <col min="4" max="16384" width="8.9375" style="429"/>
  </cols>
  <sheetData>
    <row r="2" spans="2:3">
      <c r="B2" s="429" t="s">
        <v>422</v>
      </c>
      <c r="C2" s="429" t="s">
        <v>424</v>
      </c>
    </row>
    <row r="3" spans="2:3">
      <c r="B3" s="429" t="s">
        <v>423</v>
      </c>
      <c r="C3" s="429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9DC3-79AB-4D8E-86C5-34B9A69BE283}">
  <sheetPr>
    <tabColor theme="7" tint="-0.499984740745262"/>
  </sheetPr>
  <dimension ref="E13:F18"/>
  <sheetViews>
    <sheetView workbookViewId="0">
      <selection activeCell="F25" sqref="F25"/>
    </sheetView>
  </sheetViews>
  <sheetFormatPr defaultRowHeight="14.35"/>
  <cols>
    <col min="1" max="4" width="8.9375" style="276"/>
    <col min="5" max="5" width="27.234375" style="276" bestFit="1" customWidth="1"/>
    <col min="6" max="16384" width="8.9375" style="276"/>
  </cols>
  <sheetData>
    <row r="13" spans="5:6">
      <c r="E13" s="418" t="s">
        <v>294</v>
      </c>
      <c r="F13" s="419">
        <f>'DCF FCFE'!B7</f>
        <v>261</v>
      </c>
    </row>
    <row r="14" spans="5:6">
      <c r="E14" s="420" t="s">
        <v>415</v>
      </c>
      <c r="F14" s="421">
        <f ca="1">'DCF FCFE'!B9</f>
        <v>224.00625561391047</v>
      </c>
    </row>
    <row r="15" spans="5:6">
      <c r="E15" s="422" t="s">
        <v>416</v>
      </c>
      <c r="F15" s="423">
        <f ca="1">'DCF FCFE'!B10</f>
        <v>231.41769680094555</v>
      </c>
    </row>
    <row r="16" spans="5:6">
      <c r="E16" s="424" t="s">
        <v>417</v>
      </c>
      <c r="F16" s="425">
        <f ca="1">F14/F13-1</f>
        <v>-0.14173848423789093</v>
      </c>
    </row>
    <row r="17" spans="5:6">
      <c r="E17" s="426" t="s">
        <v>418</v>
      </c>
      <c r="F17" s="427">
        <f ca="1">F15/F13-1</f>
        <v>-0.11334215785078339</v>
      </c>
    </row>
    <row r="18" spans="5:6">
      <c r="E18" s="428" t="s">
        <v>421</v>
      </c>
    </row>
  </sheetData>
  <hyperlinks>
    <hyperlink ref="E18" r:id="rId1" display=".@Risk Monte Carlo Simulation on Base case" xr:uid="{A432E1B0-A9F6-44BE-A96B-3A20286604D6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549A-5A63-4E6A-AA7B-8B7D7D160A09}">
  <sheetPr>
    <tabColor theme="7" tint="-0.499984740745262"/>
  </sheetPr>
  <dimension ref="B1:XFD11"/>
  <sheetViews>
    <sheetView workbookViewId="0">
      <selection activeCell="L20" sqref="L20"/>
    </sheetView>
  </sheetViews>
  <sheetFormatPr defaultRowHeight="14.35"/>
  <cols>
    <col min="1" max="1" width="8.9375" style="412"/>
    <col min="2" max="2" width="27.234375" style="412" bestFit="1" customWidth="1"/>
    <col min="3" max="5" width="8.9375" style="412"/>
    <col min="6" max="6" width="11.52734375" style="412" bestFit="1" customWidth="1"/>
    <col min="7" max="9" width="8.9375" style="412"/>
    <col min="10" max="10" width="11.52734375" style="412" bestFit="1" customWidth="1"/>
    <col min="11" max="13" width="8.9375" style="412"/>
    <col min="14" max="14" width="11.52734375" style="412" bestFit="1" customWidth="1"/>
    <col min="15" max="16384" width="8.9375" style="412"/>
  </cols>
  <sheetData>
    <row r="1" spans="2:16 16384:16384">
      <c r="XFD1" s="412">
        <v>1</v>
      </c>
    </row>
    <row r="2" spans="2:16 16384:16384">
      <c r="XFD2" s="412">
        <v>2</v>
      </c>
    </row>
    <row r="3" spans="2:16 16384:16384">
      <c r="F3" s="430" t="s">
        <v>412</v>
      </c>
      <c r="G3" s="431"/>
      <c r="H3" s="432"/>
      <c r="J3" s="430" t="s">
        <v>413</v>
      </c>
      <c r="K3" s="431"/>
      <c r="L3" s="432"/>
      <c r="N3" s="430" t="s">
        <v>414</v>
      </c>
      <c r="O3" s="431"/>
      <c r="P3" s="432"/>
      <c r="XFD3" s="412">
        <v>3</v>
      </c>
    </row>
    <row r="4" spans="2:16 16384:16384">
      <c r="F4" s="413" t="s">
        <v>408</v>
      </c>
      <c r="G4" s="412">
        <v>2</v>
      </c>
      <c r="H4" s="415" t="s">
        <v>409</v>
      </c>
      <c r="J4" s="413" t="s">
        <v>408</v>
      </c>
      <c r="K4" s="412">
        <v>2</v>
      </c>
      <c r="L4" s="415" t="s">
        <v>409</v>
      </c>
      <c r="N4" s="413" t="s">
        <v>408</v>
      </c>
      <c r="O4" s="412">
        <v>2</v>
      </c>
      <c r="P4" s="415" t="s">
        <v>409</v>
      </c>
    </row>
    <row r="5" spans="2:16 16384:16384">
      <c r="B5" s="418" t="s">
        <v>294</v>
      </c>
      <c r="C5" s="419">
        <f>'DCF FCFE'!B7</f>
        <v>261</v>
      </c>
      <c r="F5" s="413"/>
      <c r="H5" s="415" t="s">
        <v>410</v>
      </c>
      <c r="J5" s="413"/>
      <c r="L5" s="415" t="s">
        <v>410</v>
      </c>
      <c r="N5" s="413"/>
      <c r="P5" s="415" t="s">
        <v>410</v>
      </c>
    </row>
    <row r="6" spans="2:16 16384:16384">
      <c r="B6" s="420" t="s">
        <v>415</v>
      </c>
      <c r="C6" s="421">
        <f ca="1">'DCF FCFE'!B25</f>
        <v>224.00625561391047</v>
      </c>
      <c r="F6" s="414"/>
      <c r="G6" s="416"/>
      <c r="H6" s="417" t="s">
        <v>411</v>
      </c>
      <c r="J6" s="414"/>
      <c r="K6" s="416"/>
      <c r="L6" s="417" t="s">
        <v>411</v>
      </c>
      <c r="N6" s="414"/>
      <c r="O6" s="416"/>
      <c r="P6" s="417" t="s">
        <v>411</v>
      </c>
    </row>
    <row r="7" spans="2:16 16384:16384">
      <c r="B7" s="422" t="s">
        <v>416</v>
      </c>
      <c r="C7" s="423">
        <f ca="1">'DCF FCFE'!B47</f>
        <v>231.41769680094555</v>
      </c>
    </row>
    <row r="8" spans="2:16 16384:16384">
      <c r="B8" s="424" t="s">
        <v>417</v>
      </c>
      <c r="C8" s="425">
        <f ca="1">C6/C5-1</f>
        <v>-0.14173848423789093</v>
      </c>
      <c r="F8" s="430" t="s">
        <v>419</v>
      </c>
      <c r="G8" s="431"/>
      <c r="H8" s="432"/>
      <c r="J8" s="430" t="s">
        <v>420</v>
      </c>
      <c r="K8" s="431"/>
      <c r="L8" s="432"/>
    </row>
    <row r="9" spans="2:16 16384:16384">
      <c r="B9" s="426" t="s">
        <v>418</v>
      </c>
      <c r="C9" s="427">
        <f ca="1">C7/C5-1</f>
        <v>-0.11334215785078339</v>
      </c>
      <c r="F9" s="413" t="s">
        <v>408</v>
      </c>
      <c r="G9" s="412">
        <v>2</v>
      </c>
      <c r="H9" s="415" t="s">
        <v>409</v>
      </c>
      <c r="J9" s="413" t="s">
        <v>408</v>
      </c>
      <c r="K9" s="412">
        <v>2</v>
      </c>
      <c r="L9" s="415" t="s">
        <v>409</v>
      </c>
    </row>
    <row r="10" spans="2:16 16384:16384">
      <c r="F10" s="413"/>
      <c r="H10" s="415" t="s">
        <v>410</v>
      </c>
      <c r="J10" s="413"/>
      <c r="L10" s="415" t="s">
        <v>410</v>
      </c>
    </row>
    <row r="11" spans="2:16 16384:16384">
      <c r="F11" s="414"/>
      <c r="G11" s="416"/>
      <c r="H11" s="417" t="s">
        <v>411</v>
      </c>
      <c r="J11" s="414"/>
      <c r="K11" s="416"/>
      <c r="L11" s="417" t="s">
        <v>411</v>
      </c>
    </row>
  </sheetData>
  <mergeCells count="5">
    <mergeCell ref="F3:H3"/>
    <mergeCell ref="J3:L3"/>
    <mergeCell ref="N3:P3"/>
    <mergeCell ref="J8:L8"/>
    <mergeCell ref="F8:H8"/>
  </mergeCells>
  <dataValidations count="1">
    <dataValidation type="list" allowBlank="1" showInputMessage="1" showErrorMessage="1" sqref="G4 K4 O4 K9 G9" xr:uid="{3644C2F7-44D5-433E-999B-012D023D062F}">
      <formula1>$XFD$1:$XFD$3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9549-7334-48DB-B43B-6472EA4F0113}">
  <sheetPr>
    <tabColor theme="7" tint="-0.249977111117893"/>
  </sheetPr>
  <dimension ref="B1:H31"/>
  <sheetViews>
    <sheetView tabSelected="1" topLeftCell="A11" workbookViewId="0">
      <selection activeCell="E22" sqref="E22"/>
    </sheetView>
  </sheetViews>
  <sheetFormatPr defaultColWidth="11.46875" defaultRowHeight="14.35"/>
  <cols>
    <col min="1" max="1" width="3" style="276" customWidth="1"/>
    <col min="2" max="2" width="3.46875" style="276" customWidth="1"/>
    <col min="3" max="3" width="34" style="276" bestFit="1" customWidth="1"/>
    <col min="4" max="4" width="2.8203125" style="276" customWidth="1"/>
    <col min="5" max="5" width="15.3515625" style="276" bestFit="1" customWidth="1"/>
    <col min="6" max="6" width="6" style="276" bestFit="1" customWidth="1"/>
    <col min="7" max="7" width="2.3515625" style="276" customWidth="1"/>
    <col min="8" max="8" width="74.46875" style="276" bestFit="1" customWidth="1"/>
    <col min="9" max="9" width="11.46875" style="276"/>
    <col min="10" max="10" width="21.3515625" style="276" bestFit="1" customWidth="1"/>
    <col min="11" max="16384" width="11.46875" style="276"/>
  </cols>
  <sheetData>
    <row r="1" spans="2:8">
      <c r="B1" s="274" t="s">
        <v>329</v>
      </c>
      <c r="C1" s="274"/>
      <c r="D1" s="274"/>
      <c r="E1" s="306" t="s">
        <v>330</v>
      </c>
      <c r="F1" s="281"/>
      <c r="H1" s="307" t="s">
        <v>331</v>
      </c>
    </row>
    <row r="2" spans="2:8">
      <c r="B2" s="308" t="s">
        <v>370</v>
      </c>
      <c r="C2" s="283"/>
      <c r="D2" s="274"/>
      <c r="E2" s="309" t="s">
        <v>371</v>
      </c>
      <c r="F2" s="281"/>
      <c r="H2" s="307" t="s">
        <v>332</v>
      </c>
    </row>
    <row r="3" spans="2:8">
      <c r="B3" s="283" t="s">
        <v>333</v>
      </c>
      <c r="C3" s="283"/>
      <c r="D3" s="274"/>
      <c r="E3" s="306"/>
      <c r="F3" s="281"/>
      <c r="H3" s="307" t="s">
        <v>334</v>
      </c>
    </row>
    <row r="4" spans="2:8">
      <c r="B4" s="274"/>
      <c r="C4" s="310"/>
      <c r="D4" s="274"/>
      <c r="E4" s="306"/>
      <c r="F4" s="281"/>
      <c r="H4" s="307" t="s">
        <v>335</v>
      </c>
    </row>
    <row r="5" spans="2:8" ht="14.7" thickBot="1">
      <c r="B5" s="274"/>
      <c r="C5" s="310"/>
      <c r="D5" s="274"/>
      <c r="E5" s="306"/>
      <c r="F5" s="281"/>
      <c r="H5" s="307"/>
    </row>
    <row r="6" spans="2:8">
      <c r="B6" s="266" t="s">
        <v>336</v>
      </c>
      <c r="C6" s="267"/>
      <c r="D6" s="267"/>
      <c r="E6" s="268"/>
      <c r="F6" s="311"/>
      <c r="H6" s="269" t="s">
        <v>337</v>
      </c>
    </row>
    <row r="7" spans="2:8">
      <c r="B7" s="273"/>
      <c r="C7" s="274" t="s">
        <v>338</v>
      </c>
      <c r="D7" s="274"/>
      <c r="E7" s="301">
        <v>18.88</v>
      </c>
      <c r="F7" s="312"/>
      <c r="H7" s="282" t="s">
        <v>339</v>
      </c>
    </row>
    <row r="8" spans="2:8" ht="16.350000000000001">
      <c r="B8" s="273"/>
      <c r="C8" s="274" t="s">
        <v>340</v>
      </c>
      <c r="D8" s="274"/>
      <c r="E8" s="275">
        <f>AVERAGE(7.78%,16.85%)</f>
        <v>0.12315000000000001</v>
      </c>
      <c r="F8" s="313"/>
      <c r="H8" s="302" t="s">
        <v>341</v>
      </c>
    </row>
    <row r="9" spans="2:8" ht="16.350000000000001">
      <c r="B9" s="273"/>
      <c r="C9" s="274" t="s">
        <v>342</v>
      </c>
      <c r="D9" s="274"/>
      <c r="E9" s="303">
        <v>3.5909999999999997E-2</v>
      </c>
      <c r="F9" s="313"/>
      <c r="H9" s="277" t="s">
        <v>343</v>
      </c>
    </row>
    <row r="10" spans="2:8" ht="16.7">
      <c r="B10" s="273"/>
      <c r="C10" s="274" t="s">
        <v>344</v>
      </c>
      <c r="D10" s="274"/>
      <c r="E10" s="304">
        <f>((1+E8)/E7)+E8</f>
        <v>0.18263887711864407</v>
      </c>
      <c r="F10" s="314"/>
      <c r="H10" s="296" t="s">
        <v>345</v>
      </c>
    </row>
    <row r="11" spans="2:8" ht="16.350000000000001">
      <c r="B11" s="273"/>
      <c r="C11" s="274" t="s">
        <v>346</v>
      </c>
      <c r="D11" s="274"/>
      <c r="E11" s="278">
        <f>E10-E9</f>
        <v>0.14672887711864407</v>
      </c>
      <c r="F11" s="315"/>
      <c r="H11" s="279" t="s">
        <v>347</v>
      </c>
    </row>
    <row r="12" spans="2:8">
      <c r="B12" s="273"/>
      <c r="C12" s="274"/>
      <c r="D12" s="274"/>
      <c r="E12" s="305"/>
      <c r="F12" s="315"/>
      <c r="H12" s="279"/>
    </row>
    <row r="13" spans="2:8">
      <c r="B13" s="273"/>
      <c r="C13" s="274"/>
      <c r="D13" s="274"/>
      <c r="E13" s="305"/>
      <c r="F13" s="315"/>
      <c r="H13" s="279"/>
    </row>
    <row r="14" spans="2:8">
      <c r="B14" s="270" t="s">
        <v>348</v>
      </c>
      <c r="C14" s="271"/>
      <c r="D14" s="271"/>
      <c r="E14" s="217"/>
      <c r="F14" s="316"/>
      <c r="H14" s="272"/>
    </row>
    <row r="15" spans="2:8">
      <c r="B15" s="289" t="s">
        <v>349</v>
      </c>
      <c r="C15" s="274"/>
      <c r="D15" s="274"/>
      <c r="E15" s="283"/>
      <c r="F15" s="317"/>
      <c r="H15" s="282"/>
    </row>
    <row r="16" spans="2:8">
      <c r="B16" s="273"/>
      <c r="C16" s="274" t="s">
        <v>350</v>
      </c>
      <c r="D16" s="274"/>
      <c r="E16" s="290">
        <v>261</v>
      </c>
      <c r="F16" s="318"/>
      <c r="H16" s="291">
        <v>45025</v>
      </c>
    </row>
    <row r="17" spans="2:8">
      <c r="B17" s="273"/>
      <c r="C17" s="274" t="s">
        <v>351</v>
      </c>
      <c r="D17" s="274"/>
      <c r="E17" s="292">
        <v>10.1</v>
      </c>
      <c r="F17" s="318"/>
      <c r="H17" s="277" t="s">
        <v>374</v>
      </c>
    </row>
    <row r="18" spans="2:8">
      <c r="B18" s="273"/>
      <c r="C18" s="274" t="s">
        <v>352</v>
      </c>
      <c r="D18" s="274"/>
      <c r="E18" s="293">
        <f>E16/E17</f>
        <v>25.841584158415841</v>
      </c>
      <c r="F18" s="319"/>
      <c r="H18" s="294" t="s">
        <v>375</v>
      </c>
    </row>
    <row r="19" spans="2:8">
      <c r="B19" s="273"/>
      <c r="C19" s="274" t="s">
        <v>353</v>
      </c>
      <c r="D19" s="274"/>
      <c r="E19" s="295">
        <v>9.0499999999999997E-2</v>
      </c>
      <c r="F19" s="320"/>
      <c r="H19" s="277" t="s">
        <v>354</v>
      </c>
    </row>
    <row r="20" spans="2:8">
      <c r="B20" s="273"/>
      <c r="C20" s="274" t="s">
        <v>355</v>
      </c>
      <c r="D20" s="274"/>
      <c r="E20" s="278">
        <f>((1+E19)/(E18))+E19</f>
        <v>0.13269942528735632</v>
      </c>
      <c r="F20" s="314"/>
      <c r="H20" s="296" t="s">
        <v>356</v>
      </c>
    </row>
    <row r="21" spans="2:8">
      <c r="B21" s="289" t="s">
        <v>357</v>
      </c>
      <c r="D21" s="274"/>
      <c r="E21" s="283"/>
      <c r="F21" s="317"/>
      <c r="H21" s="282"/>
    </row>
    <row r="22" spans="2:8">
      <c r="B22" s="273"/>
      <c r="C22" s="274" t="s">
        <v>358</v>
      </c>
      <c r="E22" s="297">
        <f>(E20-E9)/E11</f>
        <v>0.65964810191447854</v>
      </c>
      <c r="F22" s="321"/>
      <c r="H22" s="298" t="s">
        <v>359</v>
      </c>
    </row>
    <row r="23" spans="2:8">
      <c r="B23" s="273"/>
      <c r="C23" s="274" t="s">
        <v>360</v>
      </c>
      <c r="E23" s="299">
        <v>0.31</v>
      </c>
      <c r="F23" s="312"/>
      <c r="H23" s="282" t="s">
        <v>373</v>
      </c>
    </row>
    <row r="24" spans="2:8">
      <c r="B24" s="273"/>
      <c r="C24" s="274"/>
      <c r="D24" s="274"/>
      <c r="E24" s="300"/>
      <c r="F24" s="314"/>
      <c r="H24" s="296"/>
    </row>
    <row r="25" spans="2:8">
      <c r="B25" s="270" t="s">
        <v>361</v>
      </c>
      <c r="C25" s="271"/>
      <c r="D25" s="271"/>
      <c r="E25" s="217"/>
      <c r="F25" s="316"/>
      <c r="H25" s="272"/>
    </row>
    <row r="26" spans="2:8">
      <c r="B26" s="273"/>
      <c r="C26" s="274" t="s">
        <v>362</v>
      </c>
      <c r="D26" s="274"/>
      <c r="E26" s="275">
        <v>6.4299999999999996E-2</v>
      </c>
      <c r="F26" s="313"/>
      <c r="H26" s="277" t="s">
        <v>372</v>
      </c>
    </row>
    <row r="27" spans="2:8">
      <c r="B27" s="273"/>
      <c r="C27" s="274" t="s">
        <v>363</v>
      </c>
      <c r="D27" s="274"/>
      <c r="E27" s="278">
        <f>E9+E22*E26</f>
        <v>7.8325372953100963E-2</v>
      </c>
      <c r="F27" s="322">
        <v>0.3</v>
      </c>
      <c r="H27" s="279" t="s">
        <v>364</v>
      </c>
    </row>
    <row r="28" spans="2:8">
      <c r="B28" s="273"/>
      <c r="C28" s="274" t="s">
        <v>365</v>
      </c>
      <c r="D28" s="274"/>
      <c r="E28" s="280">
        <f>E9+E23*E26</f>
        <v>5.5842999999999997E-2</v>
      </c>
      <c r="F28" s="322">
        <f>1-F27</f>
        <v>0.7</v>
      </c>
      <c r="H28" s="279" t="s">
        <v>366</v>
      </c>
    </row>
    <row r="29" spans="2:8">
      <c r="B29" s="273"/>
      <c r="C29" s="274" t="s">
        <v>367</v>
      </c>
      <c r="D29" s="274"/>
      <c r="E29" s="280">
        <f>SUMPRODUCT(E27:E28,F27:F28)</f>
        <v>6.2587711885930292E-2</v>
      </c>
      <c r="F29" s="317"/>
      <c r="H29" s="282"/>
    </row>
    <row r="30" spans="2:8">
      <c r="B30" s="273"/>
      <c r="C30" s="274"/>
      <c r="D30" s="274"/>
      <c r="E30" s="283"/>
      <c r="F30" s="317"/>
      <c r="H30" s="282"/>
    </row>
    <row r="31" spans="2:8" ht="14.7" thickBot="1">
      <c r="B31" s="284"/>
      <c r="C31" s="285" t="s">
        <v>368</v>
      </c>
      <c r="D31" s="286"/>
      <c r="E31" s="287">
        <f>E9+E26</f>
        <v>0.10020999999999999</v>
      </c>
      <c r="F31" s="323"/>
      <c r="H31" s="288" t="s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8F26-8F0C-49CD-912A-F09195E86500}">
  <sheetPr>
    <tabColor theme="7" tint="0.39997558519241921"/>
  </sheetPr>
  <dimension ref="A1:M57"/>
  <sheetViews>
    <sheetView topLeftCell="A7" workbookViewId="0">
      <selection activeCell="L21" sqref="L21"/>
    </sheetView>
  </sheetViews>
  <sheetFormatPr defaultRowHeight="14.35"/>
  <cols>
    <col min="1" max="1" width="22.52734375" style="276" bestFit="1" customWidth="1"/>
    <col min="2" max="2" width="9.41015625" style="276" bestFit="1" customWidth="1"/>
    <col min="3" max="3" width="9.234375" style="276" bestFit="1" customWidth="1"/>
    <col min="4" max="6" width="8.9375" style="276"/>
    <col min="7" max="7" width="9.1171875" style="276" bestFit="1" customWidth="1"/>
    <col min="8" max="8" width="8.9375" style="276"/>
    <col min="9" max="9" width="10.703125" style="276" bestFit="1" customWidth="1"/>
    <col min="10" max="10" width="8.9375" style="276"/>
    <col min="11" max="11" width="16.87890625" style="276" bestFit="1" customWidth="1"/>
    <col min="12" max="16384" width="8.9375" style="276"/>
  </cols>
  <sheetData>
    <row r="1" spans="1:13">
      <c r="A1" s="354" t="s">
        <v>404</v>
      </c>
      <c r="B1" s="339"/>
      <c r="C1" s="339"/>
      <c r="D1" s="339"/>
      <c r="E1" s="339"/>
      <c r="F1" s="339"/>
      <c r="G1" s="339"/>
      <c r="H1" s="339"/>
      <c r="I1" s="339"/>
      <c r="J1" s="339"/>
      <c r="K1" s="339"/>
      <c r="L1" s="339"/>
      <c r="M1" s="339"/>
    </row>
    <row r="2" spans="1:13">
      <c r="A2" s="324" t="s">
        <v>403</v>
      </c>
      <c r="B2" s="324"/>
      <c r="C2" s="324"/>
      <c r="D2" s="324"/>
      <c r="E2" s="324"/>
      <c r="F2" s="324"/>
      <c r="G2" s="324"/>
      <c r="H2" s="324"/>
      <c r="I2" s="324"/>
      <c r="J2" s="339"/>
      <c r="K2" s="339"/>
      <c r="L2" s="339"/>
      <c r="M2" s="366"/>
    </row>
    <row r="3" spans="1:13" ht="14.7" thickBot="1">
      <c r="A3" s="354"/>
      <c r="B3" s="339"/>
      <c r="C3" s="339"/>
      <c r="D3" s="339"/>
      <c r="E3" s="339"/>
      <c r="F3" s="339"/>
      <c r="G3" s="339"/>
      <c r="H3" s="339"/>
      <c r="I3" s="391" t="s">
        <v>376</v>
      </c>
      <c r="J3" s="339"/>
      <c r="K3" s="339"/>
      <c r="L3" s="339"/>
      <c r="M3" s="354"/>
    </row>
    <row r="4" spans="1:13">
      <c r="A4" s="392" t="s">
        <v>333</v>
      </c>
      <c r="B4" s="393">
        <f>Ke!E29</f>
        <v>6.2587711885930292E-2</v>
      </c>
      <c r="C4" s="396"/>
      <c r="D4" s="339"/>
      <c r="E4" s="339"/>
      <c r="F4" s="339"/>
      <c r="G4" s="394">
        <f ca="1">TODAY()</f>
        <v>45047</v>
      </c>
      <c r="H4" s="339" t="s">
        <v>377</v>
      </c>
      <c r="I4" s="403">
        <v>204964717</v>
      </c>
      <c r="J4" s="339"/>
      <c r="K4" s="339"/>
      <c r="L4" s="339"/>
      <c r="M4" s="339"/>
    </row>
    <row r="5" spans="1:13">
      <c r="A5" s="390" t="s">
        <v>378</v>
      </c>
      <c r="B5" s="398">
        <f>I4</f>
        <v>204964717</v>
      </c>
      <c r="C5" s="397"/>
      <c r="D5" s="361"/>
      <c r="E5" s="339"/>
      <c r="F5" s="339"/>
      <c r="G5" s="394">
        <f ca="1">G4+365</f>
        <v>45412</v>
      </c>
      <c r="H5" s="339" t="s">
        <v>379</v>
      </c>
      <c r="I5" s="404">
        <f>I4-BS!G51</f>
        <v>204963631.07819042</v>
      </c>
      <c r="J5" s="339"/>
      <c r="K5" s="339"/>
      <c r="L5" s="339"/>
      <c r="M5" s="339"/>
    </row>
    <row r="6" spans="1:13">
      <c r="A6" s="390"/>
      <c r="B6" s="383"/>
      <c r="C6" s="339"/>
      <c r="D6" s="339"/>
      <c r="E6" s="339"/>
      <c r="F6" s="339"/>
      <c r="G6" s="394">
        <f ca="1">G5+366</f>
        <v>45778</v>
      </c>
      <c r="H6" s="339" t="s">
        <v>380</v>
      </c>
      <c r="I6" s="404">
        <f>I5-BS!H51</f>
        <v>204962625.59503341</v>
      </c>
      <c r="J6" s="395"/>
      <c r="K6" s="339"/>
      <c r="L6" s="339"/>
      <c r="M6" s="339"/>
    </row>
    <row r="7" spans="1:13">
      <c r="A7" s="390" t="s">
        <v>381</v>
      </c>
      <c r="B7" s="399">
        <f>Ke!E16</f>
        <v>261</v>
      </c>
      <c r="C7" s="339"/>
      <c r="D7" s="339"/>
      <c r="E7" s="339"/>
      <c r="F7" s="339"/>
      <c r="G7" s="339"/>
      <c r="H7" s="339"/>
      <c r="I7" s="339"/>
      <c r="J7" s="339"/>
      <c r="K7" s="339"/>
      <c r="L7" s="339"/>
      <c r="M7" s="339"/>
    </row>
    <row r="8" spans="1:13" ht="14.7" thickBot="1">
      <c r="A8" s="390" t="s">
        <v>382</v>
      </c>
      <c r="B8" s="400">
        <v>256.89499999999998</v>
      </c>
      <c r="C8" s="339"/>
      <c r="D8" s="339"/>
      <c r="E8" s="339"/>
      <c r="F8" s="339"/>
      <c r="G8" s="324" t="s">
        <v>383</v>
      </c>
      <c r="H8" s="324"/>
      <c r="I8" s="324"/>
      <c r="J8" s="339"/>
      <c r="K8" s="339"/>
      <c r="L8" s="339"/>
      <c r="M8" s="339"/>
    </row>
    <row r="9" spans="1:13">
      <c r="A9" s="390" t="s">
        <v>384</v>
      </c>
      <c r="B9" s="401">
        <f ca="1">B25</f>
        <v>224.00625561391047</v>
      </c>
      <c r="C9" s="339"/>
      <c r="D9" s="339"/>
      <c r="E9" s="339"/>
      <c r="F9" s="339"/>
      <c r="G9" s="384" t="s">
        <v>385</v>
      </c>
      <c r="H9" s="385"/>
      <c r="I9" s="386">
        <f ca="1">B47/B7-1</f>
        <v>-0.11334215785078339</v>
      </c>
      <c r="J9" s="339"/>
      <c r="K9" s="339"/>
      <c r="L9" s="339"/>
      <c r="M9" s="339"/>
    </row>
    <row r="10" spans="1:13" ht="14.7" thickBot="1">
      <c r="A10" s="387" t="s">
        <v>386</v>
      </c>
      <c r="B10" s="402">
        <f ca="1">B47</f>
        <v>231.41769680094555</v>
      </c>
      <c r="C10" s="339"/>
      <c r="D10" s="339"/>
      <c r="E10" s="339"/>
      <c r="F10" s="339"/>
      <c r="G10" s="387" t="s">
        <v>387</v>
      </c>
      <c r="H10" s="388"/>
      <c r="I10" s="389">
        <f ca="1">I9/Ke!E23</f>
        <v>-0.36561986403478514</v>
      </c>
      <c r="J10" s="339"/>
      <c r="K10" s="339"/>
      <c r="L10" s="339"/>
      <c r="M10" s="339"/>
    </row>
    <row r="11" spans="1:13">
      <c r="A11" s="339"/>
      <c r="B11" s="379"/>
      <c r="C11" s="339"/>
      <c r="D11" s="339"/>
      <c r="E11" s="339"/>
      <c r="F11" s="339"/>
      <c r="G11" s="339"/>
      <c r="H11" s="339"/>
      <c r="I11" s="339"/>
      <c r="J11" s="339"/>
      <c r="K11" s="339"/>
      <c r="L11" s="339"/>
      <c r="M11" s="339"/>
    </row>
    <row r="12" spans="1:13">
      <c r="A12" s="339"/>
      <c r="B12" s="339"/>
      <c r="C12" s="339"/>
      <c r="D12" s="339"/>
      <c r="E12" s="339"/>
      <c r="F12" s="339"/>
      <c r="G12" s="339"/>
      <c r="H12" s="339"/>
      <c r="I12" s="339"/>
      <c r="J12" s="339"/>
      <c r="K12" s="339"/>
      <c r="L12" s="339"/>
      <c r="M12" s="339"/>
    </row>
    <row r="13" spans="1:13">
      <c r="A13" s="324" t="s">
        <v>388</v>
      </c>
      <c r="B13" s="324"/>
      <c r="C13" s="324"/>
      <c r="D13" s="324"/>
      <c r="E13" s="324"/>
      <c r="F13" s="324"/>
      <c r="G13" s="324"/>
      <c r="H13" s="324"/>
      <c r="I13" s="324"/>
      <c r="J13" s="339"/>
      <c r="K13" s="339"/>
      <c r="L13" s="339"/>
      <c r="M13" s="339"/>
    </row>
    <row r="14" spans="1:13">
      <c r="A14" s="352"/>
      <c r="B14" s="352"/>
      <c r="C14" s="352"/>
      <c r="D14" s="352"/>
      <c r="E14" s="352"/>
      <c r="F14" s="352"/>
      <c r="G14" s="352"/>
      <c r="H14" s="352"/>
      <c r="I14" s="352"/>
      <c r="J14" s="339"/>
      <c r="K14" s="339"/>
      <c r="L14" s="339"/>
      <c r="M14" s="339"/>
    </row>
    <row r="15" spans="1:13">
      <c r="A15" s="339"/>
      <c r="B15" s="339"/>
      <c r="C15" s="374">
        <v>45291</v>
      </c>
      <c r="D15" s="374">
        <v>45657</v>
      </c>
      <c r="E15" s="374">
        <v>46022</v>
      </c>
      <c r="F15" s="374">
        <v>46387</v>
      </c>
      <c r="G15" s="374">
        <v>46752</v>
      </c>
      <c r="H15" s="339"/>
      <c r="J15" s="339"/>
      <c r="K15" s="339"/>
      <c r="L15" s="339"/>
      <c r="M15" s="339"/>
    </row>
    <row r="16" spans="1:13">
      <c r="A16" s="354" t="s">
        <v>389</v>
      </c>
      <c r="B16" s="339"/>
      <c r="C16" s="355">
        <f ca="1">MAX((C15-$G$4)/365,0)</f>
        <v>0.66849315068493154</v>
      </c>
      <c r="D16" s="355">
        <f ca="1">MAX((D15-$G$4)/365,0)</f>
        <v>1.6712328767123288</v>
      </c>
      <c r="E16" s="355">
        <f ca="1">MAX((E15-$G$4)/365,0)</f>
        <v>2.6712328767123288</v>
      </c>
      <c r="F16" s="355">
        <f ca="1">MAX((F15-$G$4)/365,0)</f>
        <v>3.6712328767123288</v>
      </c>
      <c r="G16" s="355">
        <f ca="1">MAX((G15-$G$4)/365,0)</f>
        <v>4.6712328767123283</v>
      </c>
      <c r="H16" s="339"/>
      <c r="J16" s="339"/>
      <c r="K16" s="339"/>
      <c r="L16" s="339"/>
      <c r="M16" s="339"/>
    </row>
    <row r="17" spans="1:13">
      <c r="A17" s="356" t="s">
        <v>390</v>
      </c>
      <c r="B17" s="357"/>
      <c r="C17" s="375">
        <f>'Derived CF'!G45</f>
        <v>1282285.8207192114</v>
      </c>
      <c r="D17" s="375">
        <f>'Derived CF'!H45</f>
        <v>1521214.8620650163</v>
      </c>
      <c r="E17" s="375">
        <f>'Derived CF'!I45</f>
        <v>1978284.718749318</v>
      </c>
      <c r="F17" s="375">
        <f>'Derived CF'!J45</f>
        <v>2070957.7457580364</v>
      </c>
      <c r="G17" s="375">
        <f>'Derived CF'!K45</f>
        <v>2148838.7901961654</v>
      </c>
      <c r="H17" s="339"/>
      <c r="J17" s="339"/>
      <c r="K17" s="339"/>
      <c r="L17" s="339"/>
      <c r="M17" s="339"/>
    </row>
    <row r="18" spans="1:13">
      <c r="A18" s="354" t="s">
        <v>391</v>
      </c>
      <c r="B18" s="339"/>
      <c r="C18" s="359">
        <f ca="1">(C17*C16)/((1+$B$4)^C16)</f>
        <v>823108.56488026585</v>
      </c>
      <c r="D18" s="359">
        <f t="shared" ref="D18" ca="1" si="0">D17/((1+$B$4)^D16)</f>
        <v>1374449.7199438009</v>
      </c>
      <c r="E18" s="359">
        <f ca="1">E17/((1+$B$4)^E16)</f>
        <v>1682140.6439826067</v>
      </c>
      <c r="F18" s="359">
        <f ca="1">F17/((1+$B$4)^F16)</f>
        <v>1657219.2020404388</v>
      </c>
      <c r="G18" s="359">
        <f ca="1">G17/((1+$B$4)^G16)</f>
        <v>1618258.0075147364</v>
      </c>
      <c r="H18" s="339"/>
      <c r="J18" s="339"/>
      <c r="K18" s="339"/>
      <c r="L18" s="339"/>
      <c r="M18" s="339"/>
    </row>
    <row r="19" spans="1:13" ht="14.7" thickBot="1">
      <c r="A19" s="339"/>
      <c r="B19" s="339"/>
      <c r="C19" s="339"/>
      <c r="D19" s="339"/>
      <c r="E19" s="339"/>
      <c r="F19" s="339"/>
      <c r="G19" s="339"/>
      <c r="H19" s="339"/>
      <c r="I19" s="339"/>
      <c r="J19" s="339"/>
      <c r="K19" s="339"/>
      <c r="L19" s="339"/>
      <c r="M19" s="339"/>
    </row>
    <row r="20" spans="1:13" ht="14.7" thickBot="1">
      <c r="A20" s="354" t="s">
        <v>392</v>
      </c>
      <c r="B20" s="376">
        <v>0.02</v>
      </c>
      <c r="C20" s="350"/>
      <c r="D20" s="350"/>
      <c r="E20" s="350"/>
      <c r="F20" s="350"/>
      <c r="G20" s="350"/>
      <c r="H20" s="339"/>
      <c r="I20" s="339"/>
      <c r="J20" s="339"/>
      <c r="K20" s="339"/>
      <c r="L20" s="339"/>
      <c r="M20" s="339"/>
    </row>
    <row r="21" spans="1:13">
      <c r="A21" s="354"/>
      <c r="B21" s="350"/>
      <c r="C21" s="350"/>
      <c r="D21" s="350"/>
      <c r="E21" s="350"/>
      <c r="F21" s="350"/>
      <c r="G21" s="350"/>
      <c r="H21" s="339"/>
      <c r="I21" s="339"/>
      <c r="J21" s="350"/>
      <c r="K21" s="339"/>
      <c r="L21" s="339"/>
      <c r="M21" s="339"/>
    </row>
    <row r="22" spans="1:13">
      <c r="A22" s="339" t="s">
        <v>393</v>
      </c>
      <c r="B22" s="361">
        <f>G17*(1+B20)/(B4-B20)</f>
        <v>51465915.141691357</v>
      </c>
      <c r="C22" s="377">
        <f>B22/IS!K16</f>
        <v>22.912146111658895</v>
      </c>
      <c r="D22" s="362" t="s">
        <v>394</v>
      </c>
      <c r="E22" s="361"/>
      <c r="F22" s="362"/>
      <c r="G22" s="362"/>
      <c r="H22" s="339"/>
      <c r="I22" s="339"/>
      <c r="J22" s="362"/>
      <c r="K22" s="339"/>
      <c r="L22" s="339"/>
      <c r="M22" s="350"/>
    </row>
    <row r="23" spans="1:13">
      <c r="A23" s="357" t="s">
        <v>395</v>
      </c>
      <c r="B23" s="358">
        <f ca="1">B22/(1+B4)^(G16)</f>
        <v>38758202.649772972</v>
      </c>
      <c r="C23" s="361"/>
      <c r="D23" s="362"/>
      <c r="E23" s="361"/>
      <c r="F23" s="362"/>
      <c r="G23" s="362"/>
      <c r="H23" s="339"/>
      <c r="I23" s="339"/>
      <c r="J23" s="362"/>
      <c r="K23" s="339"/>
      <c r="L23" s="339"/>
      <c r="M23" s="362"/>
    </row>
    <row r="24" spans="1:13">
      <c r="A24" s="339" t="s">
        <v>396</v>
      </c>
      <c r="B24" s="361">
        <f ca="1">SUM(C18:G18)+B23</f>
        <v>45913378.788134821</v>
      </c>
      <c r="C24" s="361"/>
      <c r="D24" s="362"/>
      <c r="E24" s="361"/>
      <c r="F24" s="362"/>
      <c r="G24" s="362"/>
      <c r="H24" s="339"/>
      <c r="I24" s="339"/>
      <c r="J24" s="362"/>
      <c r="K24" s="339"/>
      <c r="L24" s="339"/>
      <c r="M24" s="362"/>
    </row>
    <row r="25" spans="1:13" ht="14.7" thickBot="1">
      <c r="A25" s="363" t="s">
        <v>397</v>
      </c>
      <c r="B25" s="378">
        <f ca="1">B24/B5*1000</f>
        <v>224.00625561391047</v>
      </c>
      <c r="C25" s="379"/>
      <c r="D25" s="379"/>
      <c r="E25" s="355"/>
      <c r="F25" s="379"/>
      <c r="G25" s="379"/>
      <c r="H25" s="339"/>
      <c r="I25" s="339"/>
      <c r="J25" s="379"/>
      <c r="K25" s="339"/>
      <c r="L25" s="339"/>
      <c r="M25" s="362"/>
    </row>
    <row r="26" spans="1:13" ht="14.7" thickBot="1">
      <c r="A26" s="339"/>
      <c r="B26" s="339"/>
      <c r="C26" s="366" t="s">
        <v>392</v>
      </c>
      <c r="D26" s="366"/>
      <c r="E26" s="366"/>
      <c r="F26" s="366"/>
      <c r="G26" s="366"/>
      <c r="H26" s="366"/>
      <c r="I26" s="366"/>
      <c r="J26" s="339"/>
      <c r="K26" s="339"/>
      <c r="L26" s="339"/>
      <c r="M26" s="339"/>
    </row>
    <row r="27" spans="1:13" ht="14.7" thickBot="1">
      <c r="A27" s="339"/>
      <c r="B27" s="380">
        <f ca="1">B25</f>
        <v>224.00625561391047</v>
      </c>
      <c r="C27" s="381">
        <f>D27-$L$27</f>
        <v>1.2500000000000001E-2</v>
      </c>
      <c r="D27" s="381">
        <f>E27-$L$27</f>
        <v>1.5000000000000001E-2</v>
      </c>
      <c r="E27" s="381">
        <f>F27-$L$27</f>
        <v>1.7500000000000002E-2</v>
      </c>
      <c r="F27" s="382">
        <v>0.02</v>
      </c>
      <c r="G27" s="381">
        <f>F27+$L$27</f>
        <v>2.2499999999999999E-2</v>
      </c>
      <c r="H27" s="381">
        <f>G27+$L$27</f>
        <v>2.4999999999999998E-2</v>
      </c>
      <c r="I27" s="381">
        <f>H27+$L$27</f>
        <v>2.7499999999999997E-2</v>
      </c>
      <c r="J27" s="339"/>
      <c r="K27" s="372" t="s">
        <v>398</v>
      </c>
      <c r="L27" s="373">
        <v>2.5000000000000001E-3</v>
      </c>
      <c r="M27" s="339"/>
    </row>
    <row r="28" spans="1:13" ht="15" thickTop="1" thickBot="1">
      <c r="A28" s="339"/>
      <c r="B28" s="347">
        <f>B29-$L$28</f>
        <v>4.7587711885930299E-2</v>
      </c>
      <c r="C28" s="351">
        <f t="dataTable" ref="C28:I34" dt2D="1" dtr="1" r1="B20" r2="B4" ca="1"/>
        <v>279.87484513240713</v>
      </c>
      <c r="D28" s="344">
        <v>299.20040909428803</v>
      </c>
      <c r="E28" s="344">
        <v>321.73751071565414</v>
      </c>
      <c r="F28" s="325">
        <v>348.35923916554304</v>
      </c>
      <c r="G28" s="344">
        <v>380.28669827969787</v>
      </c>
      <c r="H28" s="344">
        <v>419.28159726456425</v>
      </c>
      <c r="I28" s="345">
        <v>467.98265372677355</v>
      </c>
      <c r="J28" s="339"/>
      <c r="K28" s="372" t="s">
        <v>399</v>
      </c>
      <c r="L28" s="373">
        <v>5.0000000000000001E-3</v>
      </c>
      <c r="M28" s="339"/>
    </row>
    <row r="29" spans="1:13" ht="14.7" thickBot="1">
      <c r="A29" s="339"/>
      <c r="B29" s="347">
        <f>B30-$L$28</f>
        <v>5.2587711885930297E-2</v>
      </c>
      <c r="C29" s="348">
        <v>244.31145799252258</v>
      </c>
      <c r="D29" s="340">
        <v>258.72239407758241</v>
      </c>
      <c r="E29" s="340">
        <v>275.18688898857965</v>
      </c>
      <c r="F29" s="326">
        <v>294.17756538918695</v>
      </c>
      <c r="G29" s="340">
        <v>316.32412756678599</v>
      </c>
      <c r="H29" s="340">
        <v>342.48453516026649</v>
      </c>
      <c r="I29" s="341">
        <v>373.85873182156377</v>
      </c>
      <c r="J29" s="339"/>
      <c r="K29" s="339"/>
      <c r="L29" s="339"/>
      <c r="M29" s="339"/>
    </row>
    <row r="30" spans="1:13">
      <c r="A30" s="339"/>
      <c r="B30" s="347">
        <f>B31-$L$28</f>
        <v>5.7587711885930294E-2</v>
      </c>
      <c r="C30" s="348">
        <v>216.64454732071832</v>
      </c>
      <c r="D30" s="340">
        <v>227.75805311277801</v>
      </c>
      <c r="E30" s="327">
        <v>240.25770758597028</v>
      </c>
      <c r="F30" s="328">
        <v>254.42009355384948</v>
      </c>
      <c r="G30" s="329">
        <v>270.60061994848564</v>
      </c>
      <c r="H30" s="340">
        <v>289.26375795624693</v>
      </c>
      <c r="I30" s="341">
        <v>311.02835114918759</v>
      </c>
      <c r="J30" s="339"/>
      <c r="K30" s="339"/>
      <c r="L30" s="339"/>
      <c r="M30" s="339"/>
    </row>
    <row r="31" spans="1:13">
      <c r="A31" s="371" t="s">
        <v>400</v>
      </c>
      <c r="B31" s="350">
        <f>Ke!E29</f>
        <v>6.2587711885930292E-2</v>
      </c>
      <c r="C31" s="330">
        <v>194.50916311044389</v>
      </c>
      <c r="D31" s="326">
        <v>203.30844922322206</v>
      </c>
      <c r="E31" s="331">
        <v>213.08353181631847</v>
      </c>
      <c r="F31" s="332">
        <v>224.00625561391047</v>
      </c>
      <c r="G31" s="333">
        <v>236.29133252218543</v>
      </c>
      <c r="H31" s="326">
        <v>250.21059734612246</v>
      </c>
      <c r="I31" s="334">
        <v>266.11335782648592</v>
      </c>
      <c r="J31" s="339"/>
      <c r="K31" s="339"/>
      <c r="L31" s="339"/>
      <c r="M31" s="339"/>
    </row>
    <row r="32" spans="1:13" ht="14.7" thickBot="1">
      <c r="A32" s="339"/>
      <c r="B32" s="347">
        <f>B31+$L$28</f>
        <v>6.7587711885930296E-2</v>
      </c>
      <c r="C32" s="348">
        <v>176.39897140439899</v>
      </c>
      <c r="D32" s="340">
        <v>183.5151955860135</v>
      </c>
      <c r="E32" s="335">
        <v>191.34179601697849</v>
      </c>
      <c r="F32" s="336">
        <v>199.99073063052879</v>
      </c>
      <c r="G32" s="337">
        <v>209.59878850092477</v>
      </c>
      <c r="H32" s="340">
        <v>220.33487807869801</v>
      </c>
      <c r="I32" s="341">
        <v>232.41004253411998</v>
      </c>
      <c r="J32" s="339"/>
      <c r="K32" s="339"/>
      <c r="L32" s="339"/>
      <c r="M32" s="339"/>
    </row>
    <row r="33" spans="1:13">
      <c r="A33" s="339"/>
      <c r="B33" s="347">
        <f>B32+$L$28</f>
        <v>7.2587711885930301E-2</v>
      </c>
      <c r="C33" s="348">
        <v>161.30901973881402</v>
      </c>
      <c r="D33" s="340">
        <v>167.16531935798761</v>
      </c>
      <c r="E33" s="340">
        <v>173.55316216698373</v>
      </c>
      <c r="F33" s="326">
        <v>180.54835625443542</v>
      </c>
      <c r="G33" s="340">
        <v>188.24184477619698</v>
      </c>
      <c r="H33" s="340">
        <v>196.74368152661501</v>
      </c>
      <c r="I33" s="341">
        <v>206.18832912225045</v>
      </c>
      <c r="J33" s="339"/>
      <c r="K33" s="339"/>
      <c r="L33" s="339"/>
      <c r="M33" s="339"/>
    </row>
    <row r="34" spans="1:13" ht="14.7" thickBot="1">
      <c r="A34" s="339"/>
      <c r="B34" s="347">
        <f>B33+$L$28</f>
        <v>7.7587711885930305E-2</v>
      </c>
      <c r="C34" s="349">
        <v>148.54315789004195</v>
      </c>
      <c r="D34" s="342">
        <v>153.43345779849807</v>
      </c>
      <c r="E34" s="342">
        <v>158.73068782252756</v>
      </c>
      <c r="F34" s="338">
        <v>164.4878449603936</v>
      </c>
      <c r="G34" s="342">
        <v>170.76754668586079</v>
      </c>
      <c r="H34" s="342">
        <v>177.6443177170899</v>
      </c>
      <c r="I34" s="343">
        <v>185.20756161484672</v>
      </c>
      <c r="J34" s="339"/>
      <c r="K34" s="339"/>
      <c r="L34" s="339"/>
      <c r="M34" s="339"/>
    </row>
    <row r="35" spans="1:13" ht="14.7" thickTop="1">
      <c r="A35" s="339"/>
      <c r="B35" s="370"/>
      <c r="C35" s="355"/>
      <c r="D35" s="355"/>
      <c r="E35" s="355"/>
      <c r="F35" s="355"/>
      <c r="G35" s="355"/>
      <c r="H35" s="355"/>
      <c r="I35" s="355"/>
      <c r="J35" s="339"/>
      <c r="K35" s="339"/>
      <c r="L35" s="339"/>
      <c r="M35" s="339"/>
    </row>
    <row r="36" spans="1:13">
      <c r="A36" s="370"/>
      <c r="B36" s="355"/>
      <c r="C36" s="355"/>
      <c r="D36" s="355"/>
      <c r="E36" s="355"/>
      <c r="F36" s="355"/>
      <c r="G36" s="355"/>
      <c r="H36" s="355"/>
      <c r="I36" s="339"/>
      <c r="J36" s="339"/>
      <c r="K36" s="339"/>
      <c r="L36" s="339"/>
      <c r="M36" s="339"/>
    </row>
    <row r="37" spans="1:13">
      <c r="A37" s="324" t="s">
        <v>401</v>
      </c>
      <c r="B37" s="324"/>
      <c r="C37" s="324"/>
      <c r="D37" s="324"/>
      <c r="E37" s="324"/>
      <c r="F37" s="324"/>
      <c r="G37" s="324"/>
      <c r="H37" s="324"/>
      <c r="I37" s="324"/>
      <c r="J37" s="339"/>
      <c r="K37" s="339"/>
      <c r="L37" s="339"/>
      <c r="M37" s="339"/>
    </row>
    <row r="38" spans="1:13">
      <c r="A38" s="352"/>
      <c r="B38" s="352"/>
      <c r="C38" s="352"/>
      <c r="D38" s="352"/>
      <c r="E38" s="352"/>
      <c r="F38" s="352"/>
      <c r="G38" s="352"/>
      <c r="H38" s="352"/>
      <c r="I38" s="352"/>
      <c r="J38" s="339"/>
      <c r="K38" s="339"/>
      <c r="L38" s="339"/>
      <c r="M38" s="339"/>
    </row>
    <row r="39" spans="1:13">
      <c r="A39" s="339"/>
      <c r="B39" s="339"/>
      <c r="C39" s="374">
        <v>45291</v>
      </c>
      <c r="D39" s="374">
        <v>45657</v>
      </c>
      <c r="E39" s="374">
        <v>46022</v>
      </c>
      <c r="F39" s="374">
        <v>46387</v>
      </c>
      <c r="G39" s="374">
        <v>46752</v>
      </c>
      <c r="H39" s="339"/>
      <c r="I39" s="339"/>
      <c r="J39" s="353"/>
      <c r="K39" s="353"/>
      <c r="L39" s="339"/>
      <c r="M39" s="339"/>
    </row>
    <row r="40" spans="1:13">
      <c r="A40" s="354" t="s">
        <v>402</v>
      </c>
      <c r="B40" s="339"/>
      <c r="C40" s="355">
        <f ca="1">MAX((C39-$G$5)/365,0)</f>
        <v>0</v>
      </c>
      <c r="D40" s="355">
        <f ca="1">MAX((D39-$G$5)/365,0)</f>
        <v>0.67123287671232879</v>
      </c>
      <c r="E40" s="355">
        <f ca="1">MAX((E39-$G$5)/365,0)</f>
        <v>1.6712328767123288</v>
      </c>
      <c r="F40" s="355">
        <f ca="1">MAX((F39-$G$5)/365,0)</f>
        <v>2.6712328767123288</v>
      </c>
      <c r="G40" s="355">
        <f ca="1">MAX((G39-$G$5)/365,0)</f>
        <v>3.6712328767123288</v>
      </c>
      <c r="H40" s="339"/>
      <c r="I40" s="339"/>
      <c r="J40" s="353"/>
      <c r="K40" s="353"/>
      <c r="L40" s="339"/>
      <c r="M40" s="339"/>
    </row>
    <row r="41" spans="1:13">
      <c r="A41" s="356" t="s">
        <v>390</v>
      </c>
      <c r="B41" s="357"/>
      <c r="C41" s="358">
        <f>C17</f>
        <v>1282285.8207192114</v>
      </c>
      <c r="D41" s="358">
        <f>D17</f>
        <v>1521214.8620650163</v>
      </c>
      <c r="E41" s="358">
        <f>E17</f>
        <v>1978284.718749318</v>
      </c>
      <c r="F41" s="358">
        <f>F17</f>
        <v>2070957.7457580364</v>
      </c>
      <c r="G41" s="358">
        <f>G17</f>
        <v>2148838.7901961654</v>
      </c>
      <c r="H41" s="339"/>
      <c r="I41" s="339"/>
      <c r="J41" s="353"/>
      <c r="K41" s="353"/>
      <c r="L41" s="339"/>
      <c r="M41" s="339"/>
    </row>
    <row r="42" spans="1:13">
      <c r="A42" s="354" t="s">
        <v>391</v>
      </c>
      <c r="B42" s="339"/>
      <c r="C42" s="359">
        <f ca="1">(C41*C40)/((1+$B$4)^C40)</f>
        <v>0</v>
      </c>
      <c r="D42" s="359">
        <f ca="1">D41*D40/((1+$B$4)^D40)</f>
        <v>980317.75024451688</v>
      </c>
      <c r="E42" s="359">
        <f ca="1">E41/((1+$B$4)^E40)</f>
        <v>1787421.9779598035</v>
      </c>
      <c r="F42" s="359">
        <f ca="1">F41/((1+$B$4)^F40)</f>
        <v>1760940.7599895771</v>
      </c>
      <c r="G42" s="359">
        <f ca="1">G41/((1+$B$4)^G40)</f>
        <v>1719541.0734461683</v>
      </c>
      <c r="H42" s="339"/>
      <c r="I42" s="339"/>
      <c r="J42" s="353"/>
      <c r="K42" s="353"/>
      <c r="L42" s="339"/>
      <c r="M42" s="339"/>
    </row>
    <row r="43" spans="1:13">
      <c r="A43" s="354"/>
      <c r="B43" s="360"/>
      <c r="C43" s="361"/>
      <c r="D43" s="361"/>
      <c r="E43" s="361"/>
      <c r="F43" s="361"/>
      <c r="G43" s="361"/>
      <c r="H43" s="361"/>
      <c r="I43" s="361"/>
      <c r="J43" s="339"/>
      <c r="K43" s="339"/>
      <c r="L43" s="339"/>
      <c r="M43" s="339"/>
    </row>
    <row r="44" spans="1:13">
      <c r="A44" s="339" t="s">
        <v>393</v>
      </c>
      <c r="B44" s="361">
        <f>G41*(1+B20)/(B4-B20)</f>
        <v>51465915.141691357</v>
      </c>
      <c r="C44" s="362"/>
      <c r="D44" s="361"/>
      <c r="E44" s="361"/>
      <c r="F44" s="362"/>
      <c r="G44" s="339"/>
      <c r="H44" s="339"/>
      <c r="I44" s="339"/>
      <c r="J44" s="339"/>
      <c r="K44" s="339"/>
      <c r="L44" s="339"/>
      <c r="M44" s="339"/>
    </row>
    <row r="45" spans="1:13">
      <c r="A45" s="357" t="s">
        <v>395</v>
      </c>
      <c r="B45" s="358">
        <f ca="1">B44/(1+B4)^G40</f>
        <v>41183989.870433457</v>
      </c>
      <c r="C45" s="362"/>
      <c r="D45" s="361"/>
      <c r="E45" s="361"/>
      <c r="F45" s="362"/>
      <c r="G45" s="339"/>
      <c r="H45" s="339"/>
      <c r="I45" s="339"/>
      <c r="J45" s="339"/>
      <c r="K45" s="339"/>
      <c r="L45" s="339"/>
      <c r="M45" s="339"/>
    </row>
    <row r="46" spans="1:13">
      <c r="A46" s="339" t="s">
        <v>396</v>
      </c>
      <c r="B46" s="361">
        <f ca="1">SUM(D42:G42)+B45</f>
        <v>47432211.432073526</v>
      </c>
      <c r="C46" s="362"/>
      <c r="D46" s="361"/>
      <c r="E46" s="361"/>
      <c r="F46" s="362"/>
      <c r="G46" s="339"/>
      <c r="H46" s="339"/>
      <c r="I46" s="339"/>
      <c r="J46" s="339"/>
      <c r="K46" s="339"/>
      <c r="L46" s="339"/>
      <c r="M46" s="339"/>
    </row>
    <row r="47" spans="1:13" ht="14.7" thickBot="1">
      <c r="A47" s="363" t="s">
        <v>397</v>
      </c>
      <c r="B47" s="364">
        <f ca="1">B46/I5*1000</f>
        <v>231.41769680094555</v>
      </c>
      <c r="C47" s="365"/>
      <c r="D47" s="365"/>
      <c r="E47" s="365"/>
      <c r="F47" s="365"/>
      <c r="G47" s="339"/>
      <c r="H47" s="339"/>
      <c r="I47" s="339"/>
      <c r="J47" s="339"/>
      <c r="K47" s="339"/>
      <c r="L47" s="339"/>
      <c r="M47" s="339"/>
    </row>
    <row r="48" spans="1:13">
      <c r="A48" s="339"/>
      <c r="B48" s="339"/>
      <c r="C48" s="366" t="s">
        <v>392</v>
      </c>
      <c r="D48" s="366"/>
      <c r="E48" s="366"/>
      <c r="F48" s="366"/>
      <c r="G48" s="366"/>
      <c r="H48" s="366"/>
      <c r="I48" s="366"/>
      <c r="J48" s="339"/>
      <c r="K48" s="339"/>
      <c r="L48" s="339"/>
      <c r="M48" s="339"/>
    </row>
    <row r="49" spans="1:13" ht="14.7" thickBot="1">
      <c r="A49" s="339"/>
      <c r="B49" s="367">
        <f ca="1">B47</f>
        <v>231.41769680094555</v>
      </c>
      <c r="C49" s="368">
        <f>D49-$L$27</f>
        <v>1.2500000000000001E-2</v>
      </c>
      <c r="D49" s="368">
        <f>E49-$L$27</f>
        <v>1.5000000000000001E-2</v>
      </c>
      <c r="E49" s="368">
        <f>F49-$L$27</f>
        <v>1.7500000000000002E-2</v>
      </c>
      <c r="F49" s="369">
        <v>0.02</v>
      </c>
      <c r="G49" s="368">
        <f>F49+$L$27</f>
        <v>2.2499999999999999E-2</v>
      </c>
      <c r="H49" s="368">
        <f>G49+$L$27</f>
        <v>2.4999999999999998E-2</v>
      </c>
      <c r="I49" s="368">
        <f>H49+$L$27</f>
        <v>2.7499999999999997E-2</v>
      </c>
      <c r="J49" s="339"/>
      <c r="K49" s="339"/>
      <c r="L49" s="339"/>
      <c r="M49" s="339"/>
    </row>
    <row r="50" spans="1:13" ht="14.7" thickTop="1">
      <c r="A50" s="346"/>
      <c r="B50" s="347">
        <f>B51-$L$28</f>
        <v>4.7587711885930299E-2</v>
      </c>
      <c r="C50" s="351">
        <f t="dataTable" ref="C50:I56" dt2D="1" dtr="1" r1="B20" r2="B4" ca="1"/>
        <v>286.58274471660729</v>
      </c>
      <c r="D50" s="344">
        <v>306.82807530995171</v>
      </c>
      <c r="E50" s="344">
        <v>330.43779111645222</v>
      </c>
      <c r="F50" s="325">
        <v>358.3265344668319</v>
      </c>
      <c r="G50" s="344">
        <v>391.77352551177717</v>
      </c>
      <c r="H50" s="344">
        <v>432.62431894579487</v>
      </c>
      <c r="I50" s="345">
        <v>483.64321755425749</v>
      </c>
      <c r="J50" s="339"/>
      <c r="K50" s="339"/>
      <c r="L50" s="339"/>
      <c r="M50" s="339"/>
    </row>
    <row r="51" spans="1:13" ht="14.7" thickBot="1">
      <c r="A51" s="346"/>
      <c r="B51" s="347">
        <f>B52-$L$28</f>
        <v>5.2587711885930297E-2</v>
      </c>
      <c r="C51" s="348">
        <v>250.54918140682346</v>
      </c>
      <c r="D51" s="340">
        <v>265.71803601270943</v>
      </c>
      <c r="E51" s="340">
        <v>283.04845285656643</v>
      </c>
      <c r="F51" s="326">
        <v>303.03791138222664</v>
      </c>
      <c r="G51" s="340">
        <v>326.34923409640407</v>
      </c>
      <c r="H51" s="340">
        <v>353.88550355690222</v>
      </c>
      <c r="I51" s="341">
        <v>386.90977239847189</v>
      </c>
      <c r="J51" s="339"/>
      <c r="K51" s="339"/>
      <c r="L51" s="339"/>
      <c r="M51" s="339"/>
    </row>
    <row r="52" spans="1:13">
      <c r="A52" s="346"/>
      <c r="B52" s="347">
        <f>B53-$L$28</f>
        <v>5.7587711885930294E-2</v>
      </c>
      <c r="C52" s="348">
        <v>222.51120466215036</v>
      </c>
      <c r="D52" s="340">
        <v>234.2647740952913</v>
      </c>
      <c r="E52" s="327">
        <v>247.48432510734929</v>
      </c>
      <c r="F52" s="328">
        <v>262.46236983301435</v>
      </c>
      <c r="G52" s="329">
        <v>279.57478638297493</v>
      </c>
      <c r="H52" s="340">
        <v>299.31279637899598</v>
      </c>
      <c r="I52" s="341">
        <v>322.33088464598228</v>
      </c>
      <c r="J52" s="339"/>
      <c r="K52" s="339"/>
      <c r="L52" s="339"/>
      <c r="M52" s="339"/>
    </row>
    <row r="53" spans="1:13">
      <c r="A53" s="346" t="s">
        <v>400</v>
      </c>
      <c r="B53" s="350">
        <f>Ke!E29</f>
        <v>6.2587711885930292E-2</v>
      </c>
      <c r="C53" s="330">
        <v>200.07428271012591</v>
      </c>
      <c r="D53" s="326">
        <v>209.42434554442031</v>
      </c>
      <c r="E53" s="331">
        <v>219.81128322146</v>
      </c>
      <c r="F53" s="332">
        <v>231.41769680094555</v>
      </c>
      <c r="G53" s="333">
        <v>244.47173772475438</v>
      </c>
      <c r="H53" s="326">
        <v>259.26225584667316</v>
      </c>
      <c r="I53" s="334">
        <v>276.16042324620844</v>
      </c>
      <c r="J53" s="339"/>
      <c r="K53" s="339"/>
      <c r="L53" s="339"/>
      <c r="M53" s="339"/>
    </row>
    <row r="54" spans="1:13" ht="14.7" thickBot="1">
      <c r="A54" s="346"/>
      <c r="B54" s="347">
        <f>B53+$L$28</f>
        <v>6.7587711885930296E-2</v>
      </c>
      <c r="C54" s="348">
        <v>181.71323731666206</v>
      </c>
      <c r="D54" s="340">
        <v>189.31047105881814</v>
      </c>
      <c r="E54" s="335">
        <v>197.66609777363172</v>
      </c>
      <c r="F54" s="336">
        <v>206.89964300812974</v>
      </c>
      <c r="G54" s="337">
        <v>217.15714187082014</v>
      </c>
      <c r="H54" s="340">
        <v>228.6189199033054</v>
      </c>
      <c r="I54" s="341">
        <v>241.51028539454862</v>
      </c>
      <c r="J54" s="339"/>
      <c r="K54" s="339"/>
      <c r="L54" s="339"/>
      <c r="M54" s="339"/>
    </row>
    <row r="55" spans="1:13">
      <c r="A55" s="346"/>
      <c r="B55" s="347">
        <f>B54+$L$28</f>
        <v>7.2587711885930301E-2</v>
      </c>
      <c r="C55" s="348">
        <v>166.41054187646611</v>
      </c>
      <c r="D55" s="340">
        <v>172.69197016469531</v>
      </c>
      <c r="E55" s="340">
        <v>179.54352816726413</v>
      </c>
      <c r="F55" s="326">
        <v>187.04652713929647</v>
      </c>
      <c r="G55" s="340">
        <v>195.2985121090442</v>
      </c>
      <c r="H55" s="340">
        <v>204.41752604937238</v>
      </c>
      <c r="I55" s="341">
        <v>214.54779267462266</v>
      </c>
      <c r="J55" s="339"/>
      <c r="K55" s="339"/>
      <c r="L55" s="339"/>
      <c r="M55" s="339"/>
    </row>
    <row r="56" spans="1:13" ht="14.7" thickBot="1">
      <c r="A56" s="346"/>
      <c r="B56" s="347">
        <f>B55+$L$28</f>
        <v>7.7587711885930305E-2</v>
      </c>
      <c r="C56" s="349">
        <v>153.46133388051933</v>
      </c>
      <c r="D56" s="342">
        <v>158.73108888895231</v>
      </c>
      <c r="E56" s="342">
        <v>164.43934911276426</v>
      </c>
      <c r="F56" s="338">
        <v>170.64322376862015</v>
      </c>
      <c r="G56" s="342">
        <v>177.41018903429321</v>
      </c>
      <c r="H56" s="342">
        <v>184.82055225578068</v>
      </c>
      <c r="I56" s="343">
        <v>192.97065412198438</v>
      </c>
      <c r="J56" s="339"/>
      <c r="K56" s="339"/>
      <c r="L56" s="339"/>
      <c r="M56" s="339"/>
    </row>
    <row r="57" spans="1:13" ht="14.7" thickTop="1">
      <c r="A57" s="339"/>
      <c r="B57" s="339"/>
      <c r="C57" s="339"/>
      <c r="D57" s="339"/>
      <c r="E57" s="339"/>
      <c r="F57" s="339"/>
      <c r="G57" s="339"/>
      <c r="H57" s="339"/>
      <c r="I57" s="339"/>
      <c r="J57" s="339"/>
      <c r="K57" s="339"/>
      <c r="L57" s="339"/>
      <c r="M57" s="3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F890-78C4-F446-9CBD-F75C47A0A963}">
  <sheetPr>
    <tabColor theme="7" tint="0.59999389629810485"/>
  </sheetPr>
  <dimension ref="A2:M56"/>
  <sheetViews>
    <sheetView zoomScaleNormal="100" workbookViewId="0">
      <pane xSplit="1" topLeftCell="B1" activePane="topRight" state="frozen"/>
      <selection activeCell="A4" sqref="A4"/>
      <selection pane="topRight" activeCell="H19" sqref="H19"/>
    </sheetView>
  </sheetViews>
  <sheetFormatPr defaultColWidth="10.8203125" defaultRowHeight="14.35"/>
  <cols>
    <col min="1" max="1" width="43.3515625" style="71" bestFit="1" customWidth="1"/>
    <col min="2" max="5" width="10.8203125" style="71" customWidth="1"/>
    <col min="6" max="6" width="10.8203125" style="132" customWidth="1"/>
    <col min="7" max="11" width="10.8203125" style="71" customWidth="1"/>
    <col min="12" max="12" width="1.8203125" style="71" customWidth="1"/>
    <col min="13" max="13" width="25.8203125" style="71" bestFit="1" customWidth="1"/>
    <col min="14" max="16384" width="10.8203125" style="71"/>
  </cols>
  <sheetData>
    <row r="2" spans="1:13">
      <c r="A2" s="121" t="s">
        <v>165</v>
      </c>
      <c r="B2" s="122">
        <v>2018</v>
      </c>
      <c r="C2" s="122">
        <v>2019</v>
      </c>
      <c r="D2" s="122">
        <v>2020</v>
      </c>
      <c r="E2" s="122">
        <v>2021</v>
      </c>
      <c r="F2" s="131">
        <v>2022</v>
      </c>
      <c r="G2" s="122">
        <v>2023</v>
      </c>
      <c r="H2" s="122">
        <v>2024</v>
      </c>
      <c r="I2" s="122">
        <v>2025</v>
      </c>
      <c r="J2" s="122">
        <v>2026</v>
      </c>
      <c r="K2" s="122">
        <v>2027</v>
      </c>
      <c r="M2" s="123" t="s">
        <v>166</v>
      </c>
    </row>
    <row r="3" spans="1:13">
      <c r="A3" s="71" t="s">
        <v>165</v>
      </c>
      <c r="G3" s="72"/>
      <c r="H3" s="72"/>
      <c r="I3" s="72"/>
      <c r="J3" s="72"/>
      <c r="K3" s="72"/>
    </row>
    <row r="4" spans="1:13">
      <c r="A4" s="73" t="s">
        <v>209</v>
      </c>
      <c r="B4" s="137"/>
      <c r="C4" s="129">
        <v>6815.1</v>
      </c>
      <c r="D4" s="129">
        <v>7084.9</v>
      </c>
      <c r="E4" s="129">
        <v>7682.4</v>
      </c>
      <c r="F4" s="133">
        <v>8536.5</v>
      </c>
      <c r="G4" s="153">
        <f>F4*(1+G16)</f>
        <v>9134.0550000000003</v>
      </c>
      <c r="H4" s="154">
        <f t="shared" ref="H4:J4" si="0">G4*(1+H16)</f>
        <v>9499.4171999999999</v>
      </c>
      <c r="I4" s="154">
        <f t="shared" si="0"/>
        <v>9803.3985503999993</v>
      </c>
      <c r="J4" s="154">
        <f t="shared" si="0"/>
        <v>10107.303905462399</v>
      </c>
      <c r="K4" s="154">
        <f>J4*(1+K16)</f>
        <v>10420.630326531733</v>
      </c>
      <c r="M4" s="71" t="s">
        <v>218</v>
      </c>
    </row>
    <row r="5" spans="1:13">
      <c r="A5" s="73" t="s">
        <v>210</v>
      </c>
      <c r="B5" s="138"/>
      <c r="C5" s="130">
        <v>410</v>
      </c>
      <c r="D5" s="130">
        <v>438.2</v>
      </c>
      <c r="E5" s="130">
        <v>555.4</v>
      </c>
      <c r="F5" s="134">
        <v>1029.4000000000001</v>
      </c>
      <c r="G5" s="152">
        <f>F5*(1+G27)</f>
        <v>1111.7520000000002</v>
      </c>
      <c r="H5" s="155">
        <f>G5*(1+H27)</f>
        <v>1172.8983600000001</v>
      </c>
      <c r="I5" s="155">
        <f>H5*(1+I27)</f>
        <v>1222.1600911200003</v>
      </c>
      <c r="J5" s="155">
        <f>I5*(1+J27)</f>
        <v>1272.2686548559202</v>
      </c>
      <c r="K5" s="155">
        <f>J5*(1+K27)</f>
        <v>1324.4316697050128</v>
      </c>
      <c r="M5" s="71" t="s">
        <v>218</v>
      </c>
    </row>
    <row r="6" spans="1:13">
      <c r="A6" s="74" t="s">
        <v>167</v>
      </c>
      <c r="B6" s="137">
        <v>6901.6</v>
      </c>
      <c r="C6" s="129">
        <f>SUM(C4:C5)</f>
        <v>7225.1</v>
      </c>
      <c r="D6" s="129">
        <f t="shared" ref="D6:E6" si="1">SUM(D4:D5)</f>
        <v>7523.0999999999995</v>
      </c>
      <c r="E6" s="129">
        <f t="shared" si="1"/>
        <v>8237.7999999999993</v>
      </c>
      <c r="F6" s="133">
        <f>SUM(F4:F5)</f>
        <v>9565.9</v>
      </c>
      <c r="G6" s="156">
        <f>SUM(G4:G5)</f>
        <v>10245.807000000001</v>
      </c>
      <c r="H6" s="157">
        <f t="shared" ref="H6:K6" si="2">SUM(H4:H5)</f>
        <v>10672.315559999999</v>
      </c>
      <c r="I6" s="157">
        <f t="shared" si="2"/>
        <v>11025.55864152</v>
      </c>
      <c r="J6" s="157">
        <f t="shared" si="2"/>
        <v>11379.572560318318</v>
      </c>
      <c r="K6" s="157">
        <f t="shared" si="2"/>
        <v>11745.061996236745</v>
      </c>
      <c r="M6" s="71" t="s">
        <v>185</v>
      </c>
    </row>
    <row r="7" spans="1:13">
      <c r="A7" s="74" t="s">
        <v>177</v>
      </c>
      <c r="B7" s="138">
        <v>889.5</v>
      </c>
      <c r="C7" s="130">
        <v>761.2</v>
      </c>
      <c r="D7" s="130">
        <v>626.6</v>
      </c>
      <c r="E7" s="130">
        <v>733.5</v>
      </c>
      <c r="F7" s="134">
        <v>853.4</v>
      </c>
      <c r="G7" s="158">
        <f>F7*(1+G38)</f>
        <v>944.71379999999999</v>
      </c>
      <c r="H7" s="75">
        <f>G7*(1+H38)</f>
        <v>1016.5120488</v>
      </c>
      <c r="I7" s="75">
        <f>H7*(1+I38)</f>
        <v>1074.4532355816</v>
      </c>
      <c r="J7" s="75">
        <f>I7*(1+J38)</f>
        <v>1131.3992570674247</v>
      </c>
      <c r="K7" s="75">
        <f>J7*(1+K38)</f>
        <v>1191.3634176919982</v>
      </c>
      <c r="M7" s="71" t="s">
        <v>218</v>
      </c>
    </row>
    <row r="8" spans="1:13">
      <c r="A8" s="76" t="s">
        <v>168</v>
      </c>
      <c r="B8" s="137">
        <f>SUM(B6:B7)</f>
        <v>7791.1</v>
      </c>
      <c r="C8" s="129">
        <f>SUM(C6:C7)</f>
        <v>7986.3</v>
      </c>
      <c r="D8" s="129">
        <f t="shared" ref="D8:G8" si="3">SUM(D6:D7)</f>
        <v>8149.7</v>
      </c>
      <c r="E8" s="129">
        <f>SUM(E6:E7)</f>
        <v>8971.2999999999993</v>
      </c>
      <c r="F8" s="133">
        <f>SUM(F6:F7)</f>
        <v>10419.299999999999</v>
      </c>
      <c r="G8" s="156">
        <f t="shared" si="3"/>
        <v>11190.5208</v>
      </c>
      <c r="H8" s="157">
        <f t="shared" ref="H8:K8" si="4">SUM(H6:H7)</f>
        <v>11688.827608799998</v>
      </c>
      <c r="I8" s="157">
        <f t="shared" si="4"/>
        <v>12100.011877101599</v>
      </c>
      <c r="J8" s="157">
        <f t="shared" si="4"/>
        <v>12510.971817385744</v>
      </c>
      <c r="K8" s="157">
        <f t="shared" si="4"/>
        <v>12936.425413928744</v>
      </c>
      <c r="M8" s="71" t="s">
        <v>185</v>
      </c>
    </row>
    <row r="9" spans="1:13" s="78" customFormat="1">
      <c r="A9" s="77" t="s">
        <v>169</v>
      </c>
      <c r="B9" s="46"/>
      <c r="C9" s="124">
        <f>C8/B8-1</f>
        <v>2.5054228542824575E-2</v>
      </c>
      <c r="D9" s="124">
        <f t="shared" ref="D9:G9" si="5">D8/C8-1</f>
        <v>2.0460037814757692E-2</v>
      </c>
      <c r="E9" s="124">
        <f t="shared" si="5"/>
        <v>0.10081352687828993</v>
      </c>
      <c r="F9" s="135">
        <f t="shared" si="5"/>
        <v>0.16140358699408108</v>
      </c>
      <c r="G9" s="159">
        <f t="shared" si="5"/>
        <v>7.4018484927010464E-2</v>
      </c>
      <c r="H9" s="160">
        <f t="shared" ref="H9" si="6">H8/G8-1</f>
        <v>4.4529367105059059E-2</v>
      </c>
      <c r="I9" s="160">
        <f t="shared" ref="I9" si="7">I8/H8-1</f>
        <v>3.5177545778161567E-2</v>
      </c>
      <c r="J9" s="160">
        <f t="shared" ref="J9" si="8">J8/I8-1</f>
        <v>3.3963598090499092E-2</v>
      </c>
      <c r="K9" s="160">
        <f t="shared" ref="K9" si="9">K8/J8-1</f>
        <v>3.4006438728586552E-2</v>
      </c>
      <c r="M9" s="78" t="s">
        <v>218</v>
      </c>
    </row>
    <row r="10" spans="1:13">
      <c r="A10" s="214" t="s">
        <v>255</v>
      </c>
      <c r="G10" s="215" t="s">
        <v>256</v>
      </c>
      <c r="H10" s="215" t="s">
        <v>257</v>
      </c>
      <c r="I10" s="215" t="s">
        <v>257</v>
      </c>
      <c r="J10" s="215" t="s">
        <v>258</v>
      </c>
      <c r="K10" s="215" t="s">
        <v>258</v>
      </c>
      <c r="M10" s="71" t="s">
        <v>259</v>
      </c>
    </row>
    <row r="11" spans="1:13">
      <c r="A11" s="121" t="s">
        <v>209</v>
      </c>
      <c r="B11" s="122">
        <v>2018</v>
      </c>
      <c r="C11" s="122">
        <v>2019</v>
      </c>
      <c r="D11" s="122">
        <v>2020</v>
      </c>
      <c r="E11" s="122">
        <v>2021</v>
      </c>
      <c r="F11" s="131">
        <v>2022</v>
      </c>
      <c r="G11" s="122">
        <v>2023</v>
      </c>
      <c r="H11" s="122">
        <v>2024</v>
      </c>
      <c r="I11" s="122">
        <v>2025</v>
      </c>
      <c r="J11" s="122">
        <v>2026</v>
      </c>
      <c r="K11" s="122">
        <v>2027</v>
      </c>
    </row>
    <row r="12" spans="1:13">
      <c r="A12" s="74" t="s">
        <v>170</v>
      </c>
      <c r="B12" s="54"/>
      <c r="C12" s="125"/>
      <c r="D12" s="127">
        <v>2.8000000000000001E-2</v>
      </c>
      <c r="E12" s="127">
        <v>2.1000000000000001E-2</v>
      </c>
      <c r="F12" s="136">
        <v>8.1000000000000003E-2</v>
      </c>
      <c r="G12" s="79">
        <v>0.05</v>
      </c>
      <c r="H12" s="79">
        <v>2.5000000000000001E-2</v>
      </c>
      <c r="I12" s="79">
        <v>2.1999999999999999E-2</v>
      </c>
      <c r="J12" s="79">
        <v>2.1000000000000001E-2</v>
      </c>
      <c r="K12" s="79">
        <v>2.1000000000000001E-2</v>
      </c>
      <c r="M12" s="76" t="s">
        <v>219</v>
      </c>
    </row>
    <row r="13" spans="1:13">
      <c r="A13" s="74" t="s">
        <v>171</v>
      </c>
      <c r="B13" s="54"/>
      <c r="C13" s="125"/>
      <c r="D13" s="127">
        <v>3.0000000000000001E-3</v>
      </c>
      <c r="E13" s="127">
        <v>5.0999999999999997E-2</v>
      </c>
      <c r="F13" s="136">
        <v>2.8000000000000001E-2</v>
      </c>
      <c r="G13" s="79">
        <v>0.02</v>
      </c>
      <c r="H13" s="79">
        <v>1.4999999999999999E-2</v>
      </c>
      <c r="I13" s="79">
        <v>0.01</v>
      </c>
      <c r="J13" s="79">
        <v>0.01</v>
      </c>
      <c r="K13" s="79">
        <v>0.01</v>
      </c>
      <c r="M13" s="76" t="s">
        <v>172</v>
      </c>
    </row>
    <row r="14" spans="1:13">
      <c r="A14" s="74" t="s">
        <v>173</v>
      </c>
      <c r="B14" s="54"/>
      <c r="C14" s="125"/>
      <c r="D14" s="127">
        <v>8.9999999999999993E-3</v>
      </c>
      <c r="E14" s="127">
        <v>8.9999999999999993E-3</v>
      </c>
      <c r="F14" s="136">
        <v>4.0000000000000001E-3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M14" s="76" t="s">
        <v>220</v>
      </c>
    </row>
    <row r="15" spans="1:13">
      <c r="A15" s="74" t="s">
        <v>174</v>
      </c>
      <c r="B15" s="80"/>
      <c r="C15" s="126"/>
      <c r="D15" s="139">
        <v>0</v>
      </c>
      <c r="E15" s="139">
        <v>3.0000000000000001E-3</v>
      </c>
      <c r="F15" s="140">
        <v>-2E-3</v>
      </c>
      <c r="G15" s="151">
        <v>0</v>
      </c>
      <c r="H15" s="81">
        <v>0</v>
      </c>
      <c r="I15" s="81">
        <v>0</v>
      </c>
      <c r="J15" s="81">
        <v>0</v>
      </c>
      <c r="K15" s="81">
        <v>0</v>
      </c>
      <c r="M15" s="76" t="s">
        <v>175</v>
      </c>
    </row>
    <row r="16" spans="1:13">
      <c r="A16" s="73" t="s">
        <v>211</v>
      </c>
      <c r="B16" s="82"/>
      <c r="C16" s="127" t="e">
        <f t="shared" ref="C16" si="10">C4/B4-1</f>
        <v>#DIV/0!</v>
      </c>
      <c r="D16" s="127">
        <f>D4/C4-1</f>
        <v>3.9588560696101283E-2</v>
      </c>
      <c r="E16" s="127">
        <f>E4/D4-1</f>
        <v>8.4334288416209047E-2</v>
      </c>
      <c r="F16" s="136">
        <f>F4/E4-1</f>
        <v>0.11117619493908149</v>
      </c>
      <c r="G16" s="407">
        <f>CHOOSE(Scenarios!$G$4,G18,G19,G20)</f>
        <v>7.0000000000000007E-2</v>
      </c>
      <c r="H16" s="407">
        <f>CHOOSE(Scenarios!$G$4,H18,H19,H20)</f>
        <v>0.04</v>
      </c>
      <c r="I16" s="407">
        <f>CHOOSE(Scenarios!$G$4,I18,I19,I20)</f>
        <v>3.2000000000000001E-2</v>
      </c>
      <c r="J16" s="407">
        <f>CHOOSE(Scenarios!$G$4,J18,J19,J20)</f>
        <v>3.1E-2</v>
      </c>
      <c r="K16" s="407">
        <f>CHOOSE(Scenarios!$G$4,K18,K19,K20)</f>
        <v>3.1E-2</v>
      </c>
      <c r="M16" s="76" t="s">
        <v>176</v>
      </c>
    </row>
    <row r="17" spans="1:13">
      <c r="A17" s="73"/>
      <c r="B17" s="82"/>
      <c r="C17" s="127"/>
      <c r="D17" s="127"/>
      <c r="E17" s="127"/>
      <c r="F17" s="136"/>
      <c r="G17" s="83"/>
      <c r="H17" s="83"/>
      <c r="I17" s="83"/>
      <c r="J17" s="83"/>
      <c r="K17" s="83"/>
      <c r="M17" s="76"/>
    </row>
    <row r="18" spans="1:13">
      <c r="A18" s="410" t="s">
        <v>405</v>
      </c>
      <c r="B18" s="405"/>
      <c r="C18" s="405"/>
      <c r="D18" s="405"/>
      <c r="E18" s="405"/>
      <c r="F18" s="406"/>
      <c r="G18" s="411">
        <f>G19+0.02</f>
        <v>9.0000000000000011E-2</v>
      </c>
      <c r="H18" s="411">
        <f t="shared" ref="H18:K18" si="11">H19+0.02</f>
        <v>0.06</v>
      </c>
      <c r="I18" s="411">
        <f t="shared" si="11"/>
        <v>5.2000000000000005E-2</v>
      </c>
      <c r="J18" s="411">
        <f t="shared" si="11"/>
        <v>5.1000000000000004E-2</v>
      </c>
      <c r="K18" s="411">
        <f t="shared" si="11"/>
        <v>5.1000000000000004E-2</v>
      </c>
      <c r="M18" s="76"/>
    </row>
    <row r="19" spans="1:13">
      <c r="A19" s="410" t="s">
        <v>406</v>
      </c>
      <c r="B19" s="405"/>
      <c r="C19" s="405"/>
      <c r="D19" s="405"/>
      <c r="E19" s="405"/>
      <c r="F19" s="406"/>
      <c r="G19" s="411">
        <v>7.0000000000000007E-2</v>
      </c>
      <c r="H19" s="411">
        <v>0.04</v>
      </c>
      <c r="I19" s="411">
        <v>3.2000000000000001E-2</v>
      </c>
      <c r="J19" s="411">
        <v>3.1E-2</v>
      </c>
      <c r="K19" s="411">
        <v>3.1E-2</v>
      </c>
      <c r="L19" s="127"/>
      <c r="M19" s="76"/>
    </row>
    <row r="20" spans="1:13">
      <c r="A20" s="410" t="s">
        <v>407</v>
      </c>
      <c r="B20" s="405"/>
      <c r="C20" s="405"/>
      <c r="D20" s="405"/>
      <c r="E20" s="405"/>
      <c r="F20" s="406"/>
      <c r="G20" s="411">
        <f>G19-0.02</f>
        <v>0.05</v>
      </c>
      <c r="H20" s="411">
        <f t="shared" ref="H20:K20" si="12">H19-0.02</f>
        <v>0.02</v>
      </c>
      <c r="I20" s="411">
        <f t="shared" si="12"/>
        <v>1.2E-2</v>
      </c>
      <c r="J20" s="411">
        <f t="shared" si="12"/>
        <v>1.0999999999999999E-2</v>
      </c>
      <c r="K20" s="411">
        <f t="shared" si="12"/>
        <v>1.0999999999999999E-2</v>
      </c>
      <c r="M20" s="76"/>
    </row>
    <row r="22" spans="1:13">
      <c r="A22" s="121" t="s">
        <v>221</v>
      </c>
      <c r="B22" s="122">
        <v>2018</v>
      </c>
      <c r="C22" s="122">
        <v>2019</v>
      </c>
      <c r="D22" s="122">
        <v>2020</v>
      </c>
      <c r="E22" s="122">
        <v>2021</v>
      </c>
      <c r="F22" s="131">
        <v>2022</v>
      </c>
      <c r="G22" s="122">
        <v>2023</v>
      </c>
      <c r="H22" s="122">
        <v>2024</v>
      </c>
      <c r="I22" s="122">
        <v>2025</v>
      </c>
      <c r="J22" s="122">
        <v>2026</v>
      </c>
      <c r="K22" s="122">
        <v>2027</v>
      </c>
    </row>
    <row r="23" spans="1:13">
      <c r="A23" s="74" t="s">
        <v>170</v>
      </c>
      <c r="B23" s="54"/>
      <c r="C23" s="125"/>
      <c r="D23" s="127">
        <v>0</v>
      </c>
      <c r="E23" s="127">
        <v>5.7000000000000002E-2</v>
      </c>
      <c r="F23" s="136">
        <v>0.12</v>
      </c>
      <c r="G23" s="79">
        <v>0.06</v>
      </c>
      <c r="H23" s="79">
        <v>3.5000000000000003E-2</v>
      </c>
      <c r="I23" s="79">
        <v>2.1999999999999999E-2</v>
      </c>
      <c r="J23" s="79">
        <v>2.1000000000000001E-2</v>
      </c>
      <c r="K23" s="79">
        <v>2.1000000000000001E-2</v>
      </c>
      <c r="M23" s="76" t="s">
        <v>222</v>
      </c>
    </row>
    <row r="24" spans="1:13">
      <c r="A24" s="74" t="s">
        <v>171</v>
      </c>
      <c r="B24" s="54"/>
      <c r="C24" s="125"/>
      <c r="D24" s="127">
        <v>0.106</v>
      </c>
      <c r="E24" s="127">
        <v>0.16900000000000001</v>
      </c>
      <c r="F24" s="136">
        <v>9.2999999999999999E-2</v>
      </c>
      <c r="G24" s="79">
        <v>0.02</v>
      </c>
      <c r="H24" s="79">
        <v>0.02</v>
      </c>
      <c r="I24" s="79">
        <v>0.02</v>
      </c>
      <c r="J24" s="79">
        <v>0.02</v>
      </c>
      <c r="K24" s="79">
        <v>0.02</v>
      </c>
      <c r="M24" s="76" t="s">
        <v>172</v>
      </c>
    </row>
    <row r="25" spans="1:13">
      <c r="A25" s="74" t="s">
        <v>173</v>
      </c>
      <c r="B25" s="54"/>
      <c r="C25" s="125"/>
      <c r="D25" s="127">
        <v>-3.6999999999999998E-2</v>
      </c>
      <c r="E25" s="127">
        <v>4.1000000000000002E-2</v>
      </c>
      <c r="F25" s="136">
        <v>0.64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  <c r="M25" s="76" t="s">
        <v>220</v>
      </c>
    </row>
    <row r="26" spans="1:13">
      <c r="A26" s="74" t="s">
        <v>174</v>
      </c>
      <c r="B26" s="80"/>
      <c r="C26" s="126"/>
      <c r="D26" s="139">
        <v>0</v>
      </c>
      <c r="E26" s="139">
        <v>0</v>
      </c>
      <c r="F26" s="140">
        <v>0</v>
      </c>
      <c r="G26" s="151">
        <v>0</v>
      </c>
      <c r="H26" s="81">
        <v>0</v>
      </c>
      <c r="I26" s="81">
        <v>0</v>
      </c>
      <c r="J26" s="81">
        <v>0</v>
      </c>
      <c r="K26" s="81">
        <v>0</v>
      </c>
      <c r="M26" s="76" t="s">
        <v>175</v>
      </c>
    </row>
    <row r="27" spans="1:13">
      <c r="A27" s="73" t="s">
        <v>211</v>
      </c>
      <c r="B27" s="82"/>
      <c r="C27" s="127" t="e">
        <f>C5/B5-1</f>
        <v>#DIV/0!</v>
      </c>
      <c r="D27" s="127">
        <f>SUM(D23:D26)</f>
        <v>6.9000000000000006E-2</v>
      </c>
      <c r="E27" s="127">
        <f>SUM(E23:E26)</f>
        <v>0.26700000000000002</v>
      </c>
      <c r="F27" s="136">
        <f>SUM(F23:F26)</f>
        <v>0.85299999999999998</v>
      </c>
      <c r="G27" s="407">
        <f>CHOOSE(Scenarios!$K$4,'Revenue Model'!G29,'Revenue Model'!G30,'Revenue Model'!G31)</f>
        <v>0.08</v>
      </c>
      <c r="H27" s="407">
        <f>CHOOSE(Scenarios!$K$4,'Revenue Model'!H29,'Revenue Model'!H30,'Revenue Model'!H31)</f>
        <v>5.5E-2</v>
      </c>
      <c r="I27" s="407">
        <f>CHOOSE(Scenarios!$K$4,'Revenue Model'!I29,'Revenue Model'!I30,'Revenue Model'!I31)</f>
        <v>4.2000000000000003E-2</v>
      </c>
      <c r="J27" s="407">
        <f>CHOOSE(Scenarios!$K$4,'Revenue Model'!J29,'Revenue Model'!J30,'Revenue Model'!J31)</f>
        <v>4.1000000000000002E-2</v>
      </c>
      <c r="K27" s="407">
        <f>CHOOSE(Scenarios!$K$4,'Revenue Model'!K29,'Revenue Model'!K30,'Revenue Model'!K31)</f>
        <v>4.1000000000000002E-2</v>
      </c>
      <c r="M27" s="76" t="s">
        <v>176</v>
      </c>
    </row>
    <row r="28" spans="1:13">
      <c r="A28" s="73"/>
      <c r="B28" s="82"/>
      <c r="C28" s="127"/>
      <c r="D28" s="127"/>
      <c r="E28" s="127"/>
      <c r="F28" s="136"/>
      <c r="G28" s="83"/>
      <c r="H28" s="83"/>
      <c r="I28" s="83"/>
      <c r="J28" s="83"/>
      <c r="K28" s="83"/>
      <c r="M28" s="76"/>
    </row>
    <row r="29" spans="1:13">
      <c r="A29" s="410" t="s">
        <v>405</v>
      </c>
      <c r="B29" s="405"/>
      <c r="C29" s="405"/>
      <c r="D29" s="405"/>
      <c r="E29" s="405"/>
      <c r="F29" s="406"/>
      <c r="G29" s="411">
        <f>G30+0.02</f>
        <v>0.1</v>
      </c>
      <c r="H29" s="411">
        <f t="shared" ref="H29:K29" si="13">H30+0.02</f>
        <v>7.4999999999999997E-2</v>
      </c>
      <c r="I29" s="411">
        <f t="shared" si="13"/>
        <v>6.2E-2</v>
      </c>
      <c r="J29" s="411">
        <f t="shared" si="13"/>
        <v>6.0999999999999999E-2</v>
      </c>
      <c r="K29" s="411">
        <f t="shared" si="13"/>
        <v>6.0999999999999999E-2</v>
      </c>
      <c r="M29" s="76"/>
    </row>
    <row r="30" spans="1:13">
      <c r="A30" s="410" t="s">
        <v>406</v>
      </c>
      <c r="B30" s="405"/>
      <c r="C30" s="405"/>
      <c r="D30" s="405"/>
      <c r="E30" s="405"/>
      <c r="F30" s="406"/>
      <c r="G30" s="411">
        <v>0.08</v>
      </c>
      <c r="H30" s="411">
        <v>5.5E-2</v>
      </c>
      <c r="I30" s="411">
        <v>4.2000000000000003E-2</v>
      </c>
      <c r="J30" s="411">
        <v>4.1000000000000002E-2</v>
      </c>
      <c r="K30" s="411">
        <v>4.1000000000000002E-2</v>
      </c>
      <c r="M30" s="76"/>
    </row>
    <row r="31" spans="1:13">
      <c r="A31" s="410" t="s">
        <v>407</v>
      </c>
      <c r="B31" s="405"/>
      <c r="C31" s="405"/>
      <c r="D31" s="405"/>
      <c r="E31" s="405"/>
      <c r="F31" s="406"/>
      <c r="G31" s="411">
        <f>G30-0.02</f>
        <v>0.06</v>
      </c>
      <c r="H31" s="411">
        <f t="shared" ref="H31:K31" si="14">H30-0.02</f>
        <v>3.5000000000000003E-2</v>
      </c>
      <c r="I31" s="411">
        <f t="shared" si="14"/>
        <v>2.2000000000000002E-2</v>
      </c>
      <c r="J31" s="411">
        <f t="shared" si="14"/>
        <v>2.1000000000000001E-2</v>
      </c>
      <c r="K31" s="411">
        <f t="shared" si="14"/>
        <v>2.1000000000000001E-2</v>
      </c>
      <c r="M31" s="76"/>
    </row>
    <row r="33" spans="1:13">
      <c r="A33" s="121" t="s">
        <v>177</v>
      </c>
      <c r="B33" s="122">
        <v>2018</v>
      </c>
      <c r="C33" s="122">
        <v>2019</v>
      </c>
      <c r="D33" s="122">
        <v>2020</v>
      </c>
      <c r="E33" s="122">
        <v>2021</v>
      </c>
      <c r="F33" s="131">
        <v>2022</v>
      </c>
      <c r="G33" s="122">
        <v>2023</v>
      </c>
      <c r="H33" s="122">
        <v>2024</v>
      </c>
      <c r="I33" s="122">
        <v>2025</v>
      </c>
      <c r="J33" s="122">
        <v>2026</v>
      </c>
      <c r="K33" s="122">
        <v>2027</v>
      </c>
    </row>
    <row r="34" spans="1:13">
      <c r="A34" s="74" t="s">
        <v>170</v>
      </c>
      <c r="B34" s="54"/>
      <c r="C34" s="125"/>
      <c r="D34" s="127">
        <v>-1.7999999999999999E-2</v>
      </c>
      <c r="E34" s="127">
        <v>0.121</v>
      </c>
      <c r="F34" s="136">
        <v>4.1000000000000002E-2</v>
      </c>
      <c r="G34" s="79">
        <f>AVERAGE(G46:G47)</f>
        <v>6.6500000000000004E-2</v>
      </c>
      <c r="H34" s="79">
        <f t="shared" ref="H34:J34" si="15">AVERAGE(H46:H47)</f>
        <v>4.5499999999999999E-2</v>
      </c>
      <c r="I34" s="79">
        <f t="shared" si="15"/>
        <v>3.6500000000000005E-2</v>
      </c>
      <c r="J34" s="79">
        <f t="shared" si="15"/>
        <v>3.3000000000000002E-2</v>
      </c>
      <c r="K34" s="79">
        <f>AVERAGE(K46:K47)</f>
        <v>3.2500000000000001E-2</v>
      </c>
      <c r="M34" s="76" t="s">
        <v>223</v>
      </c>
    </row>
    <row r="35" spans="1:13">
      <c r="A35" s="74" t="s">
        <v>171</v>
      </c>
      <c r="B35" s="54"/>
      <c r="C35" s="125"/>
      <c r="D35" s="127">
        <v>-0.11</v>
      </c>
      <c r="E35" s="127">
        <v>4.2000000000000003E-2</v>
      </c>
      <c r="F35" s="136">
        <v>0.11899999999999999</v>
      </c>
      <c r="G35" s="79">
        <v>0.04</v>
      </c>
      <c r="H35" s="79">
        <v>0.03</v>
      </c>
      <c r="I35" s="79">
        <v>0.02</v>
      </c>
      <c r="J35" s="79">
        <v>0.02</v>
      </c>
      <c r="K35" s="79">
        <v>0.02</v>
      </c>
      <c r="M35" s="76" t="s">
        <v>172</v>
      </c>
    </row>
    <row r="36" spans="1:13">
      <c r="A36" s="74" t="s">
        <v>173</v>
      </c>
      <c r="B36" s="54"/>
      <c r="C36" s="125"/>
      <c r="D36" s="127">
        <v>0</v>
      </c>
      <c r="E36" s="127">
        <v>0</v>
      </c>
      <c r="F36" s="136">
        <v>0</v>
      </c>
      <c r="G36" s="79">
        <v>0</v>
      </c>
      <c r="H36" s="79">
        <v>0</v>
      </c>
      <c r="I36" s="79">
        <v>0</v>
      </c>
      <c r="J36" s="79">
        <v>0</v>
      </c>
      <c r="K36" s="79">
        <v>0</v>
      </c>
      <c r="M36" s="76" t="s">
        <v>220</v>
      </c>
    </row>
    <row r="37" spans="1:13">
      <c r="A37" s="74" t="s">
        <v>174</v>
      </c>
      <c r="B37" s="80"/>
      <c r="C37" s="126"/>
      <c r="D37" s="139">
        <v>-4.9000000000000002E-2</v>
      </c>
      <c r="E37" s="139">
        <v>8.0000000000000002E-3</v>
      </c>
      <c r="F37" s="140">
        <v>3.0000000000000001E-3</v>
      </c>
      <c r="G37" s="151">
        <v>0</v>
      </c>
      <c r="H37" s="81">
        <v>0</v>
      </c>
      <c r="I37" s="81">
        <v>0</v>
      </c>
      <c r="J37" s="81">
        <v>0</v>
      </c>
      <c r="K37" s="81">
        <v>0</v>
      </c>
      <c r="M37" s="76" t="s">
        <v>175</v>
      </c>
    </row>
    <row r="38" spans="1:13">
      <c r="A38" s="73" t="s">
        <v>211</v>
      </c>
      <c r="B38" s="82"/>
      <c r="C38" s="127">
        <f>C7/B7-1</f>
        <v>-0.14423833614390102</v>
      </c>
      <c r="D38" s="127">
        <f>SUM(D34:D37)</f>
        <v>-0.17699999999999999</v>
      </c>
      <c r="E38" s="127">
        <f>SUM(E34:E37)</f>
        <v>0.17100000000000001</v>
      </c>
      <c r="F38" s="136">
        <f>SUM(F34:F37)</f>
        <v>0.16300000000000001</v>
      </c>
      <c r="G38" s="407">
        <f>CHOOSE(Scenarios!$O$4,'Revenue Model'!G40,'Revenue Model'!G41,'Revenue Model'!G42)</f>
        <v>0.107</v>
      </c>
      <c r="H38" s="407">
        <f>CHOOSE(Scenarios!$O$4,'Revenue Model'!H40,'Revenue Model'!H41,'Revenue Model'!H42)</f>
        <v>7.5999999999999998E-2</v>
      </c>
      <c r="I38" s="407">
        <f>CHOOSE(Scenarios!$O$4,'Revenue Model'!I40,'Revenue Model'!I41,'Revenue Model'!I42)</f>
        <v>5.7000000000000002E-2</v>
      </c>
      <c r="J38" s="407">
        <f>CHOOSE(Scenarios!$O$4,'Revenue Model'!J40,'Revenue Model'!J41,'Revenue Model'!J42)</f>
        <v>5.2999999999999999E-2</v>
      </c>
      <c r="K38" s="407">
        <f>CHOOSE(Scenarios!$O$4,'Revenue Model'!K40,'Revenue Model'!K41,'Revenue Model'!K42)</f>
        <v>5.2999999999999999E-2</v>
      </c>
      <c r="M38" s="76" t="s">
        <v>176</v>
      </c>
    </row>
    <row r="39" spans="1:13">
      <c r="A39" s="73"/>
      <c r="B39" s="82"/>
      <c r="C39" s="127"/>
      <c r="D39" s="127"/>
      <c r="E39" s="127"/>
      <c r="F39" s="136"/>
      <c r="G39" s="83"/>
      <c r="H39" s="83"/>
      <c r="I39" s="83"/>
      <c r="J39" s="83"/>
      <c r="K39" s="83"/>
      <c r="M39" s="76"/>
    </row>
    <row r="40" spans="1:13">
      <c r="A40" s="410" t="s">
        <v>405</v>
      </c>
      <c r="B40" s="405"/>
      <c r="C40" s="405"/>
      <c r="D40" s="405"/>
      <c r="E40" s="405"/>
      <c r="F40" s="406"/>
      <c r="G40" s="411">
        <f>G41+0.02</f>
        <v>0.127</v>
      </c>
      <c r="H40" s="411">
        <f t="shared" ref="H40:K40" si="16">H41+0.02</f>
        <v>9.6000000000000002E-2</v>
      </c>
      <c r="I40" s="411">
        <f t="shared" si="16"/>
        <v>7.6999999999999999E-2</v>
      </c>
      <c r="J40" s="411">
        <f t="shared" si="16"/>
        <v>7.2999999999999995E-2</v>
      </c>
      <c r="K40" s="411">
        <f t="shared" si="16"/>
        <v>7.2999999999999995E-2</v>
      </c>
      <c r="M40" s="76"/>
    </row>
    <row r="41" spans="1:13">
      <c r="A41" s="410" t="s">
        <v>406</v>
      </c>
      <c r="B41" s="405"/>
      <c r="C41" s="405"/>
      <c r="D41" s="405"/>
      <c r="E41" s="405"/>
      <c r="F41" s="406"/>
      <c r="G41" s="411">
        <v>0.107</v>
      </c>
      <c r="H41" s="411">
        <v>7.5999999999999998E-2</v>
      </c>
      <c r="I41" s="411">
        <v>5.7000000000000002E-2</v>
      </c>
      <c r="J41" s="411">
        <v>5.2999999999999999E-2</v>
      </c>
      <c r="K41" s="411">
        <v>5.2999999999999999E-2</v>
      </c>
      <c r="M41" s="76"/>
    </row>
    <row r="42" spans="1:13">
      <c r="A42" s="410" t="s">
        <v>407</v>
      </c>
      <c r="B42" s="405"/>
      <c r="C42" s="405"/>
      <c r="D42" s="405"/>
      <c r="E42" s="405"/>
      <c r="F42" s="406"/>
      <c r="G42" s="411">
        <f>G41-0.02</f>
        <v>8.6999999999999994E-2</v>
      </c>
      <c r="H42" s="411">
        <f t="shared" ref="H42:K42" si="17">H41-0.02</f>
        <v>5.5999999999999994E-2</v>
      </c>
      <c r="I42" s="411">
        <f t="shared" si="17"/>
        <v>3.7000000000000005E-2</v>
      </c>
      <c r="J42" s="411">
        <f t="shared" si="17"/>
        <v>3.3000000000000002E-2</v>
      </c>
      <c r="K42" s="411">
        <f t="shared" si="17"/>
        <v>3.3000000000000002E-2</v>
      </c>
      <c r="M42" s="76"/>
    </row>
    <row r="44" spans="1:13">
      <c r="A44" s="216" t="s">
        <v>212</v>
      </c>
      <c r="B44" s="217">
        <v>2018</v>
      </c>
      <c r="C44" s="217">
        <v>2019</v>
      </c>
      <c r="D44" s="217">
        <v>2020</v>
      </c>
      <c r="E44" s="217">
        <v>2021</v>
      </c>
      <c r="F44" s="218">
        <v>2022</v>
      </c>
      <c r="G44" s="217">
        <v>2023</v>
      </c>
      <c r="H44" s="217">
        <v>2024</v>
      </c>
      <c r="I44" s="217">
        <v>2025</v>
      </c>
      <c r="J44" s="217">
        <v>2026</v>
      </c>
      <c r="K44" s="217">
        <v>2027</v>
      </c>
      <c r="M44" s="71" t="s">
        <v>260</v>
      </c>
    </row>
    <row r="45" spans="1:13">
      <c r="A45" s="84" t="s">
        <v>214</v>
      </c>
      <c r="B45" s="82">
        <v>2.7000000000000003E-2</v>
      </c>
      <c r="C45" s="82">
        <v>0.02</v>
      </c>
      <c r="D45" s="82">
        <v>1.3999999999999999E-2</v>
      </c>
      <c r="E45" s="82">
        <v>4.7E-2</v>
      </c>
      <c r="F45" s="136">
        <v>7.9000000000000001E-2</v>
      </c>
      <c r="G45" s="82">
        <v>4.5999999999999999E-2</v>
      </c>
      <c r="H45" s="82">
        <v>2.5000000000000001E-2</v>
      </c>
      <c r="I45" s="82">
        <v>2.2000000000000002E-2</v>
      </c>
      <c r="J45" s="82">
        <v>2.1000000000000001E-2</v>
      </c>
      <c r="K45" s="82">
        <v>2.1000000000000001E-2</v>
      </c>
    </row>
    <row r="46" spans="1:13">
      <c r="A46" s="84" t="s">
        <v>215</v>
      </c>
      <c r="B46" s="82">
        <v>0.02</v>
      </c>
      <c r="C46" s="82">
        <v>1.3999999999999999E-2</v>
      </c>
      <c r="D46" s="82">
        <v>6.9999999999999993E-3</v>
      </c>
      <c r="E46" s="82">
        <v>3.1E-2</v>
      </c>
      <c r="F46" s="136">
        <v>7.2999999999999995E-2</v>
      </c>
      <c r="G46" s="82">
        <v>4.7E-2</v>
      </c>
      <c r="H46" s="82">
        <v>2.6000000000000002E-2</v>
      </c>
      <c r="I46" s="82">
        <v>2.1000000000000001E-2</v>
      </c>
      <c r="J46" s="82">
        <v>1.9E-2</v>
      </c>
      <c r="K46" s="82">
        <v>1.9E-2</v>
      </c>
    </row>
    <row r="47" spans="1:13">
      <c r="A47" s="84" t="s">
        <v>216</v>
      </c>
      <c r="B47" s="82">
        <v>4.9000000000000002E-2</v>
      </c>
      <c r="C47" s="82">
        <v>5.0999999999999997E-2</v>
      </c>
      <c r="D47" s="82">
        <v>5.2000000000000005E-2</v>
      </c>
      <c r="E47" s="82">
        <v>5.9000000000000004E-2</v>
      </c>
      <c r="F47" s="136">
        <v>9.8000000000000004E-2</v>
      </c>
      <c r="G47" s="82">
        <v>8.5999999999999993E-2</v>
      </c>
      <c r="H47" s="82">
        <v>6.5000000000000002E-2</v>
      </c>
      <c r="I47" s="82">
        <v>5.2000000000000005E-2</v>
      </c>
      <c r="J47" s="82">
        <v>4.7E-2</v>
      </c>
      <c r="K47" s="82">
        <v>4.5999999999999999E-2</v>
      </c>
    </row>
    <row r="48" spans="1:13">
      <c r="A48" s="84" t="s">
        <v>217</v>
      </c>
      <c r="B48" s="82">
        <v>3.6000000000000004E-2</v>
      </c>
      <c r="C48" s="82">
        <v>3.5000000000000003E-2</v>
      </c>
      <c r="D48" s="82">
        <v>3.2000000000000001E-2</v>
      </c>
      <c r="E48" s="82">
        <v>4.7E-2</v>
      </c>
      <c r="F48" s="136">
        <v>8.6999999999999994E-2</v>
      </c>
      <c r="G48" s="82">
        <v>7.0000000000000007E-2</v>
      </c>
      <c r="H48" s="82">
        <v>4.9000000000000002E-2</v>
      </c>
      <c r="I48" s="82">
        <v>3.9E-2</v>
      </c>
      <c r="J48" s="82">
        <v>3.6000000000000004E-2</v>
      </c>
      <c r="K48" s="82">
        <v>3.5000000000000003E-2</v>
      </c>
    </row>
    <row r="50" spans="1:11" ht="15.7">
      <c r="B50" s="150">
        <v>100</v>
      </c>
      <c r="C50" s="128"/>
      <c r="D50" s="128"/>
      <c r="E50" s="128"/>
      <c r="G50" s="72"/>
      <c r="H50" s="72"/>
      <c r="I50" s="72"/>
      <c r="J50" s="72"/>
      <c r="K50" s="72"/>
    </row>
    <row r="51" spans="1:11" ht="15.7">
      <c r="A51" s="86" t="s">
        <v>178</v>
      </c>
      <c r="B51" s="85"/>
      <c r="C51" s="128"/>
      <c r="D51" s="128"/>
      <c r="E51" s="128"/>
      <c r="G51" s="72"/>
      <c r="H51" s="72"/>
      <c r="I51" s="72"/>
      <c r="J51" s="72"/>
      <c r="K51" s="72"/>
    </row>
    <row r="52" spans="1:11" ht="15.7">
      <c r="A52" s="74" t="s">
        <v>170</v>
      </c>
      <c r="B52" s="141"/>
      <c r="C52" s="141">
        <v>1.7000000000000001E-2</v>
      </c>
      <c r="D52" s="141">
        <v>2.3E-2</v>
      </c>
      <c r="E52" s="145">
        <v>3.1E-2</v>
      </c>
      <c r="F52" s="146">
        <v>0.08</v>
      </c>
      <c r="G52" s="72"/>
      <c r="H52" s="72"/>
      <c r="I52" s="72"/>
      <c r="J52" s="72"/>
      <c r="K52" s="72"/>
    </row>
    <row r="53" spans="1:11">
      <c r="A53" s="74" t="s">
        <v>171</v>
      </c>
      <c r="B53" s="141"/>
      <c r="C53" s="141">
        <v>1E-3</v>
      </c>
      <c r="D53" s="141">
        <v>-3.0000000000000001E-3</v>
      </c>
      <c r="E53" s="147">
        <v>5.6000000000000001E-2</v>
      </c>
      <c r="F53" s="146">
        <v>0.04</v>
      </c>
      <c r="G53" s="72"/>
      <c r="H53" s="72"/>
      <c r="I53" s="72"/>
      <c r="J53" s="72"/>
      <c r="K53" s="72"/>
    </row>
    <row r="54" spans="1:11">
      <c r="A54" s="74" t="s">
        <v>173</v>
      </c>
      <c r="B54" s="141"/>
      <c r="C54" s="141">
        <v>0.01</v>
      </c>
      <c r="D54" s="141">
        <v>5.0000000000000001E-3</v>
      </c>
      <c r="E54" s="147">
        <v>0.01</v>
      </c>
      <c r="F54" s="146">
        <v>4.2999999999999997E-2</v>
      </c>
      <c r="G54" s="72"/>
      <c r="H54" s="72"/>
      <c r="I54" s="72"/>
      <c r="J54" s="72"/>
      <c r="K54" s="72"/>
    </row>
    <row r="55" spans="1:11">
      <c r="A55" s="74" t="s">
        <v>174</v>
      </c>
      <c r="B55" s="142"/>
      <c r="C55" s="142">
        <v>-3.0000000000000001E-3</v>
      </c>
      <c r="D55" s="142">
        <v>-5.0000000000000001E-3</v>
      </c>
      <c r="E55" s="148">
        <v>4.0000000000000001E-3</v>
      </c>
      <c r="F55" s="149">
        <v>-2E-3</v>
      </c>
      <c r="G55" s="72"/>
      <c r="H55" s="72"/>
      <c r="I55" s="72"/>
      <c r="J55" s="72"/>
      <c r="K55" s="72"/>
    </row>
    <row r="56" spans="1:11">
      <c r="A56" s="73" t="s">
        <v>213</v>
      </c>
      <c r="B56" s="141"/>
      <c r="C56" s="141">
        <f>SUM(C52:C55)</f>
        <v>2.5000000000000005E-2</v>
      </c>
      <c r="D56" s="141">
        <f>SUM(D52:D55)</f>
        <v>0.02</v>
      </c>
      <c r="E56" s="141">
        <f t="shared" ref="E56:F56" si="18">SUM(E52:E55)</f>
        <v>0.10099999999999999</v>
      </c>
      <c r="F56" s="143">
        <f t="shared" si="18"/>
        <v>0.16099999999999998</v>
      </c>
      <c r="G56" s="72"/>
      <c r="H56" s="72"/>
      <c r="I56" s="72"/>
      <c r="J56" s="72"/>
      <c r="K56" s="72"/>
    </row>
  </sheetData>
  <hyperlinks>
    <hyperlink ref="A44" r:id="rId1" xr:uid="{0289BB76-AC1F-6B4B-84C0-3039AE7A287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79998168889431442"/>
  </sheetPr>
  <dimension ref="A1:N78"/>
  <sheetViews>
    <sheetView topLeftCell="A10" zoomScaleNormal="100" workbookViewId="0">
      <pane xSplit="1" topLeftCell="B1" activePane="topRight" state="frozen"/>
      <selection pane="topRight" activeCell="A36" sqref="A36"/>
    </sheetView>
  </sheetViews>
  <sheetFormatPr defaultColWidth="8.8203125" defaultRowHeight="14.35" outlineLevelRow="1"/>
  <cols>
    <col min="1" max="1" width="53.3515625" bestFit="1" customWidth="1"/>
    <col min="2" max="5" width="11.64453125" bestFit="1" customWidth="1"/>
    <col min="6" max="6" width="12.46875" style="169" bestFit="1" customWidth="1"/>
    <col min="7" max="11" width="12.3515625" customWidth="1"/>
    <col min="12" max="12" width="1.8203125" customWidth="1"/>
    <col min="13" max="13" width="66" bestFit="1" customWidth="1"/>
  </cols>
  <sheetData>
    <row r="1" spans="1:13" ht="16" customHeight="1">
      <c r="A1" s="65" t="s">
        <v>3</v>
      </c>
      <c r="B1" s="66"/>
      <c r="C1" s="66"/>
      <c r="D1" s="66"/>
      <c r="E1" s="66"/>
      <c r="F1" s="163"/>
      <c r="G1" s="163"/>
      <c r="H1" s="163"/>
      <c r="I1" s="163"/>
      <c r="J1" s="163"/>
      <c r="K1" s="163"/>
      <c r="M1" s="163"/>
    </row>
    <row r="2" spans="1:13" ht="27.35">
      <c r="A2" s="67" t="s">
        <v>89</v>
      </c>
      <c r="B2" s="68" t="s">
        <v>0</v>
      </c>
      <c r="C2" s="68" t="s">
        <v>95</v>
      </c>
      <c r="D2" s="68" t="s">
        <v>93</v>
      </c>
      <c r="E2" s="68" t="s">
        <v>92</v>
      </c>
      <c r="F2" s="164" t="s">
        <v>91</v>
      </c>
      <c r="G2" s="122">
        <v>2023</v>
      </c>
      <c r="H2" s="122">
        <v>2024</v>
      </c>
      <c r="I2" s="122">
        <v>2025</v>
      </c>
      <c r="J2" s="122">
        <v>2026</v>
      </c>
      <c r="K2" s="122">
        <v>2027</v>
      </c>
      <c r="M2" s="122" t="s">
        <v>226</v>
      </c>
    </row>
    <row r="3" spans="1:13">
      <c r="A3" s="2" t="s">
        <v>4</v>
      </c>
      <c r="B3" s="4">
        <v>7791069</v>
      </c>
      <c r="C3" s="4">
        <v>7986252</v>
      </c>
      <c r="D3" s="4">
        <v>8149719</v>
      </c>
      <c r="E3" s="4">
        <v>8971337</v>
      </c>
      <c r="F3" s="165">
        <v>10419294</v>
      </c>
      <c r="G3" s="179">
        <f>'Revenue Model'!G8*1000</f>
        <v>11190520.800000001</v>
      </c>
      <c r="H3" s="4">
        <f>'Revenue Model'!H8*1000</f>
        <v>11688827.608799998</v>
      </c>
      <c r="I3" s="4">
        <f>'Revenue Model'!I8*1000</f>
        <v>12100011.877101598</v>
      </c>
      <c r="J3" s="4">
        <f>'Revenue Model'!J8*1000</f>
        <v>12510971.817385744</v>
      </c>
      <c r="K3" s="4">
        <f>'Revenue Model'!K8*1000</f>
        <v>12936425.413928743</v>
      </c>
      <c r="M3" s="162" t="s">
        <v>227</v>
      </c>
    </row>
    <row r="4" spans="1:13">
      <c r="A4" s="13" t="s">
        <v>5</v>
      </c>
      <c r="B4" s="14">
        <v>4215744</v>
      </c>
      <c r="C4" s="14">
        <v>4363774</v>
      </c>
      <c r="D4" s="14">
        <v>4448450</v>
      </c>
      <c r="E4" s="14">
        <v>4922739</v>
      </c>
      <c r="F4" s="166">
        <v>5920509</v>
      </c>
      <c r="G4" s="180">
        <f>G3*G34</f>
        <v>6266691.648000001</v>
      </c>
      <c r="H4" s="14">
        <f t="shared" ref="H4:K4" si="0">H3*H34</f>
        <v>6487299.322883999</v>
      </c>
      <c r="I4" s="14">
        <f t="shared" si="0"/>
        <v>6655006.5324058793</v>
      </c>
      <c r="J4" s="14">
        <f t="shared" si="0"/>
        <v>6818479.6404752312</v>
      </c>
      <c r="K4" s="14">
        <f t="shared" si="0"/>
        <v>7050351.8505911659</v>
      </c>
      <c r="M4" s="162" t="s">
        <v>228</v>
      </c>
    </row>
    <row r="5" spans="1:13">
      <c r="A5" s="2" t="s">
        <v>6</v>
      </c>
      <c r="B5" s="3">
        <v>3575325</v>
      </c>
      <c r="C5" s="3">
        <v>3622478</v>
      </c>
      <c r="D5" s="3">
        <v>3701269</v>
      </c>
      <c r="E5" s="3">
        <v>4048598</v>
      </c>
      <c r="F5" s="167">
        <v>4498785</v>
      </c>
      <c r="G5" s="181">
        <f>G3-G4</f>
        <v>4923829.1519999998</v>
      </c>
      <c r="H5" s="3">
        <f t="shared" ref="H5:K5" si="1">H3-H4</f>
        <v>5201528.2859159987</v>
      </c>
      <c r="I5" s="3">
        <f t="shared" si="1"/>
        <v>5445005.344695719</v>
      </c>
      <c r="J5" s="3">
        <f t="shared" si="1"/>
        <v>5692492.1769105131</v>
      </c>
      <c r="K5" s="3">
        <f t="shared" si="1"/>
        <v>5886073.5633375775</v>
      </c>
      <c r="M5" s="162" t="s">
        <v>185</v>
      </c>
    </row>
    <row r="6" spans="1:13">
      <c r="A6" s="2" t="s">
        <v>7</v>
      </c>
      <c r="B6" s="3">
        <v>1874829</v>
      </c>
      <c r="C6" s="3">
        <v>1905929</v>
      </c>
      <c r="D6" s="3">
        <v>1890925</v>
      </c>
      <c r="E6" s="3">
        <v>2001351</v>
      </c>
      <c r="F6" s="167">
        <v>2236009</v>
      </c>
      <c r="G6" s="181">
        <f>G3*G38</f>
        <v>2405961.9720000001</v>
      </c>
      <c r="H6" s="3">
        <f>H3*H38</f>
        <v>2513097.9358919994</v>
      </c>
      <c r="I6" s="3">
        <f>I3*I38</f>
        <v>2601502.5535768438</v>
      </c>
      <c r="J6" s="3">
        <f>J3*J38</f>
        <v>2689858.9407379348</v>
      </c>
      <c r="K6" s="3">
        <f>K3*K38</f>
        <v>2781331.46399468</v>
      </c>
      <c r="M6" s="161" t="s">
        <v>228</v>
      </c>
    </row>
    <row r="7" spans="1:13">
      <c r="A7" s="2" t="s">
        <v>8</v>
      </c>
      <c r="B7" s="3">
        <v>57729</v>
      </c>
      <c r="C7" s="3">
        <v>112485</v>
      </c>
      <c r="D7" s="3">
        <v>9143</v>
      </c>
      <c r="E7" s="3">
        <v>0</v>
      </c>
      <c r="F7" s="167">
        <v>0</v>
      </c>
      <c r="G7" s="188">
        <v>0</v>
      </c>
      <c r="H7" s="189">
        <v>0</v>
      </c>
      <c r="I7" s="189">
        <v>0</v>
      </c>
      <c r="J7" s="189">
        <v>0</v>
      </c>
      <c r="K7" s="189">
        <v>0</v>
      </c>
      <c r="M7" s="162" t="s">
        <v>205</v>
      </c>
    </row>
    <row r="8" spans="1:13">
      <c r="A8" s="13" t="s">
        <v>9</v>
      </c>
      <c r="B8" s="14">
        <v>19103</v>
      </c>
      <c r="C8" s="14">
        <v>8112</v>
      </c>
      <c r="D8" s="14">
        <v>18503</v>
      </c>
      <c r="E8" s="14">
        <v>3525</v>
      </c>
      <c r="F8" s="166">
        <v>1989</v>
      </c>
      <c r="G8" s="186">
        <v>1000</v>
      </c>
      <c r="H8" s="187">
        <v>500</v>
      </c>
      <c r="I8" s="187">
        <v>0</v>
      </c>
      <c r="J8" s="187">
        <v>0</v>
      </c>
      <c r="K8" s="187">
        <v>0</v>
      </c>
      <c r="M8" s="161" t="s">
        <v>231</v>
      </c>
    </row>
    <row r="9" spans="1:13">
      <c r="A9" s="2" t="s">
        <v>10</v>
      </c>
      <c r="B9" s="3">
        <v>1623664</v>
      </c>
      <c r="C9" s="3">
        <v>1595952</v>
      </c>
      <c r="D9" s="3">
        <v>1782698</v>
      </c>
      <c r="E9" s="3">
        <v>2043722</v>
      </c>
      <c r="F9" s="167">
        <v>2260787</v>
      </c>
      <c r="G9" s="190">
        <f>G5-SUM(G6:G8)</f>
        <v>2516867.1799999997</v>
      </c>
      <c r="H9" s="191">
        <f t="shared" ref="H9:J9" si="2">H5-SUM(H6:H8)</f>
        <v>2687930.3500239993</v>
      </c>
      <c r="I9" s="191">
        <f t="shared" si="2"/>
        <v>2843502.7911188751</v>
      </c>
      <c r="J9" s="191">
        <f t="shared" si="2"/>
        <v>3002633.2361725783</v>
      </c>
      <c r="K9" s="191">
        <f>K5-SUM(K6:K8)</f>
        <v>3104742.0993428975</v>
      </c>
      <c r="M9" s="162" t="s">
        <v>185</v>
      </c>
    </row>
    <row r="10" spans="1:13">
      <c r="A10" s="2" t="s">
        <v>11</v>
      </c>
      <c r="B10" s="3">
        <v>138837</v>
      </c>
      <c r="C10" s="3">
        <v>144125</v>
      </c>
      <c r="D10" s="3">
        <v>149374</v>
      </c>
      <c r="E10" s="3">
        <v>127417</v>
      </c>
      <c r="F10" s="167">
        <v>137557</v>
      </c>
      <c r="G10" s="181">
        <f>G42*SUM(BS!G18,BS!G19,BS!G21)</f>
        <v>147209.86396109778</v>
      </c>
      <c r="H10" s="3">
        <f>H42*SUM(BS!H18,BS!H19,BS!H21)</f>
        <v>154178.31916069344</v>
      </c>
      <c r="I10" s="3">
        <f>I42*SUM(BS!I18,BS!I19,BS!I21)</f>
        <v>174959.21414238925</v>
      </c>
      <c r="J10" s="3">
        <f>J42*SUM(BS!J18,BS!J19,BS!J21)</f>
        <v>190969.87811657286</v>
      </c>
      <c r="K10" s="3">
        <f>K42*SUM(BS!K18,BS!K19,BS!K21)</f>
        <v>188145.29519183704</v>
      </c>
      <c r="M10" s="162" t="s">
        <v>229</v>
      </c>
    </row>
    <row r="11" spans="1:13">
      <c r="A11" s="13" t="s">
        <v>12</v>
      </c>
      <c r="B11" s="14">
        <v>74766</v>
      </c>
      <c r="C11" s="14">
        <v>71043</v>
      </c>
      <c r="D11" s="14">
        <v>138327</v>
      </c>
      <c r="E11" s="14">
        <v>119081</v>
      </c>
      <c r="F11" s="166">
        <v>206159</v>
      </c>
      <c r="G11" s="180">
        <f>G43*G3</f>
        <v>153366.14729480763</v>
      </c>
      <c r="H11" s="14">
        <f>H43*H3</f>
        <v>160195.44476918667</v>
      </c>
      <c r="I11" s="14">
        <f>I43*I3</f>
        <v>165830.72736100768</v>
      </c>
      <c r="J11" s="14">
        <f>J43*J3</f>
        <v>171462.9355361521</v>
      </c>
      <c r="K11" s="14">
        <f>K43*K3</f>
        <v>177293.77934768581</v>
      </c>
      <c r="M11" s="161" t="s">
        <v>228</v>
      </c>
    </row>
    <row r="12" spans="1:13">
      <c r="A12" s="2" t="s">
        <v>13</v>
      </c>
      <c r="B12" s="3">
        <v>1410061</v>
      </c>
      <c r="C12" s="3">
        <v>1380784</v>
      </c>
      <c r="D12" s="3">
        <v>1494997</v>
      </c>
      <c r="E12" s="3">
        <v>1797224</v>
      </c>
      <c r="F12" s="167">
        <v>1917071</v>
      </c>
      <c r="G12" s="181">
        <f>G9-G10-G11</f>
        <v>2216291.1687440942</v>
      </c>
      <c r="H12" s="3">
        <f t="shared" ref="H12:K12" si="3">H9-H10-H11</f>
        <v>2373556.5860941196</v>
      </c>
      <c r="I12" s="3">
        <f t="shared" si="3"/>
        <v>2502712.8496154784</v>
      </c>
      <c r="J12" s="3">
        <f t="shared" si="3"/>
        <v>2640200.4225198533</v>
      </c>
      <c r="K12" s="3">
        <f t="shared" si="3"/>
        <v>2739303.0248033749</v>
      </c>
      <c r="M12" s="162" t="s">
        <v>185</v>
      </c>
    </row>
    <row r="13" spans="1:13">
      <c r="A13" s="13" t="s">
        <v>14</v>
      </c>
      <c r="B13" s="14">
        <v>239010</v>
      </c>
      <c r="C13" s="14">
        <v>234032</v>
      </c>
      <c r="D13" s="14">
        <v>219584</v>
      </c>
      <c r="E13" s="14">
        <v>314405</v>
      </c>
      <c r="F13" s="166">
        <v>272254</v>
      </c>
      <c r="G13" s="180">
        <f>G12*G44</f>
        <v>354606.58699905506</v>
      </c>
      <c r="H13" s="14">
        <f>H12*H44</f>
        <v>403504.61963600037</v>
      </c>
      <c r="I13" s="14">
        <f>I12*I44</f>
        <v>450488.31293078611</v>
      </c>
      <c r="J13" s="14">
        <f>J12*J44</f>
        <v>475236.07605357358</v>
      </c>
      <c r="K13" s="14">
        <f>K12*K44</f>
        <v>493074.54446460749</v>
      </c>
      <c r="M13" s="162" t="s">
        <v>230</v>
      </c>
    </row>
    <row r="14" spans="1:13">
      <c r="A14" s="2" t="s">
        <v>15</v>
      </c>
      <c r="B14" s="3">
        <v>1171051</v>
      </c>
      <c r="C14" s="3">
        <v>1146752</v>
      </c>
      <c r="D14" s="3">
        <v>1275413</v>
      </c>
      <c r="E14" s="3">
        <v>1482819</v>
      </c>
      <c r="F14" s="167">
        <v>1644817</v>
      </c>
      <c r="G14" s="181">
        <f>G12-G13</f>
        <v>1861684.5817450392</v>
      </c>
      <c r="H14" s="3">
        <f t="shared" ref="H14:K14" si="4">H12-H13</f>
        <v>1970051.9664581192</v>
      </c>
      <c r="I14" s="3">
        <f t="shared" si="4"/>
        <v>2052224.5366846924</v>
      </c>
      <c r="J14" s="3">
        <f t="shared" si="4"/>
        <v>2164964.3464662796</v>
      </c>
      <c r="K14" s="3">
        <f t="shared" si="4"/>
        <v>2246228.4803387672</v>
      </c>
      <c r="M14" s="162" t="s">
        <v>185</v>
      </c>
    </row>
    <row r="15" spans="1:13">
      <c r="A15" s="2" t="s">
        <v>16</v>
      </c>
      <c r="B15" s="3">
        <v>-6511</v>
      </c>
      <c r="C15" s="3">
        <v>-2940</v>
      </c>
      <c r="D15" s="3">
        <v>-3295</v>
      </c>
      <c r="E15" s="3">
        <v>5307</v>
      </c>
      <c r="F15" s="167">
        <v>0</v>
      </c>
      <c r="G15" s="181">
        <f>F15</f>
        <v>0</v>
      </c>
      <c r="H15" s="3">
        <v>0</v>
      </c>
      <c r="I15" s="3">
        <v>0</v>
      </c>
      <c r="J15" s="3">
        <v>0</v>
      </c>
      <c r="K15" s="3">
        <v>0</v>
      </c>
      <c r="M15" s="162" t="s">
        <v>315</v>
      </c>
    </row>
    <row r="16" spans="1:13" ht="14.7" thickBot="1">
      <c r="A16" s="11" t="s">
        <v>17</v>
      </c>
      <c r="B16" s="15">
        <v>1177562</v>
      </c>
      <c r="C16" s="15">
        <v>1149692</v>
      </c>
      <c r="D16" s="15">
        <v>1278708</v>
      </c>
      <c r="E16" s="15">
        <v>1477512</v>
      </c>
      <c r="F16" s="168">
        <v>1644817</v>
      </c>
      <c r="G16" s="182">
        <f>SUM(G14:G15)</f>
        <v>1861684.5817450392</v>
      </c>
      <c r="H16" s="15">
        <f t="shared" ref="H16:K16" si="5">SUM(H14:H15)</f>
        <v>1970051.9664581192</v>
      </c>
      <c r="I16" s="15">
        <f t="shared" si="5"/>
        <v>2052224.5366846924</v>
      </c>
      <c r="J16" s="15">
        <f t="shared" si="5"/>
        <v>2164964.3464662796</v>
      </c>
      <c r="K16" s="15">
        <f t="shared" si="5"/>
        <v>2246228.4803387672</v>
      </c>
      <c r="M16" s="161" t="s">
        <v>185</v>
      </c>
    </row>
    <row r="17" spans="1:14" hidden="1" outlineLevel="1">
      <c r="A17" s="2" t="s">
        <v>1</v>
      </c>
      <c r="D17" t="s">
        <v>94</v>
      </c>
      <c r="E17" t="s">
        <v>94</v>
      </c>
      <c r="F17" s="169" t="s">
        <v>94</v>
      </c>
      <c r="N17" s="161"/>
    </row>
    <row r="18" spans="1:14" hidden="1" outlineLevel="1">
      <c r="A18" s="1" t="s">
        <v>18</v>
      </c>
      <c r="D18" t="s">
        <v>94</v>
      </c>
      <c r="E18" t="s">
        <v>94</v>
      </c>
      <c r="F18" s="169" t="s">
        <v>94</v>
      </c>
      <c r="N18" s="162" t="s">
        <v>225</v>
      </c>
    </row>
    <row r="19" spans="1:14" hidden="1" outlineLevel="1">
      <c r="A19" s="2" t="s">
        <v>19</v>
      </c>
      <c r="B19" s="5">
        <v>5.76</v>
      </c>
      <c r="C19" s="5">
        <v>5.64</v>
      </c>
      <c r="D19" s="5">
        <v>6.3</v>
      </c>
      <c r="E19" s="5">
        <v>7.34</v>
      </c>
      <c r="F19" s="170">
        <v>8.2200000000000006</v>
      </c>
      <c r="H19" s="5"/>
      <c r="I19" s="5"/>
      <c r="N19" s="162" t="s">
        <v>225</v>
      </c>
    </row>
    <row r="20" spans="1:14" hidden="1" outlineLevel="1">
      <c r="A20" s="1" t="s">
        <v>20</v>
      </c>
      <c r="D20" t="s">
        <v>94</v>
      </c>
      <c r="E20" t="s">
        <v>94</v>
      </c>
      <c r="F20" s="169" t="s">
        <v>94</v>
      </c>
      <c r="N20" s="161"/>
    </row>
    <row r="21" spans="1:14" hidden="1" outlineLevel="1">
      <c r="A21" s="2" t="s">
        <v>21</v>
      </c>
      <c r="B21" s="6">
        <v>5.58</v>
      </c>
      <c r="C21" s="6">
        <v>5.46</v>
      </c>
      <c r="D21" s="6">
        <v>6.11</v>
      </c>
      <c r="E21" s="6">
        <v>7.11</v>
      </c>
      <c r="F21" s="171">
        <v>7.96</v>
      </c>
      <c r="H21" s="6"/>
      <c r="I21" s="6"/>
      <c r="N21" s="161"/>
    </row>
    <row r="22" spans="1:14" hidden="1" outlineLevel="1">
      <c r="A22" s="1" t="s">
        <v>22</v>
      </c>
      <c r="D22" t="s">
        <v>94</v>
      </c>
      <c r="E22" t="s">
        <v>94</v>
      </c>
      <c r="F22" s="169" t="s">
        <v>94</v>
      </c>
      <c r="N22" s="162" t="s">
        <v>225</v>
      </c>
    </row>
    <row r="23" spans="1:14" hidden="1" outlineLevel="1">
      <c r="A23" s="2" t="s">
        <v>23</v>
      </c>
      <c r="B23" s="7">
        <v>2.7559999999999998</v>
      </c>
      <c r="C23" s="7">
        <v>2.99</v>
      </c>
      <c r="D23" s="7">
        <v>3.1539999999999999</v>
      </c>
      <c r="E23" s="7">
        <v>3.41</v>
      </c>
      <c r="F23" s="172">
        <v>3.8740000000000001</v>
      </c>
      <c r="H23" s="7"/>
      <c r="I23" s="7"/>
      <c r="N23" s="162" t="s">
        <v>225</v>
      </c>
    </row>
    <row r="24" spans="1:14" hidden="1" outlineLevel="1">
      <c r="A24" s="2" t="s">
        <v>2</v>
      </c>
      <c r="D24" t="s">
        <v>94</v>
      </c>
      <c r="E24" t="s">
        <v>94</v>
      </c>
      <c r="F24" s="169" t="s">
        <v>94</v>
      </c>
      <c r="N24" s="161"/>
    </row>
    <row r="25" spans="1:14" hidden="1" outlineLevel="1">
      <c r="A25" s="1" t="s">
        <v>18</v>
      </c>
      <c r="D25" t="s">
        <v>94</v>
      </c>
      <c r="E25" t="s">
        <v>94</v>
      </c>
      <c r="F25" s="169" t="s">
        <v>94</v>
      </c>
      <c r="N25" s="161"/>
    </row>
    <row r="26" spans="1:14" hidden="1" outlineLevel="1">
      <c r="A26" s="2" t="s">
        <v>19</v>
      </c>
      <c r="B26" s="6">
        <v>5.24</v>
      </c>
      <c r="C26" s="6">
        <v>5.12</v>
      </c>
      <c r="D26" s="6">
        <v>5.72</v>
      </c>
      <c r="E26" s="6">
        <v>6.68</v>
      </c>
      <c r="F26" s="171">
        <v>7.47</v>
      </c>
      <c r="H26" s="6"/>
      <c r="I26" s="6"/>
      <c r="N26" s="162" t="s">
        <v>225</v>
      </c>
    </row>
    <row r="27" spans="1:14" hidden="1" outlineLevel="1">
      <c r="A27" s="1" t="s">
        <v>20</v>
      </c>
      <c r="D27" t="s">
        <v>94</v>
      </c>
      <c r="E27" t="s">
        <v>94</v>
      </c>
      <c r="F27" s="169" t="s">
        <v>94</v>
      </c>
      <c r="N27" s="162" t="s">
        <v>225</v>
      </c>
    </row>
    <row r="28" spans="1:14" hidden="1" outlineLevel="1">
      <c r="A28" s="2" t="s">
        <v>21</v>
      </c>
      <c r="B28" s="6">
        <v>5.22</v>
      </c>
      <c r="C28" s="6">
        <v>5.0999999999999996</v>
      </c>
      <c r="D28" s="6">
        <v>5.71</v>
      </c>
      <c r="E28" s="6">
        <v>6.66</v>
      </c>
      <c r="F28" s="171">
        <v>7.45</v>
      </c>
      <c r="H28" s="6"/>
      <c r="I28" s="6"/>
      <c r="N28" s="161"/>
    </row>
    <row r="29" spans="1:14" hidden="1" outlineLevel="1">
      <c r="A29" s="1" t="s">
        <v>22</v>
      </c>
      <c r="D29" t="s">
        <v>94</v>
      </c>
      <c r="E29" t="s">
        <v>94</v>
      </c>
      <c r="F29" s="169" t="s">
        <v>94</v>
      </c>
      <c r="N29" s="161"/>
    </row>
    <row r="30" spans="1:14" hidden="1" outlineLevel="1">
      <c r="A30" s="2" t="s">
        <v>23</v>
      </c>
      <c r="B30" s="8">
        <v>2.504</v>
      </c>
      <c r="C30" s="8">
        <v>2.7160000000000002</v>
      </c>
      <c r="D30" s="8">
        <v>2.8660000000000001</v>
      </c>
      <c r="E30" s="8">
        <v>3.1</v>
      </c>
      <c r="F30" s="173">
        <v>3.5219999999999998</v>
      </c>
      <c r="H30" s="8"/>
      <c r="I30" s="8"/>
      <c r="N30" s="161"/>
    </row>
    <row r="31" spans="1:14" collapsed="1">
      <c r="N31" s="161"/>
    </row>
    <row r="32" spans="1:14">
      <c r="A32" s="65" t="s">
        <v>224</v>
      </c>
      <c r="B32" s="67"/>
      <c r="C32" s="67"/>
      <c r="D32" s="67"/>
      <c r="E32" s="67"/>
      <c r="F32" s="163"/>
      <c r="G32" s="66"/>
      <c r="H32" s="66"/>
      <c r="I32" s="66"/>
      <c r="J32" s="66"/>
      <c r="K32" s="66"/>
      <c r="M32" s="161"/>
      <c r="N32" s="161"/>
    </row>
    <row r="33" spans="1:14" ht="27.35">
      <c r="A33" s="67" t="s">
        <v>89</v>
      </c>
      <c r="B33" s="68" t="s">
        <v>0</v>
      </c>
      <c r="C33" s="68" t="s">
        <v>95</v>
      </c>
      <c r="D33" s="68" t="s">
        <v>93</v>
      </c>
      <c r="E33" s="68" t="s">
        <v>92</v>
      </c>
      <c r="F33" s="164" t="s">
        <v>91</v>
      </c>
      <c r="G33" s="122">
        <v>2023</v>
      </c>
      <c r="H33" s="122">
        <v>2024</v>
      </c>
      <c r="I33" s="122">
        <v>2025</v>
      </c>
      <c r="J33" s="122">
        <v>2026</v>
      </c>
      <c r="K33" s="122">
        <v>2027</v>
      </c>
      <c r="M33" s="162" t="s">
        <v>225</v>
      </c>
      <c r="N33" s="161"/>
    </row>
    <row r="34" spans="1:14">
      <c r="A34" t="s">
        <v>5</v>
      </c>
      <c r="B34" s="54">
        <f>B4/B$3</f>
        <v>0.54109955899504936</v>
      </c>
      <c r="C34" s="54">
        <f>C4/C3</f>
        <v>0.54641075688570806</v>
      </c>
      <c r="D34" s="54">
        <f>D4/D3</f>
        <v>0.5458409056803063</v>
      </c>
      <c r="E34" s="54">
        <f>E4/E3</f>
        <v>0.54871854663357311</v>
      </c>
      <c r="F34" s="174">
        <f>F4/F3</f>
        <v>0.56822554388042035</v>
      </c>
      <c r="G34" s="407">
        <f>CHOOSE(Scenarios!$G$9,IS!G35,IS!G36,IS!G37)</f>
        <v>0.56000000000000005</v>
      </c>
      <c r="H34" s="407">
        <f>CHOOSE(Scenarios!$G$9,IS!H35,IS!H36,IS!H37)</f>
        <v>0.55500000000000005</v>
      </c>
      <c r="I34" s="407">
        <f>CHOOSE(Scenarios!$G$9,IS!I35,IS!I36,IS!I37)</f>
        <v>0.55000000000000004</v>
      </c>
      <c r="J34" s="407">
        <f>CHOOSE(Scenarios!$G$9,IS!J35,IS!J36,IS!J37)</f>
        <v>0.54500000000000004</v>
      </c>
      <c r="K34" s="407">
        <f>CHOOSE(Scenarios!$G$9,IS!K35,IS!K36,IS!K37)</f>
        <v>0.54500000000000004</v>
      </c>
      <c r="M34" s="161" t="s">
        <v>232</v>
      </c>
      <c r="N34" s="162" t="s">
        <v>225</v>
      </c>
    </row>
    <row r="35" spans="1:14">
      <c r="A35" s="410" t="s">
        <v>405</v>
      </c>
      <c r="B35" s="408"/>
      <c r="C35" s="408"/>
      <c r="D35" s="408"/>
      <c r="E35" s="408"/>
      <c r="F35" s="409"/>
      <c r="G35" s="411">
        <f>G36-0.02</f>
        <v>0.54</v>
      </c>
      <c r="H35" s="411">
        <f t="shared" ref="H35:K35" si="6">H36-0.02</f>
        <v>0.53500000000000003</v>
      </c>
      <c r="I35" s="411">
        <f t="shared" si="6"/>
        <v>0.53</v>
      </c>
      <c r="J35" s="411">
        <f t="shared" si="6"/>
        <v>0.52500000000000002</v>
      </c>
      <c r="K35" s="411">
        <f t="shared" si="6"/>
        <v>0.52500000000000002</v>
      </c>
      <c r="M35" s="161"/>
      <c r="N35" s="162"/>
    </row>
    <row r="36" spans="1:14">
      <c r="A36" s="410" t="s">
        <v>406</v>
      </c>
      <c r="B36" s="408"/>
      <c r="C36" s="408"/>
      <c r="D36" s="408"/>
      <c r="E36" s="408"/>
      <c r="F36" s="409"/>
      <c r="G36" s="411">
        <v>0.56000000000000005</v>
      </c>
      <c r="H36" s="411">
        <v>0.55500000000000005</v>
      </c>
      <c r="I36" s="411">
        <v>0.55000000000000004</v>
      </c>
      <c r="J36" s="411">
        <v>0.54500000000000004</v>
      </c>
      <c r="K36" s="411">
        <v>0.54500000000000004</v>
      </c>
      <c r="M36" s="161"/>
      <c r="N36" s="162"/>
    </row>
    <row r="37" spans="1:14">
      <c r="A37" s="410" t="s">
        <v>407</v>
      </c>
      <c r="B37" s="408"/>
      <c r="C37" s="408"/>
      <c r="D37" s="408"/>
      <c r="E37" s="408"/>
      <c r="F37" s="409"/>
      <c r="G37" s="411">
        <f>G36+0.02</f>
        <v>0.58000000000000007</v>
      </c>
      <c r="H37" s="411">
        <f t="shared" ref="H37:K37" si="7">H36+0.02</f>
        <v>0.57500000000000007</v>
      </c>
      <c r="I37" s="411">
        <f t="shared" si="7"/>
        <v>0.57000000000000006</v>
      </c>
      <c r="J37" s="411">
        <f t="shared" si="7"/>
        <v>0.56500000000000006</v>
      </c>
      <c r="K37" s="411">
        <f t="shared" si="7"/>
        <v>0.56500000000000006</v>
      </c>
      <c r="M37" s="161"/>
      <c r="N37" s="162"/>
    </row>
    <row r="38" spans="1:14">
      <c r="A38" s="2" t="s">
        <v>7</v>
      </c>
      <c r="B38" s="54">
        <f>B6/B$3</f>
        <v>0.24063822307311103</v>
      </c>
      <c r="C38" s="54">
        <f>C6/C$3</f>
        <v>0.23865124716825864</v>
      </c>
      <c r="D38" s="54">
        <f>D6/D$3</f>
        <v>0.23202333724635169</v>
      </c>
      <c r="E38" s="54">
        <f>E6/E$3</f>
        <v>0.22308280248529289</v>
      </c>
      <c r="F38" s="174">
        <f>F6/F$3</f>
        <v>0.21460273603950517</v>
      </c>
      <c r="G38" s="407">
        <f>CHOOSE(Scenarios!$K$9,IS!G39,IS!G40,IS!G41)</f>
        <v>0.215</v>
      </c>
      <c r="H38" s="407">
        <f>CHOOSE(Scenarios!$K$9,IS!H39,IS!H40,IS!H41)</f>
        <v>0.215</v>
      </c>
      <c r="I38" s="407">
        <f>CHOOSE(Scenarios!$K$9,IS!I39,IS!I40,IS!I41)</f>
        <v>0.215</v>
      </c>
      <c r="J38" s="407">
        <f>CHOOSE(Scenarios!$K$9,IS!J39,IS!J40,IS!J41)</f>
        <v>0.215</v>
      </c>
      <c r="K38" s="407">
        <f>CHOOSE(Scenarios!$K$9,IS!K39,IS!K40,IS!K41)</f>
        <v>0.215</v>
      </c>
      <c r="M38" s="161" t="s">
        <v>233</v>
      </c>
      <c r="N38" s="161"/>
    </row>
    <row r="39" spans="1:14">
      <c r="A39" s="410" t="s">
        <v>405</v>
      </c>
      <c r="B39" s="408"/>
      <c r="C39" s="408"/>
      <c r="D39" s="408"/>
      <c r="E39" s="408"/>
      <c r="F39" s="409"/>
      <c r="G39" s="411">
        <f>G40-0.015</f>
        <v>0.2</v>
      </c>
      <c r="H39" s="411">
        <f t="shared" ref="H39:K39" si="8">H40-0.015</f>
        <v>0.2</v>
      </c>
      <c r="I39" s="411">
        <f t="shared" si="8"/>
        <v>0.2</v>
      </c>
      <c r="J39" s="411">
        <f t="shared" si="8"/>
        <v>0.2</v>
      </c>
      <c r="K39" s="411">
        <f t="shared" si="8"/>
        <v>0.2</v>
      </c>
      <c r="M39" s="161"/>
      <c r="N39" s="161"/>
    </row>
    <row r="40" spans="1:14">
      <c r="A40" s="410" t="s">
        <v>406</v>
      </c>
      <c r="B40" s="408"/>
      <c r="C40" s="408"/>
      <c r="D40" s="408"/>
      <c r="E40" s="408"/>
      <c r="F40" s="409"/>
      <c r="G40" s="411">
        <v>0.215</v>
      </c>
      <c r="H40" s="411">
        <v>0.215</v>
      </c>
      <c r="I40" s="411">
        <v>0.215</v>
      </c>
      <c r="J40" s="411">
        <v>0.215</v>
      </c>
      <c r="K40" s="411">
        <v>0.215</v>
      </c>
      <c r="M40" s="161"/>
      <c r="N40" s="161"/>
    </row>
    <row r="41" spans="1:14">
      <c r="A41" s="410" t="s">
        <v>407</v>
      </c>
      <c r="B41" s="408"/>
      <c r="C41" s="408"/>
      <c r="D41" s="408"/>
      <c r="E41" s="408"/>
      <c r="F41" s="409"/>
      <c r="G41" s="411">
        <f>G40+0.015</f>
        <v>0.22999999999999998</v>
      </c>
      <c r="H41" s="411">
        <f t="shared" ref="H41:K41" si="9">H40+0.015</f>
        <v>0.22999999999999998</v>
      </c>
      <c r="I41" s="411">
        <f t="shared" si="9"/>
        <v>0.22999999999999998</v>
      </c>
      <c r="J41" s="411">
        <f t="shared" si="9"/>
        <v>0.22999999999999998</v>
      </c>
      <c r="K41" s="411">
        <f t="shared" si="9"/>
        <v>0.22999999999999998</v>
      </c>
      <c r="M41" s="161"/>
      <c r="N41" s="161"/>
    </row>
    <row r="42" spans="1:14">
      <c r="A42" s="2" t="s">
        <v>11</v>
      </c>
      <c r="B42" s="54">
        <f>B10/SUM(BS!B18,BS!B19,BS!B21)</f>
        <v>3.1146160396769918E-2</v>
      </c>
      <c r="C42" s="54">
        <f>C10/SUM(BS!C18,BS!C19,BS!C21)</f>
        <v>3.3780735195365744E-2</v>
      </c>
      <c r="D42" s="54">
        <f>D10/SUM(BS!D18,BS!D19,BS!D21)</f>
        <v>3.2454088699383501E-2</v>
      </c>
      <c r="E42" s="54">
        <f>E10/SUM(BS!E18,BS!E19,BS!E21)</f>
        <v>2.5336982644692849E-2</v>
      </c>
      <c r="F42" s="174">
        <f>F10/SUM(BS!F18,BS!F19,BS!F21)</f>
        <v>2.8709475105633177E-2</v>
      </c>
      <c r="G42" s="213">
        <f>Debt!K33</f>
        <v>3.0379084191471048E-2</v>
      </c>
      <c r="H42" s="213">
        <f>Debt!L33</f>
        <v>3.219675342018577E-2</v>
      </c>
      <c r="I42" s="213">
        <f>Debt!M33</f>
        <v>3.5461138973795887E-2</v>
      </c>
      <c r="J42" s="213">
        <f>Debt!N33</f>
        <v>3.7563205428772097E-2</v>
      </c>
      <c r="K42" s="213">
        <f>Debt!O33</f>
        <v>3.5911085061973866E-2</v>
      </c>
      <c r="M42" s="161" t="s">
        <v>312</v>
      </c>
      <c r="N42" s="161"/>
    </row>
    <row r="43" spans="1:14">
      <c r="A43" s="2" t="s">
        <v>12</v>
      </c>
      <c r="B43" s="105">
        <f>B11/B3</f>
        <v>9.596372461853438E-3</v>
      </c>
      <c r="C43" s="105">
        <f>C11/C3</f>
        <v>8.8956621954829375E-3</v>
      </c>
      <c r="D43" s="105">
        <f>D11/D3</f>
        <v>1.6973223248556178E-2</v>
      </c>
      <c r="E43" s="105">
        <f>E11/E3</f>
        <v>1.32734953552631E-2</v>
      </c>
      <c r="F43" s="175">
        <f>F11/F3</f>
        <v>1.9786273426971156E-2</v>
      </c>
      <c r="G43" s="79">
        <f>AVERAGE(B43:F43)</f>
        <v>1.3705005337625361E-2</v>
      </c>
      <c r="H43" s="79">
        <f>G43</f>
        <v>1.3705005337625361E-2</v>
      </c>
      <c r="I43" s="79">
        <f t="shared" ref="I43:K43" si="10">H43</f>
        <v>1.3705005337625361E-2</v>
      </c>
      <c r="J43" s="79">
        <f t="shared" si="10"/>
        <v>1.3705005337625361E-2</v>
      </c>
      <c r="K43" s="79">
        <f t="shared" si="10"/>
        <v>1.3705005337625361E-2</v>
      </c>
      <c r="M43" s="161" t="s">
        <v>313</v>
      </c>
      <c r="N43" s="161"/>
    </row>
    <row r="44" spans="1:14">
      <c r="A44" s="2" t="s">
        <v>14</v>
      </c>
      <c r="B44" s="82">
        <f>B13/B12</f>
        <v>0.16950330517615905</v>
      </c>
      <c r="C44" s="82">
        <f>C13/C12</f>
        <v>0.16949211462473493</v>
      </c>
      <c r="D44" s="82">
        <f>D13/D12</f>
        <v>0.14687922450680502</v>
      </c>
      <c r="E44" s="82">
        <f>E13/E12</f>
        <v>0.17493923962733637</v>
      </c>
      <c r="F44" s="144">
        <f>F13/F12</f>
        <v>0.14201560609909597</v>
      </c>
      <c r="G44" s="79">
        <v>0.16</v>
      </c>
      <c r="H44" s="79">
        <v>0.17</v>
      </c>
      <c r="I44" s="79">
        <v>0.18</v>
      </c>
      <c r="J44" s="79">
        <v>0.18</v>
      </c>
      <c r="K44" s="79">
        <v>0.18</v>
      </c>
      <c r="M44" s="161" t="s">
        <v>314</v>
      </c>
      <c r="N44" s="161"/>
    </row>
    <row r="45" spans="1:14">
      <c r="N45" s="161"/>
    </row>
    <row r="46" spans="1:14" ht="27.35">
      <c r="A46" s="65" t="s">
        <v>156</v>
      </c>
      <c r="B46" s="67"/>
      <c r="C46" s="67"/>
      <c r="D46" s="67"/>
      <c r="E46" s="67"/>
      <c r="F46" s="163"/>
      <c r="G46" s="66"/>
      <c r="H46" s="66"/>
      <c r="I46" s="66"/>
      <c r="J46" s="66"/>
      <c r="K46" s="66"/>
    </row>
    <row r="47" spans="1:14" ht="27.35">
      <c r="A47" s="67" t="s">
        <v>89</v>
      </c>
      <c r="B47" s="68" t="s">
        <v>0</v>
      </c>
      <c r="C47" s="68" t="s">
        <v>95</v>
      </c>
      <c r="D47" s="68" t="s">
        <v>93</v>
      </c>
      <c r="E47" s="68" t="s">
        <v>92</v>
      </c>
      <c r="F47" s="164" t="s">
        <v>91</v>
      </c>
      <c r="G47" s="122">
        <v>2023</v>
      </c>
      <c r="H47" s="122">
        <v>2024</v>
      </c>
      <c r="I47" s="122">
        <v>2025</v>
      </c>
      <c r="J47" s="122">
        <v>2026</v>
      </c>
      <c r="K47" s="122">
        <v>2027</v>
      </c>
    </row>
    <row r="48" spans="1:14">
      <c r="A48" s="2" t="s">
        <v>4</v>
      </c>
      <c r="B48" s="48">
        <f t="shared" ref="B48:F61" si="11">B3/B$3</f>
        <v>1</v>
      </c>
      <c r="C48" s="49">
        <f t="shared" si="11"/>
        <v>1</v>
      </c>
      <c r="D48" s="49">
        <f t="shared" si="11"/>
        <v>1</v>
      </c>
      <c r="E48" s="49">
        <f t="shared" si="11"/>
        <v>1</v>
      </c>
      <c r="F48" s="183">
        <f t="shared" si="11"/>
        <v>1</v>
      </c>
      <c r="G48" s="49">
        <f t="shared" ref="G48:K48" si="12">G3/G$3</f>
        <v>1</v>
      </c>
      <c r="H48" s="49">
        <f t="shared" si="12"/>
        <v>1</v>
      </c>
      <c r="I48" s="49">
        <f t="shared" si="12"/>
        <v>1</v>
      </c>
      <c r="J48" s="49">
        <f t="shared" si="12"/>
        <v>1</v>
      </c>
      <c r="K48" s="49">
        <f t="shared" si="12"/>
        <v>1</v>
      </c>
    </row>
    <row r="49" spans="1:11">
      <c r="A49" s="13" t="s">
        <v>5</v>
      </c>
      <c r="B49" s="50">
        <f t="shared" si="11"/>
        <v>0.54109955899504936</v>
      </c>
      <c r="C49" s="50">
        <f t="shared" si="11"/>
        <v>0.54641075688570806</v>
      </c>
      <c r="D49" s="50">
        <f t="shared" si="11"/>
        <v>0.5458409056803063</v>
      </c>
      <c r="E49" s="50">
        <f t="shared" si="11"/>
        <v>0.54871854663357311</v>
      </c>
      <c r="F49" s="184">
        <f t="shared" si="11"/>
        <v>0.56822554388042035</v>
      </c>
      <c r="G49" s="50">
        <f t="shared" ref="G49:K49" si="13">G4/G$3</f>
        <v>0.56000000000000005</v>
      </c>
      <c r="H49" s="50">
        <f t="shared" si="13"/>
        <v>0.55500000000000005</v>
      </c>
      <c r="I49" s="50">
        <f t="shared" si="13"/>
        <v>0.55000000000000004</v>
      </c>
      <c r="J49" s="50">
        <f t="shared" si="13"/>
        <v>0.54500000000000004</v>
      </c>
      <c r="K49" s="50">
        <f t="shared" si="13"/>
        <v>0.54500000000000004</v>
      </c>
    </row>
    <row r="50" spans="1:11">
      <c r="A50" s="2" t="s">
        <v>6</v>
      </c>
      <c r="B50" s="49">
        <f t="shared" si="11"/>
        <v>0.45890044100495064</v>
      </c>
      <c r="C50" s="49">
        <f t="shared" si="11"/>
        <v>0.45358924311429188</v>
      </c>
      <c r="D50" s="49">
        <f t="shared" si="11"/>
        <v>0.4541590943196937</v>
      </c>
      <c r="E50" s="49">
        <f t="shared" si="11"/>
        <v>0.45128145336642689</v>
      </c>
      <c r="F50" s="183">
        <f t="shared" si="11"/>
        <v>0.43177445611957971</v>
      </c>
      <c r="G50" s="49">
        <f t="shared" ref="G50:K50" si="14">G5/G$3</f>
        <v>0.43999999999999995</v>
      </c>
      <c r="H50" s="49">
        <f t="shared" si="14"/>
        <v>0.44500000000000001</v>
      </c>
      <c r="I50" s="49">
        <f t="shared" si="14"/>
        <v>0.44999999999999996</v>
      </c>
      <c r="J50" s="49">
        <f t="shared" si="14"/>
        <v>0.45499999999999996</v>
      </c>
      <c r="K50" s="49">
        <f t="shared" si="14"/>
        <v>0.45499999999999996</v>
      </c>
    </row>
    <row r="51" spans="1:11">
      <c r="A51" s="2" t="s">
        <v>7</v>
      </c>
      <c r="B51" s="49">
        <f t="shared" si="11"/>
        <v>0.24063822307311103</v>
      </c>
      <c r="C51" s="49">
        <f t="shared" si="11"/>
        <v>0.23865124716825864</v>
      </c>
      <c r="D51" s="49">
        <f t="shared" si="11"/>
        <v>0.23202333724635169</v>
      </c>
      <c r="E51" s="49">
        <f t="shared" si="11"/>
        <v>0.22308280248529289</v>
      </c>
      <c r="F51" s="183">
        <f t="shared" si="11"/>
        <v>0.21460273603950517</v>
      </c>
      <c r="G51" s="49">
        <f t="shared" ref="G51:K51" si="15">G6/G$3</f>
        <v>0.215</v>
      </c>
      <c r="H51" s="49">
        <f t="shared" si="15"/>
        <v>0.215</v>
      </c>
      <c r="I51" s="49">
        <f t="shared" si="15"/>
        <v>0.21500000000000002</v>
      </c>
      <c r="J51" s="49">
        <f t="shared" si="15"/>
        <v>0.21499999999999997</v>
      </c>
      <c r="K51" s="49">
        <f t="shared" si="15"/>
        <v>0.215</v>
      </c>
    </row>
    <row r="52" spans="1:11">
      <c r="A52" s="2" t="s">
        <v>8</v>
      </c>
      <c r="B52" s="49">
        <f t="shared" si="11"/>
        <v>7.4096378815281961E-3</v>
      </c>
      <c r="C52" s="49">
        <f t="shared" si="11"/>
        <v>1.408482977997689E-2</v>
      </c>
      <c r="D52" s="49">
        <f t="shared" si="11"/>
        <v>1.121879171539534E-3</v>
      </c>
      <c r="E52" s="49">
        <f t="shared" si="11"/>
        <v>0</v>
      </c>
      <c r="F52" s="183">
        <f t="shared" si="11"/>
        <v>0</v>
      </c>
      <c r="G52" s="49">
        <f t="shared" ref="G52:K52" si="16">G7/G$3</f>
        <v>0</v>
      </c>
      <c r="H52" s="49">
        <f t="shared" si="16"/>
        <v>0</v>
      </c>
      <c r="I52" s="49">
        <f t="shared" si="16"/>
        <v>0</v>
      </c>
      <c r="J52" s="49">
        <f t="shared" si="16"/>
        <v>0</v>
      </c>
      <c r="K52" s="49">
        <f t="shared" si="16"/>
        <v>0</v>
      </c>
    </row>
    <row r="53" spans="1:11">
      <c r="A53" s="13" t="s">
        <v>9</v>
      </c>
      <c r="B53" s="50">
        <f t="shared" si="11"/>
        <v>2.4519100010537706E-3</v>
      </c>
      <c r="C53" s="50">
        <f t="shared" si="11"/>
        <v>1.0157455587426994E-3</v>
      </c>
      <c r="D53" s="50">
        <f t="shared" si="11"/>
        <v>2.2703850279991249E-3</v>
      </c>
      <c r="E53" s="50">
        <f t="shared" si="11"/>
        <v>3.9291802325561951E-4</v>
      </c>
      <c r="F53" s="184">
        <f t="shared" si="11"/>
        <v>1.9089585148475511E-4</v>
      </c>
      <c r="G53" s="50">
        <f t="shared" ref="G53:K53" si="17">G8/G$3</f>
        <v>8.9361345899111315E-5</v>
      </c>
      <c r="H53" s="50">
        <f t="shared" si="17"/>
        <v>4.27758896558259E-5</v>
      </c>
      <c r="I53" s="50">
        <f t="shared" si="17"/>
        <v>0</v>
      </c>
      <c r="J53" s="50">
        <f t="shared" si="17"/>
        <v>0</v>
      </c>
      <c r="K53" s="50">
        <f t="shared" si="17"/>
        <v>0</v>
      </c>
    </row>
    <row r="54" spans="1:11">
      <c r="A54" s="2" t="s">
        <v>10</v>
      </c>
      <c r="B54" s="49">
        <f t="shared" si="11"/>
        <v>0.20840067004925769</v>
      </c>
      <c r="C54" s="49">
        <f t="shared" si="11"/>
        <v>0.19983742060731366</v>
      </c>
      <c r="D54" s="49">
        <f t="shared" si="11"/>
        <v>0.21874349287380337</v>
      </c>
      <c r="E54" s="49">
        <f t="shared" si="11"/>
        <v>0.22780573285787836</v>
      </c>
      <c r="F54" s="183">
        <f t="shared" si="11"/>
        <v>0.21698082422858977</v>
      </c>
      <c r="G54" s="49">
        <f t="shared" ref="G54:K54" si="18">G9/G$3</f>
        <v>0.22491063865410085</v>
      </c>
      <c r="H54" s="49">
        <f t="shared" si="18"/>
        <v>0.22995722411034417</v>
      </c>
      <c r="I54" s="49">
        <f t="shared" si="18"/>
        <v>0.23499999999999996</v>
      </c>
      <c r="J54" s="49">
        <f t="shared" si="18"/>
        <v>0.23999999999999996</v>
      </c>
      <c r="K54" s="49">
        <f t="shared" si="18"/>
        <v>0.23999999999999994</v>
      </c>
    </row>
    <row r="55" spans="1:11">
      <c r="A55" s="2" t="s">
        <v>11</v>
      </c>
      <c r="B55" s="49">
        <f t="shared" si="11"/>
        <v>1.7820019306721582E-2</v>
      </c>
      <c r="C55" s="49">
        <f t="shared" si="11"/>
        <v>1.8046638147656748E-2</v>
      </c>
      <c r="D55" s="49">
        <f t="shared" si="11"/>
        <v>1.8328730107136208E-2</v>
      </c>
      <c r="E55" s="49">
        <f t="shared" si="11"/>
        <v>1.4202676813946461E-2</v>
      </c>
      <c r="F55" s="183">
        <f t="shared" si="11"/>
        <v>1.3202142102910236E-2</v>
      </c>
      <c r="G55" s="49">
        <f t="shared" ref="G55:K55" si="19">G10/G$3</f>
        <v>1.3154871573188781E-2</v>
      </c>
      <c r="H55" s="49">
        <f t="shared" si="19"/>
        <v>1.3190229535477061E-2</v>
      </c>
      <c r="I55" s="49">
        <f t="shared" si="19"/>
        <v>1.4459424992258642E-2</v>
      </c>
      <c r="J55" s="49">
        <f t="shared" si="19"/>
        <v>1.5264192174999029E-2</v>
      </c>
      <c r="K55" s="49">
        <f t="shared" si="19"/>
        <v>1.4543839520711775E-2</v>
      </c>
    </row>
    <row r="56" spans="1:11">
      <c r="A56" s="13" t="s">
        <v>12</v>
      </c>
      <c r="B56" s="50">
        <f t="shared" si="11"/>
        <v>9.596372461853438E-3</v>
      </c>
      <c r="C56" s="50">
        <f t="shared" si="11"/>
        <v>8.8956621954829375E-3</v>
      </c>
      <c r="D56" s="50">
        <f t="shared" si="11"/>
        <v>1.6973223248556178E-2</v>
      </c>
      <c r="E56" s="50">
        <f t="shared" si="11"/>
        <v>1.32734953552631E-2</v>
      </c>
      <c r="F56" s="184">
        <f t="shared" si="11"/>
        <v>1.9786273426971156E-2</v>
      </c>
      <c r="G56" s="50">
        <f t="shared" ref="G56:K56" si="20">G11/G$3</f>
        <v>1.3705005337625361E-2</v>
      </c>
      <c r="H56" s="50">
        <f t="shared" si="20"/>
        <v>1.3705005337625363E-2</v>
      </c>
      <c r="I56" s="50">
        <f t="shared" si="20"/>
        <v>1.3705005337625363E-2</v>
      </c>
      <c r="J56" s="50">
        <f t="shared" si="20"/>
        <v>1.3705005337625363E-2</v>
      </c>
      <c r="K56" s="50">
        <f t="shared" si="20"/>
        <v>1.3705005337625361E-2</v>
      </c>
    </row>
    <row r="57" spans="1:11">
      <c r="A57" s="2" t="s">
        <v>13</v>
      </c>
      <c r="B57" s="49">
        <f t="shared" si="11"/>
        <v>0.18098427828068267</v>
      </c>
      <c r="C57" s="49">
        <f t="shared" si="11"/>
        <v>0.17289512026417397</v>
      </c>
      <c r="D57" s="49">
        <f t="shared" si="11"/>
        <v>0.18344153951811099</v>
      </c>
      <c r="E57" s="49">
        <f t="shared" si="11"/>
        <v>0.20032956068866881</v>
      </c>
      <c r="F57" s="183">
        <f t="shared" si="11"/>
        <v>0.18399240869870837</v>
      </c>
      <c r="G57" s="49">
        <f t="shared" ref="G57:K57" si="21">G12/G$3</f>
        <v>0.1980507617432867</v>
      </c>
      <c r="H57" s="49">
        <f t="shared" si="21"/>
        <v>0.20306198923724178</v>
      </c>
      <c r="I57" s="49">
        <f t="shared" si="21"/>
        <v>0.20683556967011599</v>
      </c>
      <c r="J57" s="49">
        <f t="shared" si="21"/>
        <v>0.21103080248737557</v>
      </c>
      <c r="K57" s="49">
        <f t="shared" si="21"/>
        <v>0.21175115514166282</v>
      </c>
    </row>
    <row r="58" spans="1:11">
      <c r="A58" s="13" t="s">
        <v>14</v>
      </c>
      <c r="B58" s="50">
        <f t="shared" si="11"/>
        <v>3.0677433353497447E-2</v>
      </c>
      <c r="C58" s="50">
        <f t="shared" si="11"/>
        <v>2.9304359541872708E-2</v>
      </c>
      <c r="D58" s="50">
        <f t="shared" si="11"/>
        <v>2.6943751066754573E-2</v>
      </c>
      <c r="E58" s="50">
        <f t="shared" si="11"/>
        <v>3.5045501021754057E-2</v>
      </c>
      <c r="F58" s="184">
        <f t="shared" si="11"/>
        <v>2.6129793438979646E-2</v>
      </c>
      <c r="G58" s="50">
        <f t="shared" ref="G58:K58" si="22">G13/G$3</f>
        <v>3.1688121878925869E-2</v>
      </c>
      <c r="H58" s="50">
        <f t="shared" si="22"/>
        <v>3.4520538170331107E-2</v>
      </c>
      <c r="I58" s="50">
        <f t="shared" si="22"/>
        <v>3.7230402540620877E-2</v>
      </c>
      <c r="J58" s="50">
        <f t="shared" si="22"/>
        <v>3.7985544447727601E-2</v>
      </c>
      <c r="K58" s="50">
        <f t="shared" si="22"/>
        <v>3.8115207925499307E-2</v>
      </c>
    </row>
    <row r="59" spans="1:11">
      <c r="A59" s="2" t="s">
        <v>15</v>
      </c>
      <c r="B59" s="49">
        <f t="shared" si="11"/>
        <v>0.15030684492718521</v>
      </c>
      <c r="C59" s="49">
        <f t="shared" si="11"/>
        <v>0.14359076072230129</v>
      </c>
      <c r="D59" s="49">
        <f t="shared" si="11"/>
        <v>0.15649778845135642</v>
      </c>
      <c r="E59" s="49">
        <f t="shared" si="11"/>
        <v>0.16528405966691476</v>
      </c>
      <c r="F59" s="183">
        <f t="shared" si="11"/>
        <v>0.15786261525972872</v>
      </c>
      <c r="G59" s="49">
        <f t="shared" ref="G59:K59" si="23">G14/G$3</f>
        <v>0.16636263986436084</v>
      </c>
      <c r="H59" s="49">
        <f t="shared" si="23"/>
        <v>0.16854145106691065</v>
      </c>
      <c r="I59" s="49">
        <f t="shared" si="23"/>
        <v>0.16960516712949511</v>
      </c>
      <c r="J59" s="49">
        <f t="shared" si="23"/>
        <v>0.17304525803964796</v>
      </c>
      <c r="K59" s="49">
        <f t="shared" si="23"/>
        <v>0.17363594721616349</v>
      </c>
    </row>
    <row r="60" spans="1:11">
      <c r="A60" s="2" t="s">
        <v>16</v>
      </c>
      <c r="B60" s="49">
        <f t="shared" si="11"/>
        <v>-8.3570046677805066E-4</v>
      </c>
      <c r="C60" s="49">
        <f t="shared" si="11"/>
        <v>-3.6813263593485406E-4</v>
      </c>
      <c r="D60" s="49">
        <f t="shared" si="11"/>
        <v>-4.0430841848657605E-4</v>
      </c>
      <c r="E60" s="49">
        <f t="shared" si="11"/>
        <v>5.915506239482476E-4</v>
      </c>
      <c r="F60" s="183">
        <f t="shared" si="11"/>
        <v>0</v>
      </c>
      <c r="G60" s="49">
        <f t="shared" ref="G60:K60" si="24">G15/G$3</f>
        <v>0</v>
      </c>
      <c r="H60" s="49">
        <f t="shared" si="24"/>
        <v>0</v>
      </c>
      <c r="I60" s="49">
        <f t="shared" si="24"/>
        <v>0</v>
      </c>
      <c r="J60" s="49">
        <f t="shared" si="24"/>
        <v>0</v>
      </c>
      <c r="K60" s="49">
        <f t="shared" si="24"/>
        <v>0</v>
      </c>
    </row>
    <row r="61" spans="1:11" ht="14.7" thickBot="1">
      <c r="A61" s="11" t="s">
        <v>17</v>
      </c>
      <c r="B61" s="51">
        <f t="shared" si="11"/>
        <v>0.15114254539396327</v>
      </c>
      <c r="C61" s="51">
        <f t="shared" si="11"/>
        <v>0.14395889335823614</v>
      </c>
      <c r="D61" s="51">
        <f t="shared" si="11"/>
        <v>0.15690209686984299</v>
      </c>
      <c r="E61" s="51">
        <f t="shared" si="11"/>
        <v>0.16469250904296651</v>
      </c>
      <c r="F61" s="185">
        <f t="shared" si="11"/>
        <v>0.15786261525972872</v>
      </c>
      <c r="G61" s="51">
        <f t="shared" ref="G61:K61" si="25">G16/G$3</f>
        <v>0.16636263986436084</v>
      </c>
      <c r="H61" s="51">
        <f t="shared" si="25"/>
        <v>0.16854145106691065</v>
      </c>
      <c r="I61" s="51">
        <f t="shared" si="25"/>
        <v>0.16960516712949511</v>
      </c>
      <c r="J61" s="51">
        <f t="shared" si="25"/>
        <v>0.17304525803964796</v>
      </c>
      <c r="K61" s="51">
        <f t="shared" si="25"/>
        <v>0.17363594721616349</v>
      </c>
    </row>
    <row r="63" spans="1:11" ht="27.35">
      <c r="A63" s="65" t="s">
        <v>157</v>
      </c>
      <c r="B63" s="67"/>
      <c r="C63" s="67"/>
      <c r="D63" s="67"/>
      <c r="E63" s="67"/>
      <c r="F63" s="163"/>
      <c r="G63" s="66"/>
      <c r="H63" s="66"/>
      <c r="I63" s="66"/>
      <c r="J63" s="66"/>
      <c r="K63" s="66"/>
    </row>
    <row r="64" spans="1:11" ht="27.35">
      <c r="A64" s="67" t="s">
        <v>89</v>
      </c>
      <c r="B64" s="68" t="s">
        <v>0</v>
      </c>
      <c r="C64" s="68" t="s">
        <v>95</v>
      </c>
      <c r="D64" s="68" t="s">
        <v>93</v>
      </c>
      <c r="E64" s="68" t="s">
        <v>92</v>
      </c>
      <c r="F64" s="164" t="s">
        <v>91</v>
      </c>
      <c r="G64" s="122">
        <v>2023</v>
      </c>
      <c r="H64" s="122">
        <v>2024</v>
      </c>
      <c r="I64" s="122">
        <v>2025</v>
      </c>
      <c r="J64" s="122">
        <v>2026</v>
      </c>
      <c r="K64" s="122">
        <v>2027</v>
      </c>
    </row>
    <row r="65" spans="1:11">
      <c r="A65" s="2" t="s">
        <v>4</v>
      </c>
      <c r="B65" s="4"/>
      <c r="C65" s="48">
        <f t="shared" ref="C65:F68" si="26">C3/B3-1</f>
        <v>2.505214624591301E-2</v>
      </c>
      <c r="D65" s="49">
        <f t="shared" si="26"/>
        <v>2.0468550203524671E-2</v>
      </c>
      <c r="E65" s="49">
        <f t="shared" si="26"/>
        <v>0.10081550050989496</v>
      </c>
      <c r="F65" s="176">
        <f t="shared" si="26"/>
        <v>0.16139812828344313</v>
      </c>
      <c r="G65" s="49">
        <f t="shared" ref="G65:K65" si="27">G3/F3-1</f>
        <v>7.4019103405662756E-2</v>
      </c>
      <c r="H65" s="49">
        <f t="shared" si="27"/>
        <v>4.4529367105058837E-2</v>
      </c>
      <c r="I65" s="49">
        <f t="shared" si="27"/>
        <v>3.5177545778161567E-2</v>
      </c>
      <c r="J65" s="49">
        <f t="shared" si="27"/>
        <v>3.3963598090499314E-2</v>
      </c>
      <c r="K65" s="49">
        <f t="shared" si="27"/>
        <v>3.400643872858633E-2</v>
      </c>
    </row>
    <row r="66" spans="1:11">
      <c r="A66" s="13" t="s">
        <v>5</v>
      </c>
      <c r="B66" s="14"/>
      <c r="C66" s="50">
        <f t="shared" si="26"/>
        <v>3.5113612211747247E-2</v>
      </c>
      <c r="D66" s="50">
        <f t="shared" si="26"/>
        <v>1.9404304622558266E-2</v>
      </c>
      <c r="E66" s="50">
        <f t="shared" si="26"/>
        <v>0.10661893468511496</v>
      </c>
      <c r="F66" s="177">
        <f t="shared" si="26"/>
        <v>0.20268594373985693</v>
      </c>
      <c r="G66" s="50">
        <f t="shared" ref="G66:K66" si="28">G4/F4-1</f>
        <v>5.8471771261559002E-2</v>
      </c>
      <c r="H66" s="50">
        <f t="shared" si="28"/>
        <v>3.5203212041620802E-2</v>
      </c>
      <c r="I66" s="50">
        <f t="shared" si="28"/>
        <v>2.5851621942322156E-2</v>
      </c>
      <c r="J66" s="50">
        <f t="shared" si="28"/>
        <v>2.456392901694926E-2</v>
      </c>
      <c r="K66" s="50">
        <f t="shared" si="28"/>
        <v>3.400643872858633E-2</v>
      </c>
    </row>
    <row r="67" spans="1:11">
      <c r="A67" s="2" t="s">
        <v>6</v>
      </c>
      <c r="B67" s="3"/>
      <c r="C67" s="49">
        <f t="shared" si="26"/>
        <v>1.3188451399523071E-2</v>
      </c>
      <c r="D67" s="49">
        <f t="shared" si="26"/>
        <v>2.1750580679855025E-2</v>
      </c>
      <c r="E67" s="49">
        <f t="shared" si="26"/>
        <v>9.3840517941279122E-2</v>
      </c>
      <c r="F67" s="176">
        <f t="shared" si="26"/>
        <v>0.11119577690845084</v>
      </c>
      <c r="G67" s="49">
        <f t="shared" ref="G67:K67" si="29">G5/F5-1</f>
        <v>9.4479765536694904E-2</v>
      </c>
      <c r="H67" s="49">
        <f t="shared" si="29"/>
        <v>5.6399019003980033E-2</v>
      </c>
      <c r="I67" s="49">
        <f t="shared" si="29"/>
        <v>4.6808754157691368E-2</v>
      </c>
      <c r="J67" s="49">
        <f t="shared" si="29"/>
        <v>4.545208251372701E-2</v>
      </c>
      <c r="K67" s="49">
        <f t="shared" si="29"/>
        <v>3.400643872858633E-2</v>
      </c>
    </row>
    <row r="68" spans="1:11">
      <c r="A68" s="2" t="s">
        <v>7</v>
      </c>
      <c r="B68" s="3"/>
      <c r="C68" s="49">
        <f t="shared" si="26"/>
        <v>1.6588179508637779E-2</v>
      </c>
      <c r="D68" s="49">
        <f t="shared" si="26"/>
        <v>-7.8722764594063577E-3</v>
      </c>
      <c r="E68" s="49">
        <f t="shared" si="26"/>
        <v>5.8397874056347998E-2</v>
      </c>
      <c r="F68" s="176">
        <f t="shared" si="26"/>
        <v>0.11724979776161204</v>
      </c>
      <c r="G68" s="49">
        <f t="shared" ref="G68:K68" si="30">G6/F6-1</f>
        <v>7.6007284407173747E-2</v>
      </c>
      <c r="H68" s="49">
        <f t="shared" si="30"/>
        <v>4.4529367105058837E-2</v>
      </c>
      <c r="I68" s="49">
        <f t="shared" si="30"/>
        <v>3.5177545778161567E-2</v>
      </c>
      <c r="J68" s="49">
        <f t="shared" si="30"/>
        <v>3.3963598090499092E-2</v>
      </c>
      <c r="K68" s="49">
        <f t="shared" si="30"/>
        <v>3.4006438728586552E-2</v>
      </c>
    </row>
    <row r="69" spans="1:11">
      <c r="A69" s="2" t="s">
        <v>8</v>
      </c>
      <c r="B69" s="3"/>
      <c r="C69" s="49">
        <f t="shared" ref="C69:E78" si="31">C7/B7-1</f>
        <v>0.9485007535207608</v>
      </c>
      <c r="D69" s="49">
        <f t="shared" si="31"/>
        <v>-0.91871805129572837</v>
      </c>
      <c r="E69" s="49">
        <f t="shared" si="31"/>
        <v>-1</v>
      </c>
      <c r="F69" s="176"/>
      <c r="G69" s="49"/>
      <c r="H69" s="49"/>
      <c r="I69" s="49"/>
      <c r="J69" s="49"/>
      <c r="K69" s="49"/>
    </row>
    <row r="70" spans="1:11">
      <c r="A70" s="13" t="s">
        <v>9</v>
      </c>
      <c r="B70" s="14"/>
      <c r="C70" s="50">
        <f t="shared" si="31"/>
        <v>-0.57535465633670102</v>
      </c>
      <c r="D70" s="50">
        <f t="shared" si="31"/>
        <v>1.2809418145956606</v>
      </c>
      <c r="E70" s="50">
        <f t="shared" si="31"/>
        <v>-0.80949035291574334</v>
      </c>
      <c r="F70" s="177">
        <f t="shared" ref="F70:F78" si="32">F8/E8-1</f>
        <v>-0.43574468085106388</v>
      </c>
      <c r="G70" s="50">
        <f t="shared" ref="G70:K70" si="33">G8/F8-1</f>
        <v>-0.49723479135243842</v>
      </c>
      <c r="H70" s="50">
        <f t="shared" si="33"/>
        <v>-0.5</v>
      </c>
      <c r="I70" s="50">
        <f t="shared" si="33"/>
        <v>-1</v>
      </c>
      <c r="J70" s="50" t="e">
        <f t="shared" si="33"/>
        <v>#DIV/0!</v>
      </c>
      <c r="K70" s="50" t="e">
        <f t="shared" si="33"/>
        <v>#DIV/0!</v>
      </c>
    </row>
    <row r="71" spans="1:11">
      <c r="A71" s="2" t="s">
        <v>10</v>
      </c>
      <c r="B71" s="3"/>
      <c r="C71" s="49">
        <f t="shared" si="31"/>
        <v>-1.7067570630376783E-2</v>
      </c>
      <c r="D71" s="49">
        <f t="shared" si="31"/>
        <v>0.11701229109647415</v>
      </c>
      <c r="E71" s="49">
        <f t="shared" si="31"/>
        <v>0.14642076223791123</v>
      </c>
      <c r="F71" s="176">
        <f t="shared" si="32"/>
        <v>0.10621062943003001</v>
      </c>
      <c r="G71" s="49">
        <f t="shared" ref="G71:K71" si="34">G9/F9-1</f>
        <v>0.11327037000831996</v>
      </c>
      <c r="H71" s="49">
        <f t="shared" si="34"/>
        <v>6.7966705348352807E-2</v>
      </c>
      <c r="I71" s="49">
        <f t="shared" si="34"/>
        <v>5.7878151899838803E-2</v>
      </c>
      <c r="J71" s="49">
        <f t="shared" si="34"/>
        <v>5.5962823581786614E-2</v>
      </c>
      <c r="K71" s="49">
        <f t="shared" si="34"/>
        <v>3.4006438728586108E-2</v>
      </c>
    </row>
    <row r="72" spans="1:11">
      <c r="A72" s="2" t="s">
        <v>11</v>
      </c>
      <c r="B72" s="3"/>
      <c r="C72" s="49">
        <f t="shared" si="31"/>
        <v>3.8087829613143498E-2</v>
      </c>
      <c r="D72" s="49">
        <f t="shared" si="31"/>
        <v>3.641977450130085E-2</v>
      </c>
      <c r="E72" s="49">
        <f t="shared" si="31"/>
        <v>-0.14699345267583386</v>
      </c>
      <c r="F72" s="176">
        <f t="shared" si="32"/>
        <v>7.9581217576932373E-2</v>
      </c>
      <c r="G72" s="49">
        <f t="shared" ref="G72:K72" si="35">G10/F10-1</f>
        <v>7.0173556860776198E-2</v>
      </c>
      <c r="H72" s="49">
        <f t="shared" si="35"/>
        <v>4.733687683752752E-2</v>
      </c>
      <c r="I72" s="49">
        <f t="shared" si="35"/>
        <v>0.13478480693538231</v>
      </c>
      <c r="J72" s="49">
        <f t="shared" si="35"/>
        <v>9.151083612637545E-2</v>
      </c>
      <c r="K72" s="49">
        <f t="shared" si="35"/>
        <v>-1.4790724865057614E-2</v>
      </c>
    </row>
    <row r="73" spans="1:11">
      <c r="A73" s="13" t="s">
        <v>12</v>
      </c>
      <c r="B73" s="14"/>
      <c r="C73" s="50">
        <f t="shared" si="31"/>
        <v>-4.9795361527967263E-2</v>
      </c>
      <c r="D73" s="50">
        <f t="shared" si="31"/>
        <v>0.94708838309193033</v>
      </c>
      <c r="E73" s="50">
        <f t="shared" si="31"/>
        <v>-0.13913408083743595</v>
      </c>
      <c r="F73" s="177">
        <f t="shared" si="32"/>
        <v>0.73125015745584943</v>
      </c>
      <c r="G73" s="50">
        <f t="shared" ref="G73:K73" si="36">G11/F11-1</f>
        <v>-0.2560783313131727</v>
      </c>
      <c r="H73" s="50">
        <f t="shared" si="36"/>
        <v>4.4529367105059059E-2</v>
      </c>
      <c r="I73" s="50">
        <f t="shared" si="36"/>
        <v>3.5177545778161567E-2</v>
      </c>
      <c r="J73" s="50">
        <f t="shared" si="36"/>
        <v>3.3963598090499314E-2</v>
      </c>
      <c r="K73" s="50">
        <f t="shared" si="36"/>
        <v>3.400643872858633E-2</v>
      </c>
    </row>
    <row r="74" spans="1:11">
      <c r="A74" s="2" t="s">
        <v>13</v>
      </c>
      <c r="B74" s="3"/>
      <c r="C74" s="49">
        <f t="shared" si="31"/>
        <v>-2.0762931532749329E-2</v>
      </c>
      <c r="D74" s="49">
        <f t="shared" si="31"/>
        <v>8.2716051170929061E-2</v>
      </c>
      <c r="E74" s="49">
        <f t="shared" si="31"/>
        <v>0.20215893409819552</v>
      </c>
      <c r="F74" s="176">
        <f t="shared" si="32"/>
        <v>6.6684508998321901E-2</v>
      </c>
      <c r="G74" s="49">
        <f t="shared" ref="G74:K74" si="37">G12/F12-1</f>
        <v>0.15608194414504961</v>
      </c>
      <c r="H74" s="49">
        <f t="shared" si="37"/>
        <v>7.0958825071320897E-2</v>
      </c>
      <c r="I74" s="49">
        <f t="shared" si="37"/>
        <v>5.4414655322751804E-2</v>
      </c>
      <c r="J74" s="49">
        <f t="shared" si="37"/>
        <v>5.4935416552281957E-2</v>
      </c>
      <c r="K74" s="49">
        <f t="shared" si="37"/>
        <v>3.7536014856378364E-2</v>
      </c>
    </row>
    <row r="75" spans="1:11">
      <c r="A75" s="13" t="s">
        <v>14</v>
      </c>
      <c r="B75" s="14"/>
      <c r="C75" s="50">
        <f t="shared" si="31"/>
        <v>-2.0827580435964999E-2</v>
      </c>
      <c r="D75" s="50">
        <f t="shared" si="31"/>
        <v>-6.1735147330279627E-2</v>
      </c>
      <c r="E75" s="50">
        <f t="shared" si="31"/>
        <v>0.43182107986009899</v>
      </c>
      <c r="F75" s="177">
        <f t="shared" si="32"/>
        <v>-0.13406593406593403</v>
      </c>
      <c r="G75" s="50">
        <f t="shared" ref="G75:K75" si="38">G13/F13-1</f>
        <v>0.30248439691999041</v>
      </c>
      <c r="H75" s="50">
        <f t="shared" si="38"/>
        <v>0.13789375163827855</v>
      </c>
      <c r="I75" s="50">
        <f t="shared" si="38"/>
        <v>0.11643904681232531</v>
      </c>
      <c r="J75" s="50">
        <f t="shared" si="38"/>
        <v>5.4935416552281957E-2</v>
      </c>
      <c r="K75" s="50">
        <f t="shared" si="38"/>
        <v>3.7536014856378364E-2</v>
      </c>
    </row>
    <row r="76" spans="1:11">
      <c r="A76" s="2" t="s">
        <v>15</v>
      </c>
      <c r="B76" s="3"/>
      <c r="C76" s="49">
        <f t="shared" si="31"/>
        <v>-2.0749736774914207E-2</v>
      </c>
      <c r="D76" s="49">
        <f t="shared" si="31"/>
        <v>0.11219601099453058</v>
      </c>
      <c r="E76" s="49">
        <f t="shared" si="31"/>
        <v>0.16261869684564911</v>
      </c>
      <c r="F76" s="176">
        <f t="shared" si="32"/>
        <v>0.10925001635398512</v>
      </c>
      <c r="G76" s="49">
        <f t="shared" ref="G76:K76" si="39">G14/F14-1</f>
        <v>0.13184906390500539</v>
      </c>
      <c r="H76" s="49">
        <f t="shared" si="39"/>
        <v>5.8209315249043048E-2</v>
      </c>
      <c r="I76" s="49">
        <f t="shared" si="39"/>
        <v>4.1710864294766781E-2</v>
      </c>
      <c r="J76" s="49">
        <f t="shared" si="39"/>
        <v>5.4935416552281957E-2</v>
      </c>
      <c r="K76" s="49">
        <f t="shared" si="39"/>
        <v>3.7536014856378364E-2</v>
      </c>
    </row>
    <row r="77" spans="1:11">
      <c r="A77" s="2" t="s">
        <v>16</v>
      </c>
      <c r="B77" s="3"/>
      <c r="C77" s="49">
        <f t="shared" si="31"/>
        <v>-0.54845645830133627</v>
      </c>
      <c r="D77" s="49">
        <f t="shared" si="31"/>
        <v>0.12074829931972797</v>
      </c>
      <c r="E77" s="49">
        <f t="shared" si="31"/>
        <v>-2.6106221547799695</v>
      </c>
      <c r="F77" s="176">
        <f t="shared" si="32"/>
        <v>-1</v>
      </c>
      <c r="G77" s="49" t="e">
        <f t="shared" ref="G77:K77" si="40">G15/F15-1</f>
        <v>#DIV/0!</v>
      </c>
      <c r="H77" s="49" t="e">
        <f t="shared" si="40"/>
        <v>#DIV/0!</v>
      </c>
      <c r="I77" s="49" t="e">
        <f t="shared" si="40"/>
        <v>#DIV/0!</v>
      </c>
      <c r="J77" s="49" t="e">
        <f t="shared" si="40"/>
        <v>#DIV/0!</v>
      </c>
      <c r="K77" s="49" t="e">
        <f t="shared" si="40"/>
        <v>#DIV/0!</v>
      </c>
    </row>
    <row r="78" spans="1:11" ht="14.7" thickBot="1">
      <c r="A78" s="11" t="s">
        <v>17</v>
      </c>
      <c r="B78" s="15"/>
      <c r="C78" s="51">
        <f t="shared" si="31"/>
        <v>-2.3667543619783959E-2</v>
      </c>
      <c r="D78" s="51">
        <f t="shared" si="31"/>
        <v>0.11221788096290131</v>
      </c>
      <c r="E78" s="51">
        <f t="shared" si="31"/>
        <v>0.15547255511031444</v>
      </c>
      <c r="F78" s="178">
        <f t="shared" si="32"/>
        <v>0.11323427491621052</v>
      </c>
      <c r="G78" s="51">
        <f t="shared" ref="G78:K78" si="41">G16/F16-1</f>
        <v>0.13184906390500539</v>
      </c>
      <c r="H78" s="51">
        <f t="shared" si="41"/>
        <v>5.8209315249043048E-2</v>
      </c>
      <c r="I78" s="51">
        <f t="shared" si="41"/>
        <v>4.1710864294766781E-2</v>
      </c>
      <c r="J78" s="51">
        <f t="shared" si="41"/>
        <v>5.4935416552281957E-2</v>
      </c>
      <c r="K78" s="51">
        <f t="shared" si="41"/>
        <v>3.7536014856378364E-2</v>
      </c>
    </row>
  </sheetData>
  <pageMargins left="0.75" right="0.75" top="1" bottom="1" header="0.5" footer="0.5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4F78D81D-87F9-9942-B9ED-B22096A3ABB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IS!B49:K49</xm:f>
              <xm:sqref>M49</xm:sqref>
            </x14:sparkline>
            <x14:sparkline>
              <xm:f>IS!B50:K50</xm:f>
              <xm:sqref>M50</xm:sqref>
            </x14:sparkline>
            <x14:sparkline>
              <xm:f>IS!B51:K51</xm:f>
              <xm:sqref>M51</xm:sqref>
            </x14:sparkline>
            <x14:sparkline>
              <xm:f>IS!B52:K52</xm:f>
              <xm:sqref>M52</xm:sqref>
            </x14:sparkline>
            <x14:sparkline>
              <xm:f>IS!B53:K53</xm:f>
              <xm:sqref>M53</xm:sqref>
            </x14:sparkline>
            <x14:sparkline>
              <xm:f>IS!B54:K54</xm:f>
              <xm:sqref>M54</xm:sqref>
            </x14:sparkline>
            <x14:sparkline>
              <xm:f>IS!B55:K55</xm:f>
              <xm:sqref>M55</xm:sqref>
            </x14:sparkline>
            <x14:sparkline>
              <xm:f>IS!B56:K56</xm:f>
              <xm:sqref>M56</xm:sqref>
            </x14:sparkline>
            <x14:sparkline>
              <xm:f>IS!B57:K57</xm:f>
              <xm:sqref>M57</xm:sqref>
            </x14:sparkline>
            <x14:sparkline>
              <xm:f>IS!B58:K58</xm:f>
              <xm:sqref>M58</xm:sqref>
            </x14:sparkline>
            <x14:sparkline>
              <xm:f>IS!B59:K59</xm:f>
              <xm:sqref>M59</xm:sqref>
            </x14:sparkline>
            <x14:sparkline>
              <xm:f>IS!B60:K60</xm:f>
              <xm:sqref>M60</xm:sqref>
            </x14:sparkline>
            <x14:sparkline>
              <xm:f>IS!B61:K61</xm:f>
              <xm:sqref>M61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9"/>
  <sheetViews>
    <sheetView topLeftCell="A32" zoomScaleNormal="100" workbookViewId="0">
      <pane xSplit="1" topLeftCell="B1" activePane="topRight" state="frozen"/>
      <selection pane="topRight" activeCell="G93" sqref="G93:K93"/>
    </sheetView>
  </sheetViews>
  <sheetFormatPr defaultColWidth="8.8203125" defaultRowHeight="14.35"/>
  <cols>
    <col min="1" max="1" width="53" bestFit="1" customWidth="1"/>
    <col min="2" max="5" width="12.17578125" customWidth="1"/>
    <col min="6" max="6" width="12.17578125" style="169" customWidth="1"/>
    <col min="7" max="11" width="12.17578125" customWidth="1"/>
    <col min="12" max="12" width="2.3515625" customWidth="1"/>
    <col min="13" max="13" width="22" customWidth="1"/>
  </cols>
  <sheetData>
    <row r="1" spans="1:13" s="17" customFormat="1" ht="30">
      <c r="A1" s="69" t="s">
        <v>24</v>
      </c>
      <c r="B1" s="70" t="s">
        <v>0</v>
      </c>
      <c r="C1" s="70" t="s">
        <v>95</v>
      </c>
      <c r="D1" s="70" t="s">
        <v>93</v>
      </c>
      <c r="E1" s="70" t="s">
        <v>92</v>
      </c>
      <c r="F1" s="244" t="s">
        <v>91</v>
      </c>
      <c r="G1" s="70" t="s">
        <v>179</v>
      </c>
      <c r="H1" s="70" t="s">
        <v>240</v>
      </c>
      <c r="I1" s="70" t="s">
        <v>241</v>
      </c>
      <c r="J1" s="70" t="s">
        <v>242</v>
      </c>
      <c r="K1" s="70" t="s">
        <v>243</v>
      </c>
      <c r="M1" s="88" t="s">
        <v>166</v>
      </c>
    </row>
    <row r="2" spans="1:13">
      <c r="A2" s="1" t="s">
        <v>25</v>
      </c>
      <c r="E2" t="s">
        <v>94</v>
      </c>
      <c r="F2" s="169" t="s">
        <v>94</v>
      </c>
    </row>
    <row r="3" spans="1:13">
      <c r="A3" s="18" t="s">
        <v>26</v>
      </c>
      <c r="B3" s="4">
        <v>587998</v>
      </c>
      <c r="C3" s="4">
        <v>493262</v>
      </c>
      <c r="D3" s="4">
        <v>1143987</v>
      </c>
      <c r="E3" s="4">
        <v>329266</v>
      </c>
      <c r="F3" s="165">
        <v>463889</v>
      </c>
      <c r="G3" s="243">
        <f>'Derived CF'!G43</f>
        <v>658416.7589339437</v>
      </c>
      <c r="H3" s="243">
        <f>'Derived CF'!H43</f>
        <v>1043108.2360928063</v>
      </c>
      <c r="I3" s="243">
        <f>'Derived CF'!I43</f>
        <v>1847891.9133340127</v>
      </c>
      <c r="J3" s="243">
        <f>'Derived CF'!J43</f>
        <v>2694615.7031822233</v>
      </c>
      <c r="K3" s="243">
        <f>'Derived CF'!K43</f>
        <v>3582651.6772259437</v>
      </c>
      <c r="M3" t="s">
        <v>244</v>
      </c>
    </row>
    <row r="4" spans="1:13">
      <c r="A4" s="18" t="s">
        <v>27</v>
      </c>
      <c r="B4" s="3">
        <v>594145</v>
      </c>
      <c r="C4" s="3">
        <v>568509</v>
      </c>
      <c r="D4" s="3">
        <v>615233</v>
      </c>
      <c r="E4" s="3">
        <v>671464</v>
      </c>
      <c r="F4" s="167">
        <v>711203</v>
      </c>
      <c r="G4" s="3">
        <f>G39*IS!G$3</f>
        <v>783336.45600000012</v>
      </c>
      <c r="H4" s="3">
        <f>H39*IS!H$3</f>
        <v>818217.93261599995</v>
      </c>
      <c r="I4" s="3">
        <f>I39*IS!I$3</f>
        <v>847000.83139711199</v>
      </c>
      <c r="J4" s="3">
        <f>J39*IS!J$3</f>
        <v>875768.02721700224</v>
      </c>
      <c r="K4" s="3">
        <f>K39*IS!K$3</f>
        <v>905549.77897501213</v>
      </c>
      <c r="M4" t="s">
        <v>228</v>
      </c>
    </row>
    <row r="5" spans="1:13">
      <c r="A5" s="18" t="s">
        <v>28</v>
      </c>
      <c r="B5" s="3">
        <v>784879</v>
      </c>
      <c r="C5" s="3">
        <v>815251</v>
      </c>
      <c r="D5" s="3">
        <v>964207</v>
      </c>
      <c r="E5" s="3">
        <v>988511</v>
      </c>
      <c r="F5" s="167">
        <v>1173119</v>
      </c>
      <c r="G5" s="3">
        <f>G40*IS!G$4</f>
        <v>1253338.3296000003</v>
      </c>
      <c r="H5" s="3">
        <f>H40*IS!H$4</f>
        <v>1297459.8645767998</v>
      </c>
      <c r="I5" s="3">
        <f>I40*IS!I$4</f>
        <v>1331001.3064811761</v>
      </c>
      <c r="J5" s="3">
        <f>J40*IS!J$4</f>
        <v>1363695.9280950464</v>
      </c>
      <c r="K5" s="3">
        <f>K40*IS!K$4</f>
        <v>1410070.3701182334</v>
      </c>
      <c r="M5" t="s">
        <v>245</v>
      </c>
    </row>
    <row r="6" spans="1:13">
      <c r="A6" s="19" t="s">
        <v>29</v>
      </c>
      <c r="B6" s="14">
        <v>272159</v>
      </c>
      <c r="C6" s="14">
        <v>240080</v>
      </c>
      <c r="D6" s="14">
        <v>254478</v>
      </c>
      <c r="E6" s="14">
        <v>256965</v>
      </c>
      <c r="F6" s="166">
        <v>272195</v>
      </c>
      <c r="G6" s="180">
        <f>G41*(IS!G$4+IS!G$6)</f>
        <v>303542.87670000008</v>
      </c>
      <c r="H6" s="14">
        <f>H41*(IS!H4+IS!H6)</f>
        <v>315013.90405715996</v>
      </c>
      <c r="I6" s="14">
        <f>I41*(IS!I4+IS!I6)</f>
        <v>323977.81800939533</v>
      </c>
      <c r="J6" s="14">
        <f>J41*(IS!J4+IS!J6)</f>
        <v>332791.85034246079</v>
      </c>
      <c r="K6" s="14">
        <f>K41*(IS!K4+IS!K6)</f>
        <v>344108.91601050465</v>
      </c>
      <c r="M6" t="s">
        <v>246</v>
      </c>
    </row>
    <row r="7" spans="1:13">
      <c r="A7" s="20" t="s">
        <v>30</v>
      </c>
      <c r="B7" s="3">
        <v>2239181</v>
      </c>
      <c r="C7" s="3">
        <v>2117102</v>
      </c>
      <c r="D7" s="3">
        <v>2977905</v>
      </c>
      <c r="E7" s="3">
        <v>2246206</v>
      </c>
      <c r="F7" s="167">
        <v>2620406</v>
      </c>
      <c r="G7" s="3">
        <f>SUM(G3:G6)</f>
        <v>2998634.4212339441</v>
      </c>
      <c r="H7" s="3">
        <f>SUM(H3:H6)</f>
        <v>3473799.9373427662</v>
      </c>
      <c r="I7" s="3">
        <f>SUM(I3:I6)</f>
        <v>4349871.8692216957</v>
      </c>
      <c r="J7" s="3">
        <f>SUM(J3:J6)</f>
        <v>5266871.5088367322</v>
      </c>
      <c r="K7" s="3">
        <f>SUM(K3:K6)</f>
        <v>6242380.7423296934</v>
      </c>
      <c r="M7" t="s">
        <v>185</v>
      </c>
    </row>
    <row r="8" spans="1:13">
      <c r="A8" s="23" t="s">
        <v>31</v>
      </c>
      <c r="B8" s="3">
        <v>2130294</v>
      </c>
      <c r="C8" s="3">
        <v>2153139</v>
      </c>
      <c r="D8" s="3">
        <v>2285255</v>
      </c>
      <c r="E8" s="3">
        <v>2586187</v>
      </c>
      <c r="F8" s="167">
        <v>2769702</v>
      </c>
      <c r="G8" s="3">
        <f>Schedules!G9</f>
        <v>3461643.5986500005</v>
      </c>
      <c r="H8" s="3">
        <f>Schedules!H9</f>
        <v>3942716.7316181106</v>
      </c>
      <c r="I8" s="3">
        <f>Schedules!I9</f>
        <v>4254014.8104968928</v>
      </c>
      <c r="J8" s="3">
        <f>Schedules!J9</f>
        <v>4570491.4123513941</v>
      </c>
      <c r="K8" s="3">
        <f>Schedules!K9</f>
        <v>4892343.3751950795</v>
      </c>
      <c r="M8" t="s">
        <v>247</v>
      </c>
    </row>
    <row r="9" spans="1:13">
      <c r="A9" s="23" t="s">
        <v>32</v>
      </c>
      <c r="B9" s="3">
        <v>1801103</v>
      </c>
      <c r="C9" s="3">
        <v>1985955</v>
      </c>
      <c r="D9" s="3">
        <v>1988215</v>
      </c>
      <c r="E9" s="3">
        <v>2633174</v>
      </c>
      <c r="F9" s="167">
        <v>2606956</v>
      </c>
      <c r="G9" s="93">
        <f>F9</f>
        <v>2606956</v>
      </c>
      <c r="H9" s="3">
        <f t="shared" ref="H9:K9" si="0">G9</f>
        <v>2606956</v>
      </c>
      <c r="I9" s="3">
        <f t="shared" si="0"/>
        <v>2606956</v>
      </c>
      <c r="J9" s="3">
        <f t="shared" si="0"/>
        <v>2606956</v>
      </c>
      <c r="K9" s="3">
        <f t="shared" si="0"/>
        <v>2606956</v>
      </c>
      <c r="M9" t="s">
        <v>248</v>
      </c>
    </row>
    <row r="10" spans="1:13">
      <c r="A10" s="23" t="s">
        <v>33</v>
      </c>
      <c r="B10" s="3">
        <v>1278292</v>
      </c>
      <c r="C10" s="3">
        <v>1341166</v>
      </c>
      <c r="D10" s="3">
        <v>1295214</v>
      </c>
      <c r="E10" s="3">
        <v>2037588</v>
      </c>
      <c r="F10" s="167">
        <v>1966269</v>
      </c>
      <c r="G10" s="3">
        <f>F10-G42</f>
        <v>1887020</v>
      </c>
      <c r="H10" s="3">
        <f t="shared" ref="H10:K10" si="1">G10-H42</f>
        <v>1808353</v>
      </c>
      <c r="I10" s="3">
        <f t="shared" si="1"/>
        <v>1729686</v>
      </c>
      <c r="J10" s="3">
        <f t="shared" si="1"/>
        <v>1651066</v>
      </c>
      <c r="K10" s="3">
        <f t="shared" si="1"/>
        <v>1573539</v>
      </c>
      <c r="M10" t="s">
        <v>316</v>
      </c>
    </row>
    <row r="11" spans="1:13">
      <c r="A11" s="23" t="s">
        <v>34</v>
      </c>
      <c r="B11" s="3">
        <v>252984</v>
      </c>
      <c r="C11" s="3">
        <v>512000</v>
      </c>
      <c r="D11" s="3">
        <v>555887</v>
      </c>
      <c r="E11" s="3">
        <v>868203</v>
      </c>
      <c r="F11" s="167">
        <v>944989</v>
      </c>
      <c r="G11" s="3">
        <f>G43*IS!G$3</f>
        <v>1007146.872</v>
      </c>
      <c r="H11" s="3">
        <f>H43*IS!H$3</f>
        <v>1051994.4847919997</v>
      </c>
      <c r="I11" s="3">
        <f>I43*IS!I$3</f>
        <v>1089001.0689391438</v>
      </c>
      <c r="J11" s="3">
        <f>J43*IS!J$3</f>
        <v>1125987.463564717</v>
      </c>
      <c r="K11" s="3">
        <f>K43*IS!K$3</f>
        <v>1164278.2872535868</v>
      </c>
      <c r="M11" t="s">
        <v>228</v>
      </c>
    </row>
    <row r="12" spans="1:13">
      <c r="A12" s="23" t="s">
        <v>35</v>
      </c>
      <c r="B12" s="3">
        <v>1166</v>
      </c>
      <c r="C12" s="3">
        <v>31033</v>
      </c>
      <c r="D12" s="3">
        <v>29369</v>
      </c>
      <c r="E12" s="3">
        <v>40873</v>
      </c>
      <c r="F12" s="167">
        <v>40498</v>
      </c>
      <c r="G12" s="3">
        <f>G44*IS!G$13</f>
        <v>53190.988049858257</v>
      </c>
      <c r="H12" s="3">
        <f>H44*IS!H13</f>
        <v>60525.692945400049</v>
      </c>
      <c r="I12" s="3">
        <f>I44*IS!I13</f>
        <v>67573.246939617908</v>
      </c>
      <c r="J12" s="3">
        <f>J44*IS!J13</f>
        <v>71285.41140803603</v>
      </c>
      <c r="K12" s="3">
        <f>K44*IS!K13</f>
        <v>73961.181669691126</v>
      </c>
      <c r="M12" t="s">
        <v>249</v>
      </c>
    </row>
    <row r="13" spans="1:13" ht="14.7" thickBot="1">
      <c r="A13" s="22" t="s">
        <v>36</v>
      </c>
      <c r="B13" s="12">
        <v>7703020</v>
      </c>
      <c r="C13" s="12">
        <v>8140395</v>
      </c>
      <c r="D13" s="12">
        <v>9131845</v>
      </c>
      <c r="E13" s="12">
        <v>10412231</v>
      </c>
      <c r="F13" s="245">
        <v>10948820</v>
      </c>
      <c r="G13" s="12">
        <f>SUM(G7:G12)</f>
        <v>12014591.879933804</v>
      </c>
      <c r="H13" s="12">
        <f>SUM(H7:H12)</f>
        <v>12944345.846698277</v>
      </c>
      <c r="I13" s="12">
        <f t="shared" ref="I13:K13" si="2">SUM(I7:I12)</f>
        <v>14097102.995597349</v>
      </c>
      <c r="J13" s="12">
        <f t="shared" si="2"/>
        <v>15292657.79616088</v>
      </c>
      <c r="K13" s="12">
        <f t="shared" si="2"/>
        <v>16553458.586448051</v>
      </c>
      <c r="M13" t="s">
        <v>185</v>
      </c>
    </row>
    <row r="14" spans="1:13">
      <c r="A14" s="24" t="s">
        <v>37</v>
      </c>
      <c r="E14" t="s">
        <v>94</v>
      </c>
      <c r="F14" s="169" t="s">
        <v>94</v>
      </c>
    </row>
    <row r="15" spans="1:13">
      <c r="A15" s="18" t="s">
        <v>38</v>
      </c>
      <c r="B15" s="3">
        <v>502314</v>
      </c>
      <c r="C15" s="3">
        <v>550828</v>
      </c>
      <c r="D15" s="3">
        <v>580058</v>
      </c>
      <c r="E15" s="3">
        <v>692338</v>
      </c>
      <c r="F15" s="167">
        <v>970558</v>
      </c>
      <c r="G15" s="181">
        <f>G45*(IS!G$4+IS!G$6)</f>
        <v>1040718.4344000001</v>
      </c>
      <c r="H15" s="3">
        <f>H45*(IS!H$4+IS!H$6)</f>
        <v>1080047.6710531197</v>
      </c>
      <c r="I15" s="3">
        <f>I45*(IS!I$4+IS!I$6)</f>
        <v>1110781.0903179268</v>
      </c>
      <c r="J15" s="3">
        <f>J45*(IS!J$4+IS!J$6)</f>
        <v>1141000.6297455798</v>
      </c>
      <c r="K15" s="3">
        <f>K45*(IS!K$4+IS!K$6)</f>
        <v>1179801.9977503014</v>
      </c>
      <c r="M15" t="s">
        <v>246</v>
      </c>
    </row>
    <row r="16" spans="1:13">
      <c r="A16" s="18" t="s">
        <v>39</v>
      </c>
      <c r="B16" s="3">
        <v>679163</v>
      </c>
      <c r="C16" s="3">
        <v>702372</v>
      </c>
      <c r="D16" s="3">
        <v>781766</v>
      </c>
      <c r="E16" s="3">
        <v>855638</v>
      </c>
      <c r="F16" s="167">
        <v>832518</v>
      </c>
      <c r="G16" s="181">
        <f>G46*(IS!G$4+IS!G$6)</f>
        <v>910628.63010000007</v>
      </c>
      <c r="H16" s="3">
        <f>H46*(IS!H$4+IS!H$6)</f>
        <v>945041.71217147971</v>
      </c>
      <c r="I16" s="3">
        <f>I46*(IS!I$4+IS!I$6)</f>
        <v>971933.45402818592</v>
      </c>
      <c r="J16" s="3">
        <f>J46*(IS!J$4+IS!J$6)</f>
        <v>998375.55102738226</v>
      </c>
      <c r="K16" s="3">
        <f>K46*(IS!K$4+IS!K$6)</f>
        <v>1032326.7480315138</v>
      </c>
      <c r="M16" t="s">
        <v>246</v>
      </c>
    </row>
    <row r="17" spans="1:13">
      <c r="A17" s="18" t="s">
        <v>40</v>
      </c>
      <c r="B17" s="3">
        <v>33773</v>
      </c>
      <c r="C17" s="3">
        <v>19921</v>
      </c>
      <c r="D17" s="3">
        <v>17051</v>
      </c>
      <c r="E17" s="3">
        <v>3070</v>
      </c>
      <c r="F17" s="167">
        <v>6710</v>
      </c>
      <c r="G17" s="3">
        <f>G47*IS!G$13</f>
        <v>8865.1646749763768</v>
      </c>
      <c r="H17" s="3">
        <f>H47*IS!H$13</f>
        <v>10087.615490900011</v>
      </c>
      <c r="I17" s="3">
        <f>I47*IS!I$13</f>
        <v>11262.207823269653</v>
      </c>
      <c r="J17" s="3">
        <f>J47*IS!J$13</f>
        <v>11880.901901339341</v>
      </c>
      <c r="K17" s="3">
        <f>K47*IS!K$13</f>
        <v>12326.863611615188</v>
      </c>
      <c r="M17" t="s">
        <v>249</v>
      </c>
    </row>
    <row r="18" spans="1:13">
      <c r="A18" s="18" t="s">
        <v>41</v>
      </c>
      <c r="B18" s="3">
        <v>1197929</v>
      </c>
      <c r="C18" s="3">
        <v>32282</v>
      </c>
      <c r="D18" s="3">
        <v>74041</v>
      </c>
      <c r="E18" s="3">
        <v>939423</v>
      </c>
      <c r="F18" s="167">
        <v>693790</v>
      </c>
      <c r="G18" s="3">
        <f>Schedules!G15</f>
        <v>750000</v>
      </c>
      <c r="H18" s="3">
        <f>Schedules!H15</f>
        <v>500000</v>
      </c>
      <c r="I18" s="3">
        <f>Schedules!I15</f>
        <v>500000</v>
      </c>
      <c r="J18" s="3">
        <f>Schedules!J15</f>
        <v>500000</v>
      </c>
      <c r="K18" s="3">
        <f>Schedules!K15</f>
        <v>500000</v>
      </c>
      <c r="M18" t="s">
        <v>250</v>
      </c>
    </row>
    <row r="19" spans="1:13">
      <c r="A19" s="19" t="s">
        <v>42</v>
      </c>
      <c r="B19" s="14">
        <v>5387</v>
      </c>
      <c r="C19" s="14">
        <v>703390</v>
      </c>
      <c r="D19" s="14">
        <v>438829</v>
      </c>
      <c r="E19" s="14">
        <v>2844</v>
      </c>
      <c r="F19" s="166">
        <v>753578</v>
      </c>
      <c r="G19" s="14">
        <f>Schedules!G16</f>
        <v>500000</v>
      </c>
      <c r="H19" s="14">
        <f>Schedules!H16</f>
        <v>500000</v>
      </c>
      <c r="I19" s="14">
        <f>Schedules!I16</f>
        <v>500000</v>
      </c>
      <c r="J19" s="14">
        <f>Schedules!J16</f>
        <v>500000</v>
      </c>
      <c r="K19" s="14">
        <f>Schedules!K16</f>
        <v>500000</v>
      </c>
      <c r="M19" t="s">
        <v>250</v>
      </c>
    </row>
    <row r="20" spans="1:13">
      <c r="A20" s="20" t="s">
        <v>43</v>
      </c>
      <c r="B20" s="3">
        <v>2418566</v>
      </c>
      <c r="C20" s="3">
        <v>2008793</v>
      </c>
      <c r="D20" s="3">
        <v>1891745</v>
      </c>
      <c r="E20" s="3">
        <v>2493313</v>
      </c>
      <c r="F20" s="167">
        <v>3257154</v>
      </c>
      <c r="G20" s="3">
        <f>SUM(G15:G19)</f>
        <v>3210212.2291749767</v>
      </c>
      <c r="H20" s="3">
        <f t="shared" ref="H20:K20" si="3">SUM(H15:H19)</f>
        <v>3035176.9987154994</v>
      </c>
      <c r="I20" s="3">
        <f t="shared" si="3"/>
        <v>3093976.7521693828</v>
      </c>
      <c r="J20" s="3">
        <f t="shared" si="3"/>
        <v>3151257.0826743012</v>
      </c>
      <c r="K20" s="3">
        <f t="shared" si="3"/>
        <v>3224455.6093934304</v>
      </c>
      <c r="M20" t="s">
        <v>185</v>
      </c>
    </row>
    <row r="21" spans="1:13">
      <c r="A21" s="23" t="s">
        <v>44</v>
      </c>
      <c r="B21" s="3">
        <v>3254280</v>
      </c>
      <c r="C21" s="3">
        <v>3530813</v>
      </c>
      <c r="D21" s="3">
        <v>4089755</v>
      </c>
      <c r="E21" s="3">
        <v>4086627</v>
      </c>
      <c r="F21" s="167">
        <v>3343977</v>
      </c>
      <c r="G21" s="3">
        <f>Schedules!G17</f>
        <v>3595763.7179999999</v>
      </c>
      <c r="H21" s="3">
        <f>Schedules!H17</f>
        <v>3788629.3735451996</v>
      </c>
      <c r="I21" s="3">
        <f>Schedules!I17</f>
        <v>3933829.516070419</v>
      </c>
      <c r="J21" s="3">
        <f>Schedules!J17</f>
        <v>4083961.177879048</v>
      </c>
      <c r="K21" s="3">
        <f>Schedules!K17</f>
        <v>4239198.2828461928</v>
      </c>
      <c r="M21" t="s">
        <v>250</v>
      </c>
    </row>
    <row r="22" spans="1:13">
      <c r="A22" s="23" t="s">
        <v>45</v>
      </c>
      <c r="B22" s="3">
        <v>446048</v>
      </c>
      <c r="C22" s="3">
        <v>655777</v>
      </c>
      <c r="D22" s="3">
        <v>683434</v>
      </c>
      <c r="E22" s="3">
        <v>787058</v>
      </c>
      <c r="F22" s="167">
        <v>719742</v>
      </c>
      <c r="G22" s="181">
        <f>G48*(IS!G$4+IS!G$6)</f>
        <v>780538.82580000011</v>
      </c>
      <c r="H22" s="3">
        <f>H48*(IS!H$4+IS!H$6)</f>
        <v>810035.75328983983</v>
      </c>
      <c r="I22" s="3">
        <f>I48*(IS!I$4+IS!I$6)</f>
        <v>833085.81773844501</v>
      </c>
      <c r="J22" s="3">
        <f>J48*(IS!J$4+IS!J$6)</f>
        <v>855750.47230918484</v>
      </c>
      <c r="K22" s="3">
        <f>K48*(IS!K$4+IS!K$6)</f>
        <v>884851.49831272615</v>
      </c>
      <c r="M22" t="s">
        <v>246</v>
      </c>
    </row>
    <row r="23" spans="1:13">
      <c r="A23" s="23" t="s">
        <v>35</v>
      </c>
      <c r="B23" s="3">
        <v>176860</v>
      </c>
      <c r="C23" s="3">
        <v>200018</v>
      </c>
      <c r="D23" s="3">
        <v>229028</v>
      </c>
      <c r="E23" s="3">
        <v>288004</v>
      </c>
      <c r="F23" s="167">
        <v>328403</v>
      </c>
      <c r="G23" s="3">
        <f>G49*IS!G$13</f>
        <v>354606.58699905506</v>
      </c>
      <c r="H23" s="3">
        <f>H49*IS!H$13</f>
        <v>403504.61963600037</v>
      </c>
      <c r="I23" s="3">
        <f>I49*IS!I$13</f>
        <v>450488.31293078611</v>
      </c>
      <c r="J23" s="3">
        <f>J49*IS!J$13</f>
        <v>475236.07605357358</v>
      </c>
      <c r="K23" s="3">
        <f>K49*IS!K$13</f>
        <v>493074.54446460749</v>
      </c>
      <c r="M23" t="s">
        <v>249</v>
      </c>
    </row>
    <row r="24" spans="1:13">
      <c r="A24" s="21" t="s">
        <v>46</v>
      </c>
      <c r="B24" s="10">
        <v>6295754</v>
      </c>
      <c r="C24" s="10">
        <v>6395401</v>
      </c>
      <c r="D24" s="10">
        <v>6893962</v>
      </c>
      <c r="E24" s="10">
        <v>7655002</v>
      </c>
      <c r="F24" s="246">
        <v>7649276</v>
      </c>
      <c r="G24" s="10">
        <f>SUM(G20:G23)</f>
        <v>7941121.3599740313</v>
      </c>
      <c r="H24" s="10">
        <f t="shared" ref="H24:K24" si="4">SUM(H20:H23)</f>
        <v>8037346.7451865394</v>
      </c>
      <c r="I24" s="10">
        <f t="shared" si="4"/>
        <v>8311380.3989090333</v>
      </c>
      <c r="J24" s="10">
        <f t="shared" si="4"/>
        <v>8566204.8089161068</v>
      </c>
      <c r="K24" s="10">
        <f t="shared" si="4"/>
        <v>8841579.9350169562</v>
      </c>
      <c r="M24" t="s">
        <v>185</v>
      </c>
    </row>
    <row r="25" spans="1:13">
      <c r="A25" s="1" t="s">
        <v>47</v>
      </c>
      <c r="E25" t="s">
        <v>94</v>
      </c>
      <c r="F25" s="169" t="s">
        <v>94</v>
      </c>
    </row>
    <row r="26" spans="1:13">
      <c r="A26" s="2" t="s">
        <v>1</v>
      </c>
      <c r="B26" s="3">
        <v>299287</v>
      </c>
      <c r="C26" s="3">
        <v>160939</v>
      </c>
      <c r="D26" s="3">
        <v>160939</v>
      </c>
      <c r="E26" s="3">
        <v>160939</v>
      </c>
      <c r="F26" s="167">
        <v>163439</v>
      </c>
      <c r="G26" s="3">
        <f>F26</f>
        <v>163439</v>
      </c>
      <c r="H26" s="3">
        <f t="shared" ref="H26:K26" si="5">G26</f>
        <v>163439</v>
      </c>
      <c r="I26" s="3">
        <f t="shared" si="5"/>
        <v>163439</v>
      </c>
      <c r="J26" s="3">
        <f t="shared" si="5"/>
        <v>163439</v>
      </c>
      <c r="K26" s="3">
        <f t="shared" si="5"/>
        <v>163439</v>
      </c>
      <c r="M26" t="s">
        <v>251</v>
      </c>
    </row>
    <row r="27" spans="1:13">
      <c r="A27" s="2" t="s">
        <v>2</v>
      </c>
      <c r="B27" s="4">
        <v>60614</v>
      </c>
      <c r="C27" s="4">
        <v>60614</v>
      </c>
      <c r="D27" s="4">
        <v>60614</v>
      </c>
      <c r="E27" s="4">
        <v>60614</v>
      </c>
      <c r="F27" s="165">
        <v>58114</v>
      </c>
      <c r="G27" s="4">
        <f>F27</f>
        <v>58114</v>
      </c>
      <c r="H27" s="4">
        <f t="shared" ref="H27:K27" si="6">G27</f>
        <v>58114</v>
      </c>
      <c r="I27" s="4">
        <f t="shared" si="6"/>
        <v>58114</v>
      </c>
      <c r="J27" s="4">
        <f t="shared" si="6"/>
        <v>58114</v>
      </c>
      <c r="K27" s="4">
        <f t="shared" si="6"/>
        <v>58114</v>
      </c>
      <c r="M27" t="s">
        <v>251</v>
      </c>
    </row>
    <row r="28" spans="1:13">
      <c r="A28" s="2" t="s">
        <v>96</v>
      </c>
      <c r="B28" s="3">
        <v>0</v>
      </c>
      <c r="C28" s="3">
        <v>0</v>
      </c>
      <c r="D28" s="3">
        <v>0</v>
      </c>
      <c r="E28" s="3">
        <v>0</v>
      </c>
      <c r="F28" s="167">
        <v>0</v>
      </c>
      <c r="G28" s="3">
        <f>F28</f>
        <v>0</v>
      </c>
      <c r="H28" s="3">
        <f t="shared" ref="H28:K28" si="7">G28</f>
        <v>0</v>
      </c>
      <c r="I28" s="3">
        <f t="shared" si="7"/>
        <v>0</v>
      </c>
      <c r="J28" s="3">
        <f t="shared" si="7"/>
        <v>0</v>
      </c>
      <c r="K28" s="3">
        <f t="shared" si="7"/>
        <v>0</v>
      </c>
      <c r="M28" t="s">
        <v>251</v>
      </c>
    </row>
    <row r="29" spans="1:13">
      <c r="A29" s="2" t="s">
        <v>48</v>
      </c>
      <c r="B29" s="3">
        <v>982205</v>
      </c>
      <c r="C29" s="3">
        <v>1142210</v>
      </c>
      <c r="D29" s="3">
        <v>1191200</v>
      </c>
      <c r="E29" s="3">
        <v>1260331</v>
      </c>
      <c r="F29" s="167">
        <v>1296572</v>
      </c>
      <c r="G29" s="3">
        <f>F29</f>
        <v>1296572</v>
      </c>
      <c r="H29" s="3">
        <f t="shared" ref="H29:K29" si="8">G29</f>
        <v>1296572</v>
      </c>
      <c r="I29" s="3">
        <f t="shared" si="8"/>
        <v>1296572</v>
      </c>
      <c r="J29" s="3">
        <f t="shared" si="8"/>
        <v>1296572</v>
      </c>
      <c r="K29" s="3">
        <f t="shared" si="8"/>
        <v>1296572</v>
      </c>
      <c r="M29" t="s">
        <v>251</v>
      </c>
    </row>
    <row r="30" spans="1:13">
      <c r="A30" s="2" t="s">
        <v>49</v>
      </c>
      <c r="B30" s="3">
        <v>7032020</v>
      </c>
      <c r="C30" s="3">
        <v>1290461</v>
      </c>
      <c r="D30" s="3">
        <v>1928673</v>
      </c>
      <c r="E30" s="3">
        <v>2719936</v>
      </c>
      <c r="F30" s="167">
        <v>3589781</v>
      </c>
      <c r="G30" s="3">
        <f>Schedules!G31</f>
        <v>4613707.519959772</v>
      </c>
      <c r="H30" s="3">
        <f>Schedules!H31</f>
        <v>5697236.1015117373</v>
      </c>
      <c r="I30" s="3">
        <f>Schedules!I31</f>
        <v>6825959.5966883171</v>
      </c>
      <c r="J30" s="3">
        <f>Schedules!J31</f>
        <v>8016689.9872447699</v>
      </c>
      <c r="K30" s="3">
        <f>Schedules!K31</f>
        <v>9252115.6514310911</v>
      </c>
      <c r="M30" t="s">
        <v>250</v>
      </c>
    </row>
    <row r="31" spans="1:13">
      <c r="A31" s="2" t="s">
        <v>97</v>
      </c>
      <c r="B31" s="3">
        <v>-6618625</v>
      </c>
      <c r="C31" s="3">
        <v>-591036</v>
      </c>
      <c r="D31" s="3">
        <v>-768992</v>
      </c>
      <c r="E31" s="3">
        <v>-1195376</v>
      </c>
      <c r="F31" s="167">
        <v>-1556029</v>
      </c>
      <c r="G31" s="3">
        <f>F31-G50</f>
        <v>-1806029</v>
      </c>
      <c r="H31" s="3">
        <f t="shared" ref="H31:K31" si="9">G31-H50</f>
        <v>-2056029</v>
      </c>
      <c r="I31" s="3">
        <f t="shared" si="9"/>
        <v>-2306029</v>
      </c>
      <c r="J31" s="3">
        <f t="shared" si="9"/>
        <v>-2556029</v>
      </c>
      <c r="K31" s="3">
        <f t="shared" si="9"/>
        <v>-2806029</v>
      </c>
      <c r="M31" t="s">
        <v>252</v>
      </c>
    </row>
    <row r="32" spans="1:13">
      <c r="A32" s="2" t="s">
        <v>50</v>
      </c>
      <c r="B32" s="14">
        <v>-356780</v>
      </c>
      <c r="C32" s="14">
        <v>-323966</v>
      </c>
      <c r="D32" s="14">
        <v>-338082</v>
      </c>
      <c r="E32" s="14">
        <v>-249215</v>
      </c>
      <c r="F32" s="166">
        <v>-252333</v>
      </c>
      <c r="G32" s="14">
        <f>F32</f>
        <v>-252333</v>
      </c>
      <c r="H32" s="14">
        <f>G32</f>
        <v>-252333</v>
      </c>
      <c r="I32" s="14">
        <f t="shared" ref="I32:K32" si="10">H32</f>
        <v>-252333</v>
      </c>
      <c r="J32" s="14">
        <f t="shared" si="10"/>
        <v>-252333</v>
      </c>
      <c r="K32" s="14">
        <f t="shared" si="10"/>
        <v>-252333</v>
      </c>
      <c r="M32" t="s">
        <v>251</v>
      </c>
    </row>
    <row r="33" spans="1:14">
      <c r="A33" s="20" t="s">
        <v>51</v>
      </c>
      <c r="B33" s="3">
        <v>1398721</v>
      </c>
      <c r="C33" s="3">
        <v>1739222</v>
      </c>
      <c r="D33" s="3">
        <f>+SUM(D26:D32)</f>
        <v>2234352</v>
      </c>
      <c r="E33" s="3">
        <f>+SUM(E26:E32)</f>
        <v>2757229</v>
      </c>
      <c r="F33" s="167">
        <f>+SUM(F26:F32)</f>
        <v>3299544</v>
      </c>
      <c r="G33" s="3">
        <f>+SUM(G26:G32)</f>
        <v>4073470.519959772</v>
      </c>
      <c r="H33" s="3">
        <f t="shared" ref="H33:K33" si="11">+SUM(H26:H32)</f>
        <v>4906999.1015117373</v>
      </c>
      <c r="I33" s="3">
        <f t="shared" si="11"/>
        <v>5785722.5966883171</v>
      </c>
      <c r="J33" s="3">
        <f t="shared" si="11"/>
        <v>6726452.9872447699</v>
      </c>
      <c r="K33" s="3">
        <f t="shared" si="11"/>
        <v>7711878.6514310911</v>
      </c>
    </row>
    <row r="34" spans="1:14">
      <c r="A34" s="18" t="s">
        <v>52</v>
      </c>
      <c r="B34" s="3">
        <v>8545</v>
      </c>
      <c r="C34" s="3">
        <v>5772</v>
      </c>
      <c r="D34" s="3">
        <v>3531</v>
      </c>
      <c r="E34" s="3"/>
      <c r="F34" s="167"/>
      <c r="G34" s="3"/>
      <c r="H34" s="3"/>
      <c r="I34" s="3"/>
      <c r="J34" s="3"/>
      <c r="K34" s="3"/>
      <c r="M34" t="s">
        <v>253</v>
      </c>
    </row>
    <row r="35" spans="1:14">
      <c r="A35" s="21" t="s">
        <v>53</v>
      </c>
      <c r="B35" s="10">
        <v>1407266</v>
      </c>
      <c r="C35" s="10">
        <v>1744994</v>
      </c>
      <c r="D35" s="10">
        <v>2237883</v>
      </c>
      <c r="E35" s="10">
        <v>2757229</v>
      </c>
      <c r="F35" s="246">
        <v>3299544</v>
      </c>
      <c r="G35" s="10">
        <f>SUM(G33:G34)</f>
        <v>4073470.519959772</v>
      </c>
      <c r="H35" s="10">
        <f t="shared" ref="H35:K35" si="12">SUM(H33:H34)</f>
        <v>4906999.1015117373</v>
      </c>
      <c r="I35" s="10">
        <f t="shared" si="12"/>
        <v>5785722.5966883171</v>
      </c>
      <c r="J35" s="10">
        <f t="shared" si="12"/>
        <v>6726452.9872447699</v>
      </c>
      <c r="K35" s="10">
        <f t="shared" si="12"/>
        <v>7711878.6514310911</v>
      </c>
    </row>
    <row r="36" spans="1:14" ht="14.7" thickBot="1">
      <c r="A36" s="22" t="s">
        <v>54</v>
      </c>
      <c r="B36" s="12">
        <v>7703020</v>
      </c>
      <c r="C36" s="12">
        <v>8140395</v>
      </c>
      <c r="D36" s="12">
        <v>9131845</v>
      </c>
      <c r="E36" s="12">
        <v>10412231</v>
      </c>
      <c r="F36" s="245">
        <v>10948820</v>
      </c>
      <c r="G36" s="12">
        <f>SUM(G35,G24)</f>
        <v>12014591.879933804</v>
      </c>
      <c r="H36" s="12">
        <f>SUM(H35,H24)</f>
        <v>12944345.846698277</v>
      </c>
      <c r="I36" s="12">
        <f t="shared" ref="I36:K36" si="13">SUM(I35,I24)</f>
        <v>14097102.995597351</v>
      </c>
      <c r="J36" s="12">
        <f t="shared" si="13"/>
        <v>15292657.796160877</v>
      </c>
      <c r="K36" s="12">
        <f t="shared" si="13"/>
        <v>16553458.586448047</v>
      </c>
    </row>
    <row r="37" spans="1:14">
      <c r="A37" s="2"/>
    </row>
    <row r="38" spans="1:14" s="193" customFormat="1" ht="30">
      <c r="A38" s="192" t="s">
        <v>224</v>
      </c>
      <c r="B38" s="70" t="s">
        <v>0</v>
      </c>
      <c r="C38" s="70" t="s">
        <v>95</v>
      </c>
      <c r="D38" s="70" t="s">
        <v>93</v>
      </c>
      <c r="E38" s="70" t="s">
        <v>92</v>
      </c>
      <c r="F38" s="244" t="s">
        <v>91</v>
      </c>
      <c r="G38" s="70" t="s">
        <v>179</v>
      </c>
      <c r="H38" s="70" t="s">
        <v>240</v>
      </c>
      <c r="I38" s="70" t="s">
        <v>241</v>
      </c>
      <c r="J38" s="70" t="s">
        <v>242</v>
      </c>
      <c r="K38" s="70" t="s">
        <v>243</v>
      </c>
      <c r="M38" s="194" t="s">
        <v>225</v>
      </c>
    </row>
    <row r="39" spans="1:14">
      <c r="A39" s="92" t="s">
        <v>27</v>
      </c>
      <c r="B39" s="195">
        <f>B4/IS!B3</f>
        <v>7.6259753314981554E-2</v>
      </c>
      <c r="C39" s="195">
        <f>C4/IS!C3</f>
        <v>7.1185958068941471E-2</v>
      </c>
      <c r="D39" s="195">
        <f>D4/IS!D3</f>
        <v>7.5491314485812339E-2</v>
      </c>
      <c r="E39" s="195">
        <f>E4/IS!E3</f>
        <v>7.4845477324059953E-2</v>
      </c>
      <c r="F39" s="175">
        <f>F4/IS!F3</f>
        <v>6.8258271625697475E-2</v>
      </c>
      <c r="G39" s="120">
        <v>7.0000000000000007E-2</v>
      </c>
      <c r="H39" s="120">
        <v>7.0000000000000007E-2</v>
      </c>
      <c r="I39" s="120">
        <v>7.0000000000000007E-2</v>
      </c>
      <c r="J39" s="120">
        <v>7.0000000000000007E-2</v>
      </c>
      <c r="K39" s="120">
        <v>7.0000000000000007E-2</v>
      </c>
      <c r="M39" s="161" t="s">
        <v>234</v>
      </c>
    </row>
    <row r="40" spans="1:14">
      <c r="A40" s="196" t="s">
        <v>28</v>
      </c>
      <c r="B40" s="195">
        <f>B5/IS!B4</f>
        <v>0.18617805065962259</v>
      </c>
      <c r="C40" s="195">
        <f>C5/IS!C4</f>
        <v>0.18682246147486098</v>
      </c>
      <c r="D40" s="195">
        <f>D5/IS!D4</f>
        <v>0.21675122795580484</v>
      </c>
      <c r="E40" s="195">
        <f>E5/IS!E4</f>
        <v>0.2008050802612123</v>
      </c>
      <c r="F40" s="175">
        <f>F5/IS!F4</f>
        <v>0.19814495679341085</v>
      </c>
      <c r="G40" s="120">
        <v>0.2</v>
      </c>
      <c r="H40" s="120">
        <v>0.2</v>
      </c>
      <c r="I40" s="120">
        <v>0.2</v>
      </c>
      <c r="J40" s="120">
        <v>0.2</v>
      </c>
      <c r="K40" s="120">
        <v>0.2</v>
      </c>
      <c r="M40" s="161" t="s">
        <v>234</v>
      </c>
    </row>
    <row r="41" spans="1:14">
      <c r="A41" s="196" t="s">
        <v>29</v>
      </c>
      <c r="B41" s="195">
        <f>B6/SUM(IS!B$4,IS!B$6)</f>
        <v>4.4685286589619726E-2</v>
      </c>
      <c r="C41" s="195">
        <f>C6/SUM(IS!C$4,IS!C$6)</f>
        <v>3.8292084967980144E-2</v>
      </c>
      <c r="D41" s="195">
        <f>D6/SUM(IS!D$4,IS!D$6)</f>
        <v>4.0142443064182194E-2</v>
      </c>
      <c r="E41" s="195">
        <f>E6/SUM(IS!E$4,IS!E$6)</f>
        <v>3.7111735982634543E-2</v>
      </c>
      <c r="F41" s="175">
        <f>F6/SUM(IS!F$4,IS!F$6)</f>
        <v>3.3371470522102695E-2</v>
      </c>
      <c r="G41" s="120">
        <v>3.5000000000000003E-2</v>
      </c>
      <c r="H41" s="120">
        <v>3.5000000000000003E-2</v>
      </c>
      <c r="I41" s="120">
        <v>3.5000000000000003E-2</v>
      </c>
      <c r="J41" s="120">
        <v>3.5000000000000003E-2</v>
      </c>
      <c r="K41" s="120">
        <v>3.5000000000000003E-2</v>
      </c>
      <c r="M41" s="161" t="s">
        <v>234</v>
      </c>
    </row>
    <row r="42" spans="1:14">
      <c r="A42" s="23" t="s">
        <v>33</v>
      </c>
      <c r="B42" s="195"/>
      <c r="C42" s="195"/>
      <c r="D42" s="195"/>
      <c r="E42" s="195"/>
      <c r="F42" s="175"/>
      <c r="G42" s="256">
        <v>79249</v>
      </c>
      <c r="H42" s="256">
        <v>78667</v>
      </c>
      <c r="I42" s="256">
        <v>78667</v>
      </c>
      <c r="J42" s="256">
        <v>78620</v>
      </c>
      <c r="K42" s="256">
        <v>77527</v>
      </c>
      <c r="M42" s="161" t="s">
        <v>317</v>
      </c>
      <c r="N42" s="255"/>
    </row>
    <row r="43" spans="1:14">
      <c r="A43" s="196" t="s">
        <v>34</v>
      </c>
      <c r="B43" s="197">
        <f>B11/IS!B3</f>
        <v>3.2471025478018486E-2</v>
      </c>
      <c r="C43" s="197">
        <f>C11/IS!C3</f>
        <v>6.4110173332872541E-2</v>
      </c>
      <c r="D43" s="197">
        <f>D11/IS!D3</f>
        <v>6.8209345622836814E-2</v>
      </c>
      <c r="E43" s="197">
        <f>E11/IS!E3</f>
        <v>9.6775207530382601E-2</v>
      </c>
      <c r="F43" s="174">
        <f>F11/IS!F3</f>
        <v>9.0696068274875433E-2</v>
      </c>
      <c r="G43" s="120">
        <v>0.09</v>
      </c>
      <c r="H43" s="120">
        <v>0.09</v>
      </c>
      <c r="I43" s="120">
        <v>0.09</v>
      </c>
      <c r="J43" s="120">
        <v>0.09</v>
      </c>
      <c r="K43" s="120">
        <v>0.09</v>
      </c>
      <c r="M43" s="161" t="s">
        <v>234</v>
      </c>
    </row>
    <row r="44" spans="1:14">
      <c r="A44" s="199" t="s">
        <v>35</v>
      </c>
      <c r="B44" s="200">
        <f>B12/IS!B$13</f>
        <v>4.8784569683276852E-3</v>
      </c>
      <c r="C44" s="200">
        <f>C12/IS!C$13</f>
        <v>0.1326015245778355</v>
      </c>
      <c r="D44" s="200">
        <f>D12/IS!D$13</f>
        <v>0.1337483605362868</v>
      </c>
      <c r="E44" s="200">
        <f>E12/IS!E$13</f>
        <v>0.13000111321384838</v>
      </c>
      <c r="F44" s="247">
        <f>F12/IS!F$13</f>
        <v>0.14875079888633408</v>
      </c>
      <c r="G44" s="81">
        <v>0.15</v>
      </c>
      <c r="H44" s="81">
        <v>0.15</v>
      </c>
      <c r="I44" s="81">
        <v>0.15</v>
      </c>
      <c r="J44" s="81">
        <v>0.15</v>
      </c>
      <c r="K44" s="81">
        <v>0.15</v>
      </c>
      <c r="M44" s="161" t="s">
        <v>234</v>
      </c>
    </row>
    <row r="45" spans="1:14">
      <c r="A45" s="196" t="s">
        <v>38</v>
      </c>
      <c r="B45" s="195">
        <f>B15/SUM(IS!B$4,IS!B$6)</f>
        <v>8.2474013528776355E-2</v>
      </c>
      <c r="C45" s="195">
        <f>C15/SUM(IS!C$4,IS!C$6)</f>
        <v>8.7855517239014358E-2</v>
      </c>
      <c r="D45" s="195">
        <f>D15/SUM(IS!D$4,IS!D$6)</f>
        <v>9.1500818298333828E-2</v>
      </c>
      <c r="E45" s="195">
        <f>E15/SUM(IS!E$4,IS!E$6)</f>
        <v>9.9989745944954495E-2</v>
      </c>
      <c r="F45" s="175">
        <f>F15/SUM(IS!F$4,IS!F$6)</f>
        <v>0.1189917070004627</v>
      </c>
      <c r="G45" s="120">
        <v>0.12</v>
      </c>
      <c r="H45" s="120">
        <v>0.12</v>
      </c>
      <c r="I45" s="120">
        <v>0.12</v>
      </c>
      <c r="J45" s="120">
        <v>0.12</v>
      </c>
      <c r="K45" s="120">
        <v>0.12</v>
      </c>
      <c r="M45" s="161" t="s">
        <v>234</v>
      </c>
    </row>
    <row r="46" spans="1:14">
      <c r="A46" s="196" t="s">
        <v>39</v>
      </c>
      <c r="B46" s="195">
        <f>B16/SUM(IS!B$4,IS!B$6)</f>
        <v>0.11151052618530309</v>
      </c>
      <c r="C46" s="195">
        <f>C16/SUM(IS!C$4,IS!C$6)</f>
        <v>0.11202635914332784</v>
      </c>
      <c r="D46" s="195">
        <f>D16/SUM(IS!D$4,IS!D$6)</f>
        <v>0.12331909691412797</v>
      </c>
      <c r="E46" s="195">
        <f>E16/SUM(IS!E$4,IS!E$6)</f>
        <v>0.1235740725496058</v>
      </c>
      <c r="F46" s="175">
        <f>F16/SUM(IS!F$4,IS!F$6)</f>
        <v>0.10206781864516207</v>
      </c>
      <c r="G46" s="201">
        <v>0.105</v>
      </c>
      <c r="H46" s="201">
        <v>0.105</v>
      </c>
      <c r="I46" s="201">
        <v>0.105</v>
      </c>
      <c r="J46" s="201">
        <v>0.105</v>
      </c>
      <c r="K46" s="201">
        <v>0.105</v>
      </c>
      <c r="M46" s="161" t="s">
        <v>234</v>
      </c>
    </row>
    <row r="47" spans="1:14">
      <c r="A47" s="196" t="s">
        <v>40</v>
      </c>
      <c r="B47" s="197">
        <f>B17/IS!B$13</f>
        <v>0.14130371114179324</v>
      </c>
      <c r="C47" s="197">
        <f>C17/IS!C$13</f>
        <v>8.5120838175975932E-2</v>
      </c>
      <c r="D47" s="197">
        <f>D17/IS!D$13</f>
        <v>7.7651377149519085E-2</v>
      </c>
      <c r="E47" s="197">
        <f>E17/IS!E$13</f>
        <v>9.764475755792687E-3</v>
      </c>
      <c r="F47" s="174">
        <f>F17/IS!F$13</f>
        <v>2.4646102536601849E-2</v>
      </c>
      <c r="G47" s="120">
        <v>2.5000000000000001E-2</v>
      </c>
      <c r="H47" s="120">
        <v>2.5000000000000001E-2</v>
      </c>
      <c r="I47" s="120">
        <v>2.5000000000000001E-2</v>
      </c>
      <c r="J47" s="120">
        <v>2.5000000000000001E-2</v>
      </c>
      <c r="K47" s="198">
        <v>2.5000000000000001E-2</v>
      </c>
      <c r="M47" s="161" t="s">
        <v>234</v>
      </c>
    </row>
    <row r="48" spans="1:14">
      <c r="A48" s="202" t="s">
        <v>45</v>
      </c>
      <c r="B48" s="195">
        <f>B22/SUM(IS!B$4,IS!B$6)</f>
        <v>7.3235802280015361E-2</v>
      </c>
      <c r="C48" s="195">
        <f>C22/SUM(IS!C$4,IS!C$6)</f>
        <v>0.10459458765431154</v>
      </c>
      <c r="D48" s="195">
        <f>D22/SUM(IS!D$4,IS!D$6)</f>
        <v>0.10780778862269545</v>
      </c>
      <c r="E48" s="195">
        <f>E22/SUM(IS!E$4,IS!E$6)</f>
        <v>0.11366952191551526</v>
      </c>
      <c r="F48" s="175">
        <f>F22/SUM(IS!F$4,IS!F$6)</f>
        <v>8.8241330430460646E-2</v>
      </c>
      <c r="G48" s="120">
        <v>0.09</v>
      </c>
      <c r="H48" s="120">
        <v>0.09</v>
      </c>
      <c r="I48" s="120">
        <v>0.09</v>
      </c>
      <c r="J48" s="120">
        <v>0.09</v>
      </c>
      <c r="K48" s="120">
        <v>0.09</v>
      </c>
      <c r="M48" s="161" t="s">
        <v>234</v>
      </c>
    </row>
    <row r="49" spans="1:13">
      <c r="A49" s="203" t="s">
        <v>35</v>
      </c>
      <c r="B49" s="200">
        <f>B23/IS!B13</f>
        <v>0.73996903895234512</v>
      </c>
      <c r="C49" s="200">
        <f>C23/IS!C13</f>
        <v>0.85466090107335746</v>
      </c>
      <c r="D49" s="200">
        <f>D23/IS!D13</f>
        <v>1.0430085980763626</v>
      </c>
      <c r="E49" s="200">
        <f>E23/IS!E13</f>
        <v>0.9160286891111783</v>
      </c>
      <c r="F49" s="247">
        <f>F23/IS!F13</f>
        <v>1.2062375575749116</v>
      </c>
      <c r="G49" s="81">
        <v>1</v>
      </c>
      <c r="H49" s="81">
        <v>1</v>
      </c>
      <c r="I49" s="81">
        <v>1</v>
      </c>
      <c r="J49" s="81">
        <v>1</v>
      </c>
      <c r="K49" s="81">
        <v>1</v>
      </c>
      <c r="M49" s="204" t="s">
        <v>235</v>
      </c>
    </row>
    <row r="50" spans="1:13">
      <c r="A50" s="23" t="s">
        <v>236</v>
      </c>
      <c r="B50" s="205">
        <f>-'Historical CF'!B35</f>
        <v>247500</v>
      </c>
      <c r="C50" s="205">
        <f>-'Historical CF'!C35</f>
        <v>527211</v>
      </c>
      <c r="D50" s="205">
        <f>-'Historical CF'!D35</f>
        <v>211196</v>
      </c>
      <c r="E50" s="205">
        <f>-'Historical CF'!E35</f>
        <v>457946</v>
      </c>
      <c r="F50" s="248">
        <f>-'Historical CF'!F35</f>
        <v>388964</v>
      </c>
      <c r="G50" s="206">
        <v>250000</v>
      </c>
      <c r="H50" s="206">
        <v>250000</v>
      </c>
      <c r="I50" s="206">
        <v>250000</v>
      </c>
      <c r="J50" s="206">
        <v>250000</v>
      </c>
      <c r="K50" s="206">
        <v>250000</v>
      </c>
      <c r="M50" s="204" t="s">
        <v>318</v>
      </c>
    </row>
    <row r="51" spans="1:13">
      <c r="A51" s="20" t="s">
        <v>237</v>
      </c>
      <c r="B51" s="207">
        <f>(1406093+450000+615719)/1000</f>
        <v>2471.8119999999999</v>
      </c>
      <c r="C51" s="205">
        <f>1386.913+2674.349</f>
        <v>4061.2620000000002</v>
      </c>
      <c r="D51" s="205">
        <f>951.138+450</f>
        <v>1401.1379999999999</v>
      </c>
      <c r="E51" s="205">
        <f>871.114+2005.5</f>
        <v>2876.614</v>
      </c>
      <c r="F51" s="249">
        <f>(1000000+824701)/1000</f>
        <v>1824.701</v>
      </c>
      <c r="G51" s="208">
        <f>G50/G52</f>
        <v>1085.9218095781118</v>
      </c>
      <c r="H51" s="208">
        <f t="shared" ref="H51:J51" si="14">H50/H52</f>
        <v>1005.4831570167702</v>
      </c>
      <c r="I51" s="208">
        <f t="shared" si="14"/>
        <v>931.00292316367597</v>
      </c>
      <c r="J51" s="208">
        <f t="shared" si="14"/>
        <v>862.03974367007015</v>
      </c>
      <c r="K51" s="208">
        <f>K50/K52</f>
        <v>798.18494784265749</v>
      </c>
      <c r="M51" s="204"/>
    </row>
    <row r="52" spans="1:13">
      <c r="A52" s="20" t="s">
        <v>238</v>
      </c>
      <c r="B52" s="209">
        <f t="shared" ref="B52" si="15">B50/B51</f>
        <v>100.12897421001274</v>
      </c>
      <c r="C52" s="209">
        <f>C50/C51</f>
        <v>129.81457487844909</v>
      </c>
      <c r="D52" s="209">
        <f>D50/D51</f>
        <v>150.7317623246247</v>
      </c>
      <c r="E52" s="209">
        <f>E50/E51</f>
        <v>159.19619385847389</v>
      </c>
      <c r="F52" s="250">
        <f>F50/F51</f>
        <v>213.16588306796567</v>
      </c>
      <c r="G52" s="210">
        <f>F52*(1.08)</f>
        <v>230.21915371340293</v>
      </c>
      <c r="H52" s="210">
        <f t="shared" ref="H52:K52" si="16">G52*(1.08)</f>
        <v>248.63668601047519</v>
      </c>
      <c r="I52" s="210">
        <f t="shared" si="16"/>
        <v>268.52762089131323</v>
      </c>
      <c r="J52" s="210">
        <f t="shared" si="16"/>
        <v>290.00983056261833</v>
      </c>
      <c r="K52" s="210">
        <f t="shared" si="16"/>
        <v>313.21061700762783</v>
      </c>
      <c r="M52" s="204" t="s">
        <v>239</v>
      </c>
    </row>
    <row r="53" spans="1:13">
      <c r="A53" s="20"/>
      <c r="B53" s="197"/>
      <c r="C53" s="197"/>
      <c r="D53" s="197"/>
      <c r="E53" s="197"/>
      <c r="F53" s="174"/>
      <c r="G53" s="120"/>
      <c r="H53" s="120"/>
      <c r="I53" s="120"/>
      <c r="J53" s="120"/>
      <c r="K53" s="120"/>
      <c r="M53" s="204"/>
    </row>
    <row r="54" spans="1:13">
      <c r="A54" s="2"/>
      <c r="B54" s="54"/>
      <c r="C54" s="54"/>
      <c r="D54" s="54"/>
      <c r="E54" s="54"/>
      <c r="F54" s="174"/>
      <c r="G54" s="125"/>
      <c r="H54" s="125"/>
      <c r="I54" s="125"/>
      <c r="J54" s="125"/>
      <c r="K54" s="125"/>
      <c r="M54" s="161"/>
    </row>
    <row r="55" spans="1:13" ht="30">
      <c r="A55" s="69" t="s">
        <v>159</v>
      </c>
      <c r="B55" s="70" t="s">
        <v>0</v>
      </c>
      <c r="C55" s="70" t="s">
        <v>95</v>
      </c>
      <c r="D55" s="70" t="s">
        <v>93</v>
      </c>
      <c r="E55" s="70" t="s">
        <v>92</v>
      </c>
      <c r="F55" s="244" t="s">
        <v>91</v>
      </c>
      <c r="G55" s="70" t="s">
        <v>179</v>
      </c>
      <c r="H55" s="70" t="s">
        <v>240</v>
      </c>
      <c r="I55" s="70" t="s">
        <v>241</v>
      </c>
      <c r="J55" s="70" t="s">
        <v>242</v>
      </c>
      <c r="K55" s="70" t="s">
        <v>243</v>
      </c>
      <c r="M55" s="211"/>
    </row>
    <row r="56" spans="1:13">
      <c r="A56" s="1" t="s">
        <v>25</v>
      </c>
      <c r="E56" t="s">
        <v>94</v>
      </c>
      <c r="F56" s="169" t="s">
        <v>94</v>
      </c>
    </row>
    <row r="57" spans="1:13">
      <c r="A57" s="18" t="s">
        <v>26</v>
      </c>
      <c r="B57" s="48">
        <f>B3/B$13</f>
        <v>7.6333438054165773E-2</v>
      </c>
      <c r="C57" s="48">
        <f>C3/C$13</f>
        <v>6.0594356907742189E-2</v>
      </c>
      <c r="D57" s="48">
        <f>D3/D$13</f>
        <v>0.12527446534626901</v>
      </c>
      <c r="E57" s="48">
        <f>E3/E$13</f>
        <v>3.1623001833132589E-2</v>
      </c>
      <c r="F57" s="251">
        <f>F3/F$13</f>
        <v>4.2368858013922962E-2</v>
      </c>
      <c r="G57" s="251">
        <f t="shared" ref="G57:K57" si="17">G3/G$13</f>
        <v>5.4801425259696071E-2</v>
      </c>
      <c r="H57" s="251">
        <f t="shared" si="17"/>
        <v>8.0584082691121287E-2</v>
      </c>
      <c r="I57" s="251">
        <f t="shared" si="17"/>
        <v>0.13108309657034681</v>
      </c>
      <c r="J57" s="251">
        <f t="shared" si="17"/>
        <v>0.1762032302755567</v>
      </c>
      <c r="K57" s="251">
        <f t="shared" si="17"/>
        <v>0.21642919263766311</v>
      </c>
    </row>
    <row r="58" spans="1:13">
      <c r="A58" s="18" t="s">
        <v>90</v>
      </c>
      <c r="B58" s="48"/>
      <c r="C58" s="48"/>
      <c r="D58" s="48"/>
      <c r="E58" s="48"/>
      <c r="F58" s="251"/>
      <c r="G58" s="251"/>
      <c r="H58" s="251"/>
      <c r="I58" s="251"/>
      <c r="J58" s="251"/>
      <c r="K58" s="251"/>
    </row>
    <row r="59" spans="1:13">
      <c r="A59" s="18" t="s">
        <v>27</v>
      </c>
      <c r="B59" s="48">
        <f t="shared" ref="B59:F68" si="18">B4/B$13</f>
        <v>7.7131436761166405E-2</v>
      </c>
      <c r="C59" s="48">
        <f t="shared" si="18"/>
        <v>6.9838011546122764E-2</v>
      </c>
      <c r="D59" s="48">
        <f t="shared" si="18"/>
        <v>6.7372256099397218E-2</v>
      </c>
      <c r="E59" s="48">
        <f t="shared" si="18"/>
        <v>6.448800454004526E-2</v>
      </c>
      <c r="F59" s="251">
        <f t="shared" si="18"/>
        <v>6.4957045599434465E-2</v>
      </c>
      <c r="G59" s="251">
        <f t="shared" ref="G59:K59" si="19">G4/G$13</f>
        <v>6.5198756963879154E-2</v>
      </c>
      <c r="H59" s="251">
        <f t="shared" si="19"/>
        <v>6.3210450516872074E-2</v>
      </c>
      <c r="I59" s="251">
        <f t="shared" si="19"/>
        <v>6.0083325748676017E-2</v>
      </c>
      <c r="J59" s="251">
        <f t="shared" si="19"/>
        <v>5.726722188453455E-2</v>
      </c>
      <c r="K59" s="251">
        <f t="shared" si="19"/>
        <v>5.4704566676861452E-2</v>
      </c>
    </row>
    <row r="60" spans="1:13">
      <c r="A60" s="18" t="s">
        <v>28</v>
      </c>
      <c r="B60" s="48">
        <f t="shared" si="18"/>
        <v>0.101892374679022</v>
      </c>
      <c r="C60" s="48">
        <f t="shared" si="18"/>
        <v>0.1001488257019469</v>
      </c>
      <c r="D60" s="48">
        <f t="shared" si="18"/>
        <v>0.10558731559723145</v>
      </c>
      <c r="E60" s="48">
        <f t="shared" si="18"/>
        <v>9.4937482658615624E-2</v>
      </c>
      <c r="F60" s="251">
        <f t="shared" si="18"/>
        <v>0.10714570154592001</v>
      </c>
      <c r="G60" s="251">
        <f t="shared" ref="G60:K60" si="20">G5/G$13</f>
        <v>0.10431801114220667</v>
      </c>
      <c r="H60" s="251">
        <f t="shared" si="20"/>
        <v>0.10023371439103999</v>
      </c>
      <c r="I60" s="251">
        <f t="shared" si="20"/>
        <v>9.4416654747919451E-2</v>
      </c>
      <c r="J60" s="251">
        <f t="shared" si="20"/>
        <v>8.9173245505918083E-2</v>
      </c>
      <c r="K60" s="251">
        <f t="shared" si="20"/>
        <v>8.5182825253969988E-2</v>
      </c>
    </row>
    <row r="61" spans="1:13">
      <c r="A61" s="19" t="s">
        <v>29</v>
      </c>
      <c r="B61" s="52">
        <f t="shared" si="18"/>
        <v>3.5331467398500849E-2</v>
      </c>
      <c r="C61" s="52">
        <f t="shared" si="18"/>
        <v>2.9492426350318381E-2</v>
      </c>
      <c r="D61" s="52">
        <f t="shared" si="18"/>
        <v>2.7867095860694087E-2</v>
      </c>
      <c r="E61" s="52">
        <f t="shared" si="18"/>
        <v>2.4679148973932676E-2</v>
      </c>
      <c r="F61" s="252">
        <f t="shared" si="18"/>
        <v>2.486066991694082E-2</v>
      </c>
      <c r="G61" s="252">
        <f t="shared" ref="G61:K61" si="21">G6/G$13</f>
        <v>2.5264518323503175E-2</v>
      </c>
      <c r="H61" s="252">
        <f t="shared" si="21"/>
        <v>2.4336023448995745E-2</v>
      </c>
      <c r="I61" s="252">
        <f t="shared" si="21"/>
        <v>2.2981872098868573E-2</v>
      </c>
      <c r="J61" s="252">
        <f t="shared" si="21"/>
        <v>2.1761544316123125E-2</v>
      </c>
      <c r="K61" s="252">
        <f t="shared" si="21"/>
        <v>2.0787735337207354E-2</v>
      </c>
    </row>
    <row r="62" spans="1:13">
      <c r="A62" s="20" t="s">
        <v>30</v>
      </c>
      <c r="B62" s="48">
        <f t="shared" si="18"/>
        <v>0.29068871689285503</v>
      </c>
      <c r="C62" s="48">
        <f t="shared" si="18"/>
        <v>0.26007362050613025</v>
      </c>
      <c r="D62" s="48">
        <f t="shared" si="18"/>
        <v>0.32610113290359177</v>
      </c>
      <c r="E62" s="48">
        <f t="shared" si="18"/>
        <v>0.21572763800572614</v>
      </c>
      <c r="F62" s="251">
        <f t="shared" si="18"/>
        <v>0.23933227507621826</v>
      </c>
      <c r="G62" s="251">
        <f t="shared" ref="G62:K62" si="22">G7/G$13</f>
        <v>0.24958271168928506</v>
      </c>
      <c r="H62" s="251">
        <f t="shared" si="22"/>
        <v>0.26836427104802912</v>
      </c>
      <c r="I62" s="251">
        <f t="shared" si="22"/>
        <v>0.30856494916581084</v>
      </c>
      <c r="J62" s="251">
        <f t="shared" si="22"/>
        <v>0.34440524198213246</v>
      </c>
      <c r="K62" s="251">
        <f t="shared" si="22"/>
        <v>0.37710431990570187</v>
      </c>
    </row>
    <row r="63" spans="1:13">
      <c r="A63" s="23" t="s">
        <v>31</v>
      </c>
      <c r="B63" s="48">
        <f t="shared" si="18"/>
        <v>0.2765530921638526</v>
      </c>
      <c r="C63" s="48">
        <f t="shared" si="18"/>
        <v>0.26450055556272145</v>
      </c>
      <c r="D63" s="48">
        <f t="shared" si="18"/>
        <v>0.2502511814425234</v>
      </c>
      <c r="E63" s="48">
        <f t="shared" si="18"/>
        <v>0.24837971804505682</v>
      </c>
      <c r="F63" s="251">
        <f t="shared" si="18"/>
        <v>0.25296808240522722</v>
      </c>
      <c r="G63" s="251">
        <f t="shared" ref="G63:K63" si="23">G8/G$13</f>
        <v>0.28811994891241138</v>
      </c>
      <c r="H63" s="251">
        <f t="shared" si="23"/>
        <v>0.30458987872483195</v>
      </c>
      <c r="I63" s="251">
        <f t="shared" si="23"/>
        <v>0.30176517911697598</v>
      </c>
      <c r="J63" s="251">
        <f t="shared" si="23"/>
        <v>0.29886835063417067</v>
      </c>
      <c r="K63" s="251">
        <f t="shared" si="23"/>
        <v>0.29554810855058</v>
      </c>
    </row>
    <row r="64" spans="1:13">
      <c r="A64" s="23" t="s">
        <v>32</v>
      </c>
      <c r="B64" s="48">
        <f t="shared" si="18"/>
        <v>0.23381777536602527</v>
      </c>
      <c r="C64" s="48">
        <f t="shared" si="18"/>
        <v>0.24396297722653507</v>
      </c>
      <c r="D64" s="48">
        <f t="shared" si="18"/>
        <v>0.21772325307755441</v>
      </c>
      <c r="E64" s="48">
        <f t="shared" si="18"/>
        <v>0.25289239164978189</v>
      </c>
      <c r="F64" s="251">
        <f t="shared" si="18"/>
        <v>0.23810383219378892</v>
      </c>
      <c r="G64" s="251">
        <f t="shared" ref="G64:K64" si="24">G9/G$13</f>
        <v>0.21698248480283489</v>
      </c>
      <c r="H64" s="251">
        <f t="shared" si="24"/>
        <v>0.20139727653096956</v>
      </c>
      <c r="I64" s="251">
        <f t="shared" si="24"/>
        <v>0.18492849210324813</v>
      </c>
      <c r="J64" s="251">
        <f t="shared" si="24"/>
        <v>0.17047108715493908</v>
      </c>
      <c r="K64" s="251">
        <f t="shared" si="24"/>
        <v>0.15748708865797126</v>
      </c>
    </row>
    <row r="65" spans="1:11">
      <c r="A65" s="23" t="s">
        <v>33</v>
      </c>
      <c r="B65" s="48">
        <f t="shared" si="18"/>
        <v>0.16594686239942255</v>
      </c>
      <c r="C65" s="48">
        <f t="shared" si="18"/>
        <v>0.16475441302295527</v>
      </c>
      <c r="D65" s="48">
        <f t="shared" si="18"/>
        <v>0.14183486469601708</v>
      </c>
      <c r="E65" s="48">
        <f t="shared" si="18"/>
        <v>0.19569177825578399</v>
      </c>
      <c r="F65" s="251">
        <f t="shared" si="18"/>
        <v>0.17958729799192971</v>
      </c>
      <c r="G65" s="251">
        <f t="shared" ref="G65:K65" si="25">G10/G$13</f>
        <v>0.15706068244828278</v>
      </c>
      <c r="H65" s="251">
        <f t="shared" si="25"/>
        <v>0.13970215423912347</v>
      </c>
      <c r="I65" s="251">
        <f t="shared" si="25"/>
        <v>0.12269797564366212</v>
      </c>
      <c r="J65" s="251">
        <f t="shared" si="25"/>
        <v>0.10796462080087145</v>
      </c>
      <c r="K65" s="251">
        <f t="shared" si="25"/>
        <v>9.5058020158290152E-2</v>
      </c>
    </row>
    <row r="66" spans="1:11">
      <c r="A66" s="23" t="s">
        <v>34</v>
      </c>
      <c r="B66" s="48">
        <f t="shared" si="18"/>
        <v>3.2842183974596977E-2</v>
      </c>
      <c r="C66" s="48">
        <f t="shared" si="18"/>
        <v>6.2896210810409081E-2</v>
      </c>
      <c r="D66" s="48">
        <f t="shared" si="18"/>
        <v>6.0873459853950651E-2</v>
      </c>
      <c r="E66" s="48">
        <f t="shared" si="18"/>
        <v>8.3382994480241557E-2</v>
      </c>
      <c r="F66" s="251">
        <f t="shared" si="18"/>
        <v>8.6309666247138955E-2</v>
      </c>
      <c r="G66" s="251">
        <f t="shared" ref="G66:K66" si="26">G11/G$13</f>
        <v>8.3826973239273184E-2</v>
      </c>
      <c r="H66" s="251">
        <f t="shared" si="26"/>
        <v>8.1270579235978357E-2</v>
      </c>
      <c r="I66" s="251">
        <f t="shared" si="26"/>
        <v>7.724999024829772E-2</v>
      </c>
      <c r="J66" s="251">
        <f t="shared" si="26"/>
        <v>7.3629285280115836E-2</v>
      </c>
      <c r="K66" s="251">
        <f t="shared" si="26"/>
        <v>7.0334442870250424E-2</v>
      </c>
    </row>
    <row r="67" spans="1:11">
      <c r="A67" s="23" t="s">
        <v>35</v>
      </c>
      <c r="B67" s="48">
        <f t="shared" si="18"/>
        <v>1.5136920324755745E-4</v>
      </c>
      <c r="C67" s="48">
        <f t="shared" si="18"/>
        <v>3.812222871248877E-3</v>
      </c>
      <c r="D67" s="48">
        <f t="shared" si="18"/>
        <v>3.2161080263626903E-3</v>
      </c>
      <c r="E67" s="48">
        <f t="shared" si="18"/>
        <v>3.9254795634096097E-3</v>
      </c>
      <c r="F67" s="251">
        <f t="shared" si="18"/>
        <v>3.6988460856969062E-3</v>
      </c>
      <c r="G67" s="251">
        <f t="shared" ref="G67:K67" si="27">G12/G$13</f>
        <v>4.427198907912577E-3</v>
      </c>
      <c r="H67" s="251">
        <f t="shared" si="27"/>
        <v>4.6758402210675155E-3</v>
      </c>
      <c r="I67" s="251">
        <f t="shared" si="27"/>
        <v>4.7934137220052679E-3</v>
      </c>
      <c r="J67" s="251">
        <f t="shared" si="27"/>
        <v>4.6614141477704261E-3</v>
      </c>
      <c r="K67" s="251">
        <f t="shared" si="27"/>
        <v>4.4680198572062462E-3</v>
      </c>
    </row>
    <row r="68" spans="1:11" ht="14.7" thickBot="1">
      <c r="A68" s="22" t="s">
        <v>36</v>
      </c>
      <c r="B68" s="53">
        <f t="shared" si="18"/>
        <v>1</v>
      </c>
      <c r="C68" s="53">
        <f t="shared" si="18"/>
        <v>1</v>
      </c>
      <c r="D68" s="53">
        <f t="shared" si="18"/>
        <v>1</v>
      </c>
      <c r="E68" s="53">
        <f t="shared" si="18"/>
        <v>1</v>
      </c>
      <c r="F68" s="253">
        <f t="shared" si="18"/>
        <v>1</v>
      </c>
      <c r="G68" s="253">
        <f t="shared" ref="G68:K68" si="28">G13/G$13</f>
        <v>1</v>
      </c>
      <c r="H68" s="253">
        <f t="shared" si="28"/>
        <v>1</v>
      </c>
      <c r="I68" s="253">
        <f t="shared" si="28"/>
        <v>1</v>
      </c>
      <c r="J68" s="253">
        <f t="shared" si="28"/>
        <v>1</v>
      </c>
      <c r="K68" s="253">
        <f t="shared" si="28"/>
        <v>1</v>
      </c>
    </row>
    <row r="69" spans="1:11">
      <c r="A69" s="24" t="s">
        <v>37</v>
      </c>
      <c r="B69" s="54"/>
      <c r="C69" s="54"/>
      <c r="D69" s="54"/>
      <c r="E69" s="54"/>
      <c r="F69" s="174"/>
      <c r="G69" s="174"/>
      <c r="H69" s="174"/>
      <c r="I69" s="174"/>
      <c r="J69" s="174"/>
      <c r="K69" s="174"/>
    </row>
    <row r="70" spans="1:11">
      <c r="A70" s="18" t="s">
        <v>38</v>
      </c>
      <c r="B70" s="48">
        <f t="shared" ref="B70:F79" si="29">B15/B$13</f>
        <v>6.5210008542104264E-2</v>
      </c>
      <c r="C70" s="48">
        <f t="shared" si="29"/>
        <v>6.7666003922414078E-2</v>
      </c>
      <c r="D70" s="48">
        <f t="shared" si="29"/>
        <v>6.3520351035305567E-2</v>
      </c>
      <c r="E70" s="48">
        <f t="shared" si="29"/>
        <v>6.6492762213977E-2</v>
      </c>
      <c r="F70" s="251">
        <f t="shared" si="29"/>
        <v>8.8644986400360948E-2</v>
      </c>
      <c r="G70" s="251">
        <f t="shared" ref="G70:K70" si="30">G15/G$13</f>
        <v>8.6621205680582306E-2</v>
      </c>
      <c r="H70" s="251">
        <f t="shared" si="30"/>
        <v>8.3437794682271124E-2</v>
      </c>
      <c r="I70" s="251">
        <f t="shared" si="30"/>
        <v>7.879499005326368E-2</v>
      </c>
      <c r="J70" s="251">
        <f t="shared" si="30"/>
        <v>7.461100908385071E-2</v>
      </c>
      <c r="K70" s="251">
        <f t="shared" si="30"/>
        <v>7.1272235441853765E-2</v>
      </c>
    </row>
    <row r="71" spans="1:11">
      <c r="A71" s="18" t="s">
        <v>39</v>
      </c>
      <c r="B71" s="48">
        <f t="shared" si="29"/>
        <v>8.8168406676861807E-2</v>
      </c>
      <c r="C71" s="48">
        <f t="shared" si="29"/>
        <v>8.6282299569001256E-2</v>
      </c>
      <c r="D71" s="48">
        <f t="shared" si="29"/>
        <v>8.5608767998142765E-2</v>
      </c>
      <c r="E71" s="48">
        <f t="shared" si="29"/>
        <v>8.2176240615483842E-2</v>
      </c>
      <c r="F71" s="251">
        <f t="shared" si="29"/>
        <v>7.6037235062773892E-2</v>
      </c>
      <c r="G71" s="251">
        <f t="shared" ref="G71:K71" si="31">G16/G$13</f>
        <v>7.5793554970509519E-2</v>
      </c>
      <c r="H71" s="251">
        <f t="shared" si="31"/>
        <v>7.3008070346987225E-2</v>
      </c>
      <c r="I71" s="251">
        <f t="shared" si="31"/>
        <v>6.8945616296605713E-2</v>
      </c>
      <c r="J71" s="251">
        <f t="shared" si="31"/>
        <v>6.5284632948369364E-2</v>
      </c>
      <c r="K71" s="251">
        <f t="shared" si="31"/>
        <v>6.2363206011622055E-2</v>
      </c>
    </row>
    <row r="72" spans="1:11">
      <c r="A72" s="18" t="s">
        <v>40</v>
      </c>
      <c r="B72" s="48">
        <f t="shared" si="29"/>
        <v>4.3843843064148864E-3</v>
      </c>
      <c r="C72" s="48">
        <f t="shared" si="29"/>
        <v>2.447178546004217E-3</v>
      </c>
      <c r="D72" s="48">
        <f t="shared" si="29"/>
        <v>1.867202082383133E-3</v>
      </c>
      <c r="E72" s="48">
        <f t="shared" si="29"/>
        <v>2.9484555231246791E-4</v>
      </c>
      <c r="F72" s="251">
        <f t="shared" si="29"/>
        <v>6.1285143056512021E-4</v>
      </c>
      <c r="G72" s="251">
        <f t="shared" ref="G72:K72" si="32">G17/G$13</f>
        <v>7.3786648465209623E-4</v>
      </c>
      <c r="H72" s="251">
        <f t="shared" si="32"/>
        <v>7.7930670351125284E-4</v>
      </c>
      <c r="I72" s="251">
        <f t="shared" si="32"/>
        <v>7.9890228700087813E-4</v>
      </c>
      <c r="J72" s="251">
        <f t="shared" si="32"/>
        <v>7.7690235796173783E-4</v>
      </c>
      <c r="K72" s="251">
        <f t="shared" si="32"/>
        <v>7.44669976201041E-4</v>
      </c>
    </row>
    <row r="73" spans="1:11">
      <c r="A73" s="18" t="s">
        <v>41</v>
      </c>
      <c r="B73" s="48">
        <f t="shared" si="29"/>
        <v>0.15551420092379353</v>
      </c>
      <c r="C73" s="48">
        <f t="shared" si="29"/>
        <v>3.965655229260988E-3</v>
      </c>
      <c r="D73" s="48">
        <f t="shared" si="29"/>
        <v>8.1080000810351029E-3</v>
      </c>
      <c r="E73" s="48">
        <f t="shared" si="29"/>
        <v>9.0223027130304737E-2</v>
      </c>
      <c r="F73" s="251">
        <f t="shared" si="29"/>
        <v>6.336664590339415E-2</v>
      </c>
      <c r="G73" s="251">
        <f t="shared" ref="G73:K73" si="33">G18/G$13</f>
        <v>6.2424092927585335E-2</v>
      </c>
      <c r="H73" s="251">
        <f t="shared" si="33"/>
        <v>3.8626903662925177E-2</v>
      </c>
      <c r="I73" s="251">
        <f t="shared" si="33"/>
        <v>3.546828026695658E-2</v>
      </c>
      <c r="J73" s="251">
        <f t="shared" si="33"/>
        <v>3.2695428529468676E-2</v>
      </c>
      <c r="K73" s="251">
        <f t="shared" si="33"/>
        <v>3.0205168145908727E-2</v>
      </c>
    </row>
    <row r="74" spans="1:11">
      <c r="A74" s="19" t="s">
        <v>42</v>
      </c>
      <c r="B74" s="52">
        <f t="shared" si="29"/>
        <v>6.9933610454081649E-4</v>
      </c>
      <c r="C74" s="52">
        <f t="shared" si="29"/>
        <v>8.6407354925651644E-2</v>
      </c>
      <c r="D74" s="52">
        <f t="shared" si="29"/>
        <v>4.8054801630995708E-2</v>
      </c>
      <c r="E74" s="52">
        <f t="shared" si="29"/>
        <v>2.7314030969923734E-4</v>
      </c>
      <c r="F74" s="252">
        <f t="shared" si="29"/>
        <v>6.8827325684411647E-2</v>
      </c>
      <c r="G74" s="252">
        <f t="shared" ref="G74:K74" si="34">G19/G$13</f>
        <v>4.1616061951723557E-2</v>
      </c>
      <c r="H74" s="252">
        <f t="shared" si="34"/>
        <v>3.8626903662925177E-2</v>
      </c>
      <c r="I74" s="252">
        <f t="shared" si="34"/>
        <v>3.546828026695658E-2</v>
      </c>
      <c r="J74" s="252">
        <f t="shared" si="34"/>
        <v>3.2695428529468676E-2</v>
      </c>
      <c r="K74" s="252">
        <f t="shared" si="34"/>
        <v>3.0205168145908727E-2</v>
      </c>
    </row>
    <row r="75" spans="1:11">
      <c r="A75" s="20" t="s">
        <v>43</v>
      </c>
      <c r="B75" s="48">
        <f t="shared" si="29"/>
        <v>0.31397633655371532</v>
      </c>
      <c r="C75" s="48">
        <f t="shared" si="29"/>
        <v>0.24676849219233218</v>
      </c>
      <c r="D75" s="48">
        <f t="shared" si="29"/>
        <v>0.20715912282786228</v>
      </c>
      <c r="E75" s="48">
        <f t="shared" si="29"/>
        <v>0.23946001582177728</v>
      </c>
      <c r="F75" s="251">
        <f t="shared" si="29"/>
        <v>0.29748904448150576</v>
      </c>
      <c r="G75" s="251">
        <f t="shared" ref="G75:K75" si="35">G20/G$13</f>
        <v>0.26719278201505281</v>
      </c>
      <c r="H75" s="251">
        <f t="shared" si="35"/>
        <v>0.23447897905861995</v>
      </c>
      <c r="I75" s="251">
        <f t="shared" si="35"/>
        <v>0.21947606917078347</v>
      </c>
      <c r="J75" s="251">
        <f t="shared" si="35"/>
        <v>0.20606340144911914</v>
      </c>
      <c r="K75" s="251">
        <f t="shared" si="35"/>
        <v>0.19479044772149431</v>
      </c>
    </row>
    <row r="76" spans="1:11">
      <c r="A76" s="23" t="s">
        <v>44</v>
      </c>
      <c r="B76" s="48">
        <f t="shared" si="29"/>
        <v>0.422468070964375</v>
      </c>
      <c r="C76" s="48">
        <f t="shared" si="29"/>
        <v>0.43373976324244706</v>
      </c>
      <c r="D76" s="48">
        <f t="shared" si="29"/>
        <v>0.44785637513558324</v>
      </c>
      <c r="E76" s="48">
        <f t="shared" si="29"/>
        <v>0.39248332081760384</v>
      </c>
      <c r="F76" s="251">
        <f t="shared" si="29"/>
        <v>0.3054189401232279</v>
      </c>
      <c r="G76" s="251">
        <f t="shared" ref="G76:K76" si="36">G21/G$13</f>
        <v>0.29928305130409566</v>
      </c>
      <c r="H76" s="251">
        <f t="shared" si="36"/>
        <v>0.292686043652918</v>
      </c>
      <c r="I76" s="251">
        <f t="shared" si="36"/>
        <v>0.27905233559682363</v>
      </c>
      <c r="J76" s="251">
        <f t="shared" si="36"/>
        <v>0.26705372161693824</v>
      </c>
      <c r="K76" s="251">
        <f t="shared" si="36"/>
        <v>0.25609139387443358</v>
      </c>
    </row>
    <row r="77" spans="1:11">
      <c r="A77" s="23" t="s">
        <v>45</v>
      </c>
      <c r="B77" s="48">
        <f t="shared" si="29"/>
        <v>5.7905600660520161E-2</v>
      </c>
      <c r="C77" s="48">
        <f t="shared" si="29"/>
        <v>8.0558375852768815E-2</v>
      </c>
      <c r="D77" s="48">
        <f t="shared" si="29"/>
        <v>7.4840735908241987E-2</v>
      </c>
      <c r="E77" s="48">
        <f t="shared" si="29"/>
        <v>7.5589755932230079E-2</v>
      </c>
      <c r="F77" s="251">
        <f t="shared" si="29"/>
        <v>6.5736946995201315E-2</v>
      </c>
      <c r="G77" s="251">
        <f t="shared" ref="G77:K77" si="37">G22/G$13</f>
        <v>6.4965904260436733E-2</v>
      </c>
      <c r="H77" s="251">
        <f t="shared" si="37"/>
        <v>6.257834601170334E-2</v>
      </c>
      <c r="I77" s="251">
        <f t="shared" si="37"/>
        <v>5.9096242539947753E-2</v>
      </c>
      <c r="J77" s="251">
        <f t="shared" si="37"/>
        <v>5.5958256812888033E-2</v>
      </c>
      <c r="K77" s="251">
        <f t="shared" si="37"/>
        <v>5.3454176581390331E-2</v>
      </c>
    </row>
    <row r="78" spans="1:11">
      <c r="A78" s="23" t="s">
        <v>35</v>
      </c>
      <c r="B78" s="48">
        <f t="shared" si="29"/>
        <v>2.295982614610893E-2</v>
      </c>
      <c r="C78" s="48">
        <f t="shared" si="29"/>
        <v>2.457104354272735E-2</v>
      </c>
      <c r="D78" s="48">
        <f t="shared" si="29"/>
        <v>2.5080145359453649E-2</v>
      </c>
      <c r="E78" s="48">
        <f t="shared" si="29"/>
        <v>2.7660162360977202E-2</v>
      </c>
      <c r="F78" s="251">
        <f t="shared" si="29"/>
        <v>2.9994373822932519E-2</v>
      </c>
      <c r="G78" s="251">
        <f t="shared" ref="G78:K78" si="38">G23/G$13</f>
        <v>2.9514659386083848E-2</v>
      </c>
      <c r="H78" s="251">
        <f t="shared" si="38"/>
        <v>3.1172268140450109E-2</v>
      </c>
      <c r="I78" s="251">
        <f t="shared" si="38"/>
        <v>3.1956091480035129E-2</v>
      </c>
      <c r="J78" s="251">
        <f t="shared" si="38"/>
        <v>3.107609431846951E-2</v>
      </c>
      <c r="K78" s="251">
        <f t="shared" si="38"/>
        <v>2.9786799048041639E-2</v>
      </c>
    </row>
    <row r="79" spans="1:11">
      <c r="A79" s="21" t="s">
        <v>46</v>
      </c>
      <c r="B79" s="55">
        <f t="shared" si="29"/>
        <v>0.81730983432471938</v>
      </c>
      <c r="C79" s="55">
        <f t="shared" si="29"/>
        <v>0.78563767483027547</v>
      </c>
      <c r="D79" s="55">
        <f t="shared" si="29"/>
        <v>0.7549363792311411</v>
      </c>
      <c r="E79" s="55">
        <f t="shared" si="29"/>
        <v>0.73519325493258847</v>
      </c>
      <c r="F79" s="254">
        <f t="shared" si="29"/>
        <v>0.69863930542286745</v>
      </c>
      <c r="G79" s="254">
        <f t="shared" ref="G79:K79" si="39">G24/G$13</f>
        <v>0.66095639696566899</v>
      </c>
      <c r="H79" s="254">
        <f t="shared" si="39"/>
        <v>0.62091563686369144</v>
      </c>
      <c r="I79" s="254">
        <f t="shared" si="39"/>
        <v>0.58958073878758999</v>
      </c>
      <c r="J79" s="254">
        <f t="shared" si="39"/>
        <v>0.56015147419741484</v>
      </c>
      <c r="K79" s="254">
        <f t="shared" si="39"/>
        <v>0.53412281722535981</v>
      </c>
    </row>
    <row r="80" spans="1:11">
      <c r="A80" s="1" t="s">
        <v>47</v>
      </c>
      <c r="B80" s="54"/>
      <c r="C80" s="54"/>
      <c r="D80" s="54"/>
      <c r="E80" s="54"/>
      <c r="F80" s="174"/>
      <c r="G80" s="174"/>
      <c r="H80" s="174"/>
      <c r="I80" s="174"/>
      <c r="J80" s="174"/>
      <c r="K80" s="174"/>
    </row>
    <row r="81" spans="1:13">
      <c r="A81" s="2" t="s">
        <v>1</v>
      </c>
      <c r="B81" s="48">
        <f t="shared" ref="B81:F91" si="40">B26/B$13</f>
        <v>3.8853203029461172E-2</v>
      </c>
      <c r="C81" s="48">
        <f t="shared" si="40"/>
        <v>1.9770416546125835E-2</v>
      </c>
      <c r="D81" s="48">
        <f t="shared" si="40"/>
        <v>1.7623930322952262E-2</v>
      </c>
      <c r="E81" s="48">
        <f t="shared" si="40"/>
        <v>1.5456725844826148E-2</v>
      </c>
      <c r="F81" s="251">
        <f t="shared" si="40"/>
        <v>1.4927544703447496E-2</v>
      </c>
      <c r="G81" s="251">
        <f t="shared" ref="G81:K81" si="41">G26/G$13</f>
        <v>1.3603375098655493E-2</v>
      </c>
      <c r="H81" s="251">
        <f t="shared" si="41"/>
        <v>1.2626285015529657E-2</v>
      </c>
      <c r="I81" s="251">
        <f t="shared" si="41"/>
        <v>1.1593800517102234E-2</v>
      </c>
      <c r="J81" s="251">
        <f t="shared" si="41"/>
        <v>1.0687416286855661E-2</v>
      </c>
      <c r="K81" s="251">
        <f t="shared" si="41"/>
        <v>9.8734049531983541E-3</v>
      </c>
    </row>
    <row r="82" spans="1:13">
      <c r="A82" s="2" t="s">
        <v>2</v>
      </c>
      <c r="B82" s="48">
        <f t="shared" si="40"/>
        <v>7.8688618230252552E-3</v>
      </c>
      <c r="C82" s="48">
        <f t="shared" si="40"/>
        <v>7.4460760196526088E-3</v>
      </c>
      <c r="D82" s="48">
        <f t="shared" si="40"/>
        <v>6.6376509894769346E-3</v>
      </c>
      <c r="E82" s="48">
        <f t="shared" si="40"/>
        <v>5.8214229015856444E-3</v>
      </c>
      <c r="F82" s="251">
        <f t="shared" si="40"/>
        <v>5.3077865925277795E-3</v>
      </c>
      <c r="G82" s="251">
        <f t="shared" ref="G82:K82" si="42">G27/G$13</f>
        <v>4.8369516485249255E-3</v>
      </c>
      <c r="H82" s="251">
        <f t="shared" si="42"/>
        <v>4.4895277589344675E-3</v>
      </c>
      <c r="I82" s="251">
        <f t="shared" si="42"/>
        <v>4.1224072788678297E-3</v>
      </c>
      <c r="J82" s="251">
        <f t="shared" si="42"/>
        <v>3.8001242671230851E-3</v>
      </c>
      <c r="K82" s="251">
        <f t="shared" si="42"/>
        <v>3.5106862832626796E-3</v>
      </c>
    </row>
    <row r="83" spans="1:13">
      <c r="A83" s="2" t="s">
        <v>96</v>
      </c>
      <c r="B83" s="48">
        <f t="shared" si="40"/>
        <v>0</v>
      </c>
      <c r="C83" s="48">
        <f t="shared" si="40"/>
        <v>0</v>
      </c>
      <c r="D83" s="48">
        <f t="shared" si="40"/>
        <v>0</v>
      </c>
      <c r="E83" s="48">
        <f t="shared" si="40"/>
        <v>0</v>
      </c>
      <c r="F83" s="251">
        <f t="shared" si="40"/>
        <v>0</v>
      </c>
      <c r="G83" s="251">
        <f t="shared" ref="G83:K83" si="43">G28/G$13</f>
        <v>0</v>
      </c>
      <c r="H83" s="251">
        <f t="shared" si="43"/>
        <v>0</v>
      </c>
      <c r="I83" s="251">
        <f t="shared" si="43"/>
        <v>0</v>
      </c>
      <c r="J83" s="251">
        <f t="shared" si="43"/>
        <v>0</v>
      </c>
      <c r="K83" s="251">
        <f t="shared" si="43"/>
        <v>0</v>
      </c>
    </row>
    <row r="84" spans="1:13">
      <c r="A84" s="2" t="s">
        <v>48</v>
      </c>
      <c r="B84" s="48">
        <f t="shared" si="40"/>
        <v>0.12750908085400273</v>
      </c>
      <c r="C84" s="48">
        <f t="shared" si="40"/>
        <v>0.14031382997999484</v>
      </c>
      <c r="D84" s="48">
        <f t="shared" si="40"/>
        <v>0.13044461442348179</v>
      </c>
      <c r="E84" s="48">
        <f t="shared" si="40"/>
        <v>0.12104331915033387</v>
      </c>
      <c r="F84" s="251">
        <f t="shared" si="40"/>
        <v>0.1184211631938419</v>
      </c>
      <c r="G84" s="251">
        <f t="shared" ref="G84:K84" si="44">G29/G$13</f>
        <v>0.10791644135374023</v>
      </c>
      <c r="H84" s="251">
        <f t="shared" si="44"/>
        <v>0.10016512347209246</v>
      </c>
      <c r="I84" s="251">
        <f t="shared" si="44"/>
        <v>9.1974358164576858E-2</v>
      </c>
      <c r="J84" s="251">
        <f t="shared" si="44"/>
        <v>8.4783954318620514E-2</v>
      </c>
      <c r="K84" s="251">
        <f t="shared" si="44"/>
        <v>7.8326350546554346E-2</v>
      </c>
    </row>
    <row r="85" spans="1:13">
      <c r="A85" s="2" t="s">
        <v>49</v>
      </c>
      <c r="B85" s="48">
        <f t="shared" si="40"/>
        <v>0.91289130756508485</v>
      </c>
      <c r="C85" s="48">
        <f t="shared" si="40"/>
        <v>0.1585255998019752</v>
      </c>
      <c r="D85" s="48">
        <f t="shared" si="40"/>
        <v>0.21120299348050695</v>
      </c>
      <c r="E85" s="48">
        <f t="shared" si="40"/>
        <v>0.26122509191353899</v>
      </c>
      <c r="F85" s="251">
        <f t="shared" si="40"/>
        <v>0.32786921330335139</v>
      </c>
      <c r="G85" s="251">
        <f t="shared" ref="G85:K85" si="45">G30/G$13</f>
        <v>0.38400867595555743</v>
      </c>
      <c r="H85" s="251">
        <f t="shared" si="45"/>
        <v>0.44013318007606661</v>
      </c>
      <c r="I85" s="251">
        <f t="shared" si="45"/>
        <v>0.4842100961325263</v>
      </c>
      <c r="J85" s="251">
        <f t="shared" si="45"/>
        <v>0.52421822904173698</v>
      </c>
      <c r="K85" s="251">
        <f t="shared" si="45"/>
        <v>0.55892341791374001</v>
      </c>
    </row>
    <row r="86" spans="1:13">
      <c r="A86" s="2" t="s">
        <v>97</v>
      </c>
      <c r="B86" s="48">
        <f t="shared" si="40"/>
        <v>-0.85922469369156518</v>
      </c>
      <c r="C86" s="48">
        <f t="shared" si="40"/>
        <v>-7.2605321977619028E-2</v>
      </c>
      <c r="D86" s="48">
        <f t="shared" si="40"/>
        <v>-8.4209926909622312E-2</v>
      </c>
      <c r="E86" s="48">
        <f t="shared" si="40"/>
        <v>-0.11480498271696046</v>
      </c>
      <c r="F86" s="251">
        <f t="shared" si="40"/>
        <v>-0.14211842006718534</v>
      </c>
      <c r="G86" s="251">
        <f t="shared" ref="G86:K86" si="46">G31/G$13</f>
        <v>-0.15031962950121869</v>
      </c>
      <c r="H86" s="251">
        <f t="shared" si="46"/>
        <v>-0.15883606822236079</v>
      </c>
      <c r="I86" s="251">
        <f t="shared" si="46"/>
        <v>-0.16358176575145925</v>
      </c>
      <c r="J86" s="251">
        <f t="shared" si="46"/>
        <v>-0.16714092697749858</v>
      </c>
      <c r="K86" s="251">
        <f t="shared" si="46"/>
        <v>-0.16951315553459226</v>
      </c>
    </row>
    <row r="87" spans="1:13">
      <c r="A87" s="2" t="s">
        <v>50</v>
      </c>
      <c r="B87" s="52">
        <f t="shared" si="40"/>
        <v>-4.6316899086332373E-2</v>
      </c>
      <c r="C87" s="52">
        <f t="shared" si="40"/>
        <v>-3.9797331701962868E-2</v>
      </c>
      <c r="D87" s="52">
        <f t="shared" si="40"/>
        <v>-3.7022310387440874E-2</v>
      </c>
      <c r="E87" s="52">
        <f t="shared" si="40"/>
        <v>-2.3934832025912602E-2</v>
      </c>
      <c r="F87" s="252">
        <f t="shared" si="40"/>
        <v>-2.3046593148850745E-2</v>
      </c>
      <c r="G87" s="252">
        <f t="shared" ref="G87:K87" si="47">G32/G$13</f>
        <v>-2.1002211520928522E-2</v>
      </c>
      <c r="H87" s="252">
        <f t="shared" si="47"/>
        <v>-1.9493684963953799E-2</v>
      </c>
      <c r="I87" s="252">
        <f t="shared" si="47"/>
        <v>-1.7899635129203912E-2</v>
      </c>
      <c r="J87" s="252">
        <f t="shared" si="47"/>
        <v>-1.6500271134252838E-2</v>
      </c>
      <c r="K87" s="252">
        <f t="shared" si="47"/>
        <v>-1.5243521387523174E-2</v>
      </c>
    </row>
    <row r="88" spans="1:13">
      <c r="A88" s="20" t="s">
        <v>51</v>
      </c>
      <c r="B88" s="48">
        <f t="shared" si="40"/>
        <v>0.1815808604936765</v>
      </c>
      <c r="C88" s="48">
        <f t="shared" si="40"/>
        <v>0.21365326866816658</v>
      </c>
      <c r="D88" s="48">
        <f t="shared" si="40"/>
        <v>0.24467695191935473</v>
      </c>
      <c r="E88" s="48">
        <f t="shared" si="40"/>
        <v>0.26480674506741159</v>
      </c>
      <c r="F88" s="251">
        <f t="shared" si="40"/>
        <v>0.30136069457713249</v>
      </c>
      <c r="G88" s="251">
        <f t="shared" ref="G88:K88" si="48">G33/G$13</f>
        <v>0.3390436030343309</v>
      </c>
      <c r="H88" s="251">
        <f t="shared" si="48"/>
        <v>0.37908436313630861</v>
      </c>
      <c r="I88" s="251">
        <f t="shared" si="48"/>
        <v>0.41041926121241007</v>
      </c>
      <c r="J88" s="251">
        <f t="shared" si="48"/>
        <v>0.43984852580258488</v>
      </c>
      <c r="K88" s="251">
        <f t="shared" si="48"/>
        <v>0.46587718277463991</v>
      </c>
    </row>
    <row r="89" spans="1:13">
      <c r="A89" s="18" t="s">
        <v>52</v>
      </c>
      <c r="B89" s="48">
        <f t="shared" si="40"/>
        <v>1.1093051816040982E-3</v>
      </c>
      <c r="C89" s="48">
        <f t="shared" si="40"/>
        <v>7.0905650155797105E-4</v>
      </c>
      <c r="D89" s="48">
        <f t="shared" si="40"/>
        <v>3.8666884950412542E-4</v>
      </c>
      <c r="E89" s="48">
        <f t="shared" si="40"/>
        <v>0</v>
      </c>
      <c r="F89" s="251">
        <f t="shared" si="40"/>
        <v>0</v>
      </c>
      <c r="G89" s="251">
        <f t="shared" ref="G89:K89" si="49">G34/G$13</f>
        <v>0</v>
      </c>
      <c r="H89" s="251">
        <f t="shared" si="49"/>
        <v>0</v>
      </c>
      <c r="I89" s="251">
        <f t="shared" si="49"/>
        <v>0</v>
      </c>
      <c r="J89" s="251">
        <f t="shared" si="49"/>
        <v>0</v>
      </c>
      <c r="K89" s="251">
        <f t="shared" si="49"/>
        <v>0</v>
      </c>
    </row>
    <row r="90" spans="1:13">
      <c r="A90" s="21" t="s">
        <v>53</v>
      </c>
      <c r="B90" s="55">
        <f t="shared" si="40"/>
        <v>0.1826901656752806</v>
      </c>
      <c r="C90" s="55">
        <f t="shared" si="40"/>
        <v>0.21436232516972456</v>
      </c>
      <c r="D90" s="55">
        <f t="shared" si="40"/>
        <v>0.24506362076885888</v>
      </c>
      <c r="E90" s="55">
        <f t="shared" si="40"/>
        <v>0.26480674506741159</v>
      </c>
      <c r="F90" s="254">
        <f t="shared" si="40"/>
        <v>0.30136069457713249</v>
      </c>
      <c r="G90" s="254">
        <f t="shared" ref="G90:K90" si="50">G35/G$13</f>
        <v>0.3390436030343309</v>
      </c>
      <c r="H90" s="254">
        <f t="shared" si="50"/>
        <v>0.37908436313630861</v>
      </c>
      <c r="I90" s="254">
        <f t="shared" si="50"/>
        <v>0.41041926121241007</v>
      </c>
      <c r="J90" s="254">
        <f t="shared" si="50"/>
        <v>0.43984852580258488</v>
      </c>
      <c r="K90" s="254">
        <f t="shared" si="50"/>
        <v>0.46587718277463991</v>
      </c>
    </row>
    <row r="91" spans="1:13" ht="14.7" thickBot="1">
      <c r="A91" s="22" t="s">
        <v>54</v>
      </c>
      <c r="B91" s="53">
        <f t="shared" si="40"/>
        <v>1</v>
      </c>
      <c r="C91" s="53">
        <f t="shared" si="40"/>
        <v>1</v>
      </c>
      <c r="D91" s="53">
        <f t="shared" si="40"/>
        <v>1</v>
      </c>
      <c r="E91" s="53">
        <f t="shared" si="40"/>
        <v>1</v>
      </c>
      <c r="F91" s="253">
        <f t="shared" si="40"/>
        <v>1</v>
      </c>
      <c r="G91" s="253">
        <f t="shared" ref="G91:K91" si="51">G36/G$13</f>
        <v>1</v>
      </c>
      <c r="H91" s="253">
        <f t="shared" si="51"/>
        <v>1</v>
      </c>
      <c r="I91" s="253">
        <f t="shared" si="51"/>
        <v>1.0000000000000002</v>
      </c>
      <c r="J91" s="253">
        <f t="shared" si="51"/>
        <v>0.99999999999999978</v>
      </c>
      <c r="K91" s="253">
        <f t="shared" si="51"/>
        <v>0.99999999999999978</v>
      </c>
    </row>
    <row r="93" spans="1:13" ht="30">
      <c r="A93" s="69" t="s">
        <v>158</v>
      </c>
      <c r="B93" s="70" t="s">
        <v>0</v>
      </c>
      <c r="C93" s="70" t="s">
        <v>95</v>
      </c>
      <c r="D93" s="70" t="s">
        <v>93</v>
      </c>
      <c r="E93" s="70" t="s">
        <v>92</v>
      </c>
      <c r="F93" s="244" t="s">
        <v>91</v>
      </c>
      <c r="G93" s="70" t="s">
        <v>179</v>
      </c>
      <c r="H93" s="70" t="s">
        <v>240</v>
      </c>
      <c r="I93" s="70" t="s">
        <v>241</v>
      </c>
      <c r="J93" s="70" t="s">
        <v>242</v>
      </c>
      <c r="K93" s="70" t="s">
        <v>243</v>
      </c>
    </row>
    <row r="94" spans="1:13" ht="15.7">
      <c r="A94" s="1" t="s">
        <v>25</v>
      </c>
      <c r="E94" t="s">
        <v>94</v>
      </c>
      <c r="F94" s="169" t="s">
        <v>94</v>
      </c>
      <c r="M94" s="211"/>
    </row>
    <row r="95" spans="1:13">
      <c r="A95" s="18" t="s">
        <v>26</v>
      </c>
      <c r="B95" s="48"/>
      <c r="C95" s="48">
        <f>C3/B3-1</f>
        <v>-0.16111619427276969</v>
      </c>
      <c r="D95" s="48">
        <f>D3/C3-1</f>
        <v>1.3192279153877657</v>
      </c>
      <c r="E95" s="48">
        <f>E3/D3-1</f>
        <v>-0.71217679921187915</v>
      </c>
      <c r="F95" s="251">
        <f>F3/E3-1</f>
        <v>0.40885788389933975</v>
      </c>
      <c r="G95" s="48">
        <f t="shared" ref="G95:K95" si="52">G3/F3-1</f>
        <v>0.41934117630283052</v>
      </c>
      <c r="H95" s="48">
        <f t="shared" si="52"/>
        <v>0.58426744450084267</v>
      </c>
      <c r="I95" s="48">
        <f t="shared" si="52"/>
        <v>0.77152461211091805</v>
      </c>
      <c r="J95" s="48">
        <f t="shared" si="52"/>
        <v>0.45821066899986063</v>
      </c>
      <c r="K95" s="48">
        <f t="shared" si="52"/>
        <v>0.32955941472284489</v>
      </c>
    </row>
    <row r="96" spans="1:13">
      <c r="A96" s="18" t="s">
        <v>90</v>
      </c>
      <c r="B96" s="48"/>
      <c r="C96" s="48"/>
      <c r="D96" s="48"/>
      <c r="E96" s="48"/>
      <c r="F96" s="251"/>
      <c r="G96" s="48"/>
      <c r="H96" s="48"/>
      <c r="I96" s="48"/>
      <c r="J96" s="48"/>
      <c r="K96" s="48"/>
    </row>
    <row r="97" spans="1:11">
      <c r="A97" s="18" t="s">
        <v>27</v>
      </c>
      <c r="B97" s="48"/>
      <c r="C97" s="48">
        <f t="shared" ref="C97:F97" si="53">C4/B4-1</f>
        <v>-4.3147716466519159E-2</v>
      </c>
      <c r="D97" s="48">
        <f t="shared" si="53"/>
        <v>8.2186913487737323E-2</v>
      </c>
      <c r="E97" s="48">
        <f t="shared" si="53"/>
        <v>9.139789315592628E-2</v>
      </c>
      <c r="F97" s="251">
        <f t="shared" si="53"/>
        <v>5.9182621853144823E-2</v>
      </c>
      <c r="G97" s="48">
        <f t="shared" ref="G97:G106" si="54">G4/F4-1</f>
        <v>0.10142456654429211</v>
      </c>
      <c r="H97" s="48">
        <f t="shared" ref="H97:H106" si="55">H4/G4-1</f>
        <v>4.4529367105058837E-2</v>
      </c>
      <c r="I97" s="48">
        <f t="shared" ref="I97:I106" si="56">I4/H4-1</f>
        <v>3.5177545778161567E-2</v>
      </c>
      <c r="J97" s="48">
        <f t="shared" ref="J97:J106" si="57">J4/I4-1</f>
        <v>3.3963598090499314E-2</v>
      </c>
      <c r="K97" s="48">
        <f t="shared" ref="K97:K106" si="58">K4/J4-1</f>
        <v>3.400643872858633E-2</v>
      </c>
    </row>
    <row r="98" spans="1:11">
      <c r="A98" s="18" t="s">
        <v>28</v>
      </c>
      <c r="B98" s="48"/>
      <c r="C98" s="48">
        <f t="shared" ref="C98:F98" si="59">C5/B5-1</f>
        <v>3.8696410529521108E-2</v>
      </c>
      <c r="D98" s="48">
        <f t="shared" si="59"/>
        <v>0.1827118274003956</v>
      </c>
      <c r="E98" s="48">
        <f t="shared" si="59"/>
        <v>2.5206205721385544E-2</v>
      </c>
      <c r="F98" s="251">
        <f t="shared" si="59"/>
        <v>0.1867536122511535</v>
      </c>
      <c r="G98" s="48">
        <f t="shared" si="54"/>
        <v>6.8381238050019055E-2</v>
      </c>
      <c r="H98" s="48">
        <f t="shared" si="55"/>
        <v>3.5203212041620802E-2</v>
      </c>
      <c r="I98" s="48">
        <f t="shared" si="56"/>
        <v>2.5851621942322378E-2</v>
      </c>
      <c r="J98" s="48">
        <f t="shared" si="57"/>
        <v>2.456392901694926E-2</v>
      </c>
      <c r="K98" s="48">
        <f t="shared" si="58"/>
        <v>3.400643872858633E-2</v>
      </c>
    </row>
    <row r="99" spans="1:11">
      <c r="A99" s="19" t="s">
        <v>29</v>
      </c>
      <c r="B99" s="52"/>
      <c r="C99" s="52">
        <f t="shared" ref="C99:F99" si="60">C6/B6-1</f>
        <v>-0.11786859887051315</v>
      </c>
      <c r="D99" s="52">
        <f t="shared" si="60"/>
        <v>5.9971676107964056E-2</v>
      </c>
      <c r="E99" s="52">
        <f t="shared" si="60"/>
        <v>9.7729469738052632E-3</v>
      </c>
      <c r="F99" s="252">
        <f t="shared" si="60"/>
        <v>5.9268772011752624E-2</v>
      </c>
      <c r="G99" s="52">
        <f t="shared" si="54"/>
        <v>0.11516698212678445</v>
      </c>
      <c r="H99" s="52">
        <f t="shared" si="55"/>
        <v>3.7790467962445451E-2</v>
      </c>
      <c r="I99" s="52">
        <f t="shared" si="56"/>
        <v>2.8455613662718982E-2</v>
      </c>
      <c r="J99" s="52">
        <f t="shared" si="57"/>
        <v>2.7205666076835833E-2</v>
      </c>
      <c r="K99" s="52">
        <f t="shared" si="58"/>
        <v>3.4006438728586552E-2</v>
      </c>
    </row>
    <row r="100" spans="1:11">
      <c r="A100" s="20" t="s">
        <v>30</v>
      </c>
      <c r="B100" s="48"/>
      <c r="C100" s="48">
        <f t="shared" ref="C100:F100" si="61">C7/B7-1</f>
        <v>-5.4519487258957611E-2</v>
      </c>
      <c r="D100" s="48">
        <f t="shared" si="61"/>
        <v>0.40659495858017225</v>
      </c>
      <c r="E100" s="48">
        <f t="shared" si="61"/>
        <v>-0.24570931577736699</v>
      </c>
      <c r="F100" s="251">
        <f t="shared" si="61"/>
        <v>0.16659202228112657</v>
      </c>
      <c r="G100" s="48">
        <f t="shared" si="54"/>
        <v>0.14433962570454506</v>
      </c>
      <c r="H100" s="48">
        <f t="shared" si="55"/>
        <v>0.15846063552931877</v>
      </c>
      <c r="I100" s="48">
        <f t="shared" si="56"/>
        <v>0.25219412392213592</v>
      </c>
      <c r="J100" s="48">
        <f t="shared" si="57"/>
        <v>0.21081072435798243</v>
      </c>
      <c r="K100" s="48">
        <f t="shared" si="58"/>
        <v>0.18521606837308568</v>
      </c>
    </row>
    <row r="101" spans="1:11">
      <c r="A101" s="23" t="s">
        <v>31</v>
      </c>
      <c r="B101" s="48"/>
      <c r="C101" s="48">
        <f t="shared" ref="C101:F101" si="62">C8/B8-1</f>
        <v>1.0723871916270777E-2</v>
      </c>
      <c r="D101" s="48">
        <f t="shared" si="62"/>
        <v>6.1359717138559144E-2</v>
      </c>
      <c r="E101" s="48">
        <f t="shared" si="62"/>
        <v>0.1316842102960063</v>
      </c>
      <c r="F101" s="251">
        <f t="shared" si="62"/>
        <v>7.0959679249799068E-2</v>
      </c>
      <c r="G101" s="48">
        <f t="shared" si="54"/>
        <v>0.24982528757606426</v>
      </c>
      <c r="H101" s="48">
        <f t="shared" si="55"/>
        <v>0.13897246185474521</v>
      </c>
      <c r="I101" s="48">
        <f t="shared" si="56"/>
        <v>7.8955223027403321E-2</v>
      </c>
      <c r="J101" s="48">
        <f t="shared" si="57"/>
        <v>7.4394804896679378E-2</v>
      </c>
      <c r="K101" s="48">
        <f t="shared" si="58"/>
        <v>7.041955313030579E-2</v>
      </c>
    </row>
    <row r="102" spans="1:11">
      <c r="A102" s="23" t="s">
        <v>32</v>
      </c>
      <c r="B102" s="48"/>
      <c r="C102" s="48">
        <f t="shared" ref="C102:F102" si="63">C9/B9-1</f>
        <v>0.10263266453945175</v>
      </c>
      <c r="D102" s="48">
        <f t="shared" si="63"/>
        <v>1.1379915456291023E-3</v>
      </c>
      <c r="E102" s="48">
        <f t="shared" si="63"/>
        <v>0.32439097381319426</v>
      </c>
      <c r="F102" s="251">
        <f t="shared" si="63"/>
        <v>-9.956804981364642E-3</v>
      </c>
      <c r="G102" s="48">
        <f t="shared" si="54"/>
        <v>0</v>
      </c>
      <c r="H102" s="48">
        <f t="shared" si="55"/>
        <v>0</v>
      </c>
      <c r="I102" s="48">
        <f t="shared" si="56"/>
        <v>0</v>
      </c>
      <c r="J102" s="48">
        <f t="shared" si="57"/>
        <v>0</v>
      </c>
      <c r="K102" s="48">
        <f t="shared" si="58"/>
        <v>0</v>
      </c>
    </row>
    <row r="103" spans="1:11">
      <c r="A103" s="23" t="s">
        <v>33</v>
      </c>
      <c r="B103" s="48"/>
      <c r="C103" s="48">
        <f t="shared" ref="C103:F103" si="64">C10/B10-1</f>
        <v>4.9185944995353115E-2</v>
      </c>
      <c r="D103" s="48">
        <f t="shared" si="64"/>
        <v>-3.4262723630035352E-2</v>
      </c>
      <c r="E103" s="48">
        <f t="shared" si="64"/>
        <v>0.5731670596519185</v>
      </c>
      <c r="F103" s="251">
        <f t="shared" si="64"/>
        <v>-3.5001678455114593E-2</v>
      </c>
      <c r="G103" s="48">
        <f t="shared" si="54"/>
        <v>-4.0304251351163001E-2</v>
      </c>
      <c r="H103" s="48">
        <f t="shared" si="55"/>
        <v>-4.1688482369026336E-2</v>
      </c>
      <c r="I103" s="48">
        <f t="shared" si="56"/>
        <v>-4.3502015369786817E-2</v>
      </c>
      <c r="J103" s="48">
        <f t="shared" si="57"/>
        <v>-4.5453336617166329E-2</v>
      </c>
      <c r="K103" s="48">
        <f t="shared" si="58"/>
        <v>-4.6955724362321094E-2</v>
      </c>
    </row>
    <row r="104" spans="1:11">
      <c r="A104" s="23" t="s">
        <v>34</v>
      </c>
      <c r="B104" s="48"/>
      <c r="C104" s="48">
        <f t="shared" ref="C104:F104" si="65">C11/B11-1</f>
        <v>1.023843405116529</v>
      </c>
      <c r="D104" s="48">
        <f t="shared" si="65"/>
        <v>8.571679687499989E-2</v>
      </c>
      <c r="E104" s="48">
        <f t="shared" si="65"/>
        <v>0.56183361006823329</v>
      </c>
      <c r="F104" s="251">
        <f t="shared" si="65"/>
        <v>8.8442449519294364E-2</v>
      </c>
      <c r="G104" s="48">
        <f t="shared" si="54"/>
        <v>6.577629157588083E-2</v>
      </c>
      <c r="H104" s="48">
        <f t="shared" si="55"/>
        <v>4.4529367105058837E-2</v>
      </c>
      <c r="I104" s="48">
        <f t="shared" si="56"/>
        <v>3.5177545778161567E-2</v>
      </c>
      <c r="J104" s="48">
        <f t="shared" si="57"/>
        <v>3.3963598090499314E-2</v>
      </c>
      <c r="K104" s="48">
        <f t="shared" si="58"/>
        <v>3.400643872858633E-2</v>
      </c>
    </row>
    <row r="105" spans="1:11">
      <c r="A105" s="23" t="s">
        <v>35</v>
      </c>
      <c r="B105" s="48"/>
      <c r="C105" s="48">
        <f t="shared" ref="C105:F105" si="66">C12/B12-1</f>
        <v>25.614922813036021</v>
      </c>
      <c r="D105" s="48">
        <f t="shared" si="66"/>
        <v>-5.3620339638449366E-2</v>
      </c>
      <c r="E105" s="48">
        <f t="shared" si="66"/>
        <v>0.39170553985494916</v>
      </c>
      <c r="F105" s="251">
        <f t="shared" si="66"/>
        <v>-9.1747608445673645E-3</v>
      </c>
      <c r="G105" s="48">
        <f t="shared" si="54"/>
        <v>0.31342259000094463</v>
      </c>
      <c r="H105" s="48">
        <f t="shared" si="55"/>
        <v>0.13789375163827855</v>
      </c>
      <c r="I105" s="48">
        <f t="shared" si="56"/>
        <v>0.11643904681232531</v>
      </c>
      <c r="J105" s="48">
        <f t="shared" si="57"/>
        <v>5.4935416552281957E-2</v>
      </c>
      <c r="K105" s="48">
        <f t="shared" si="58"/>
        <v>3.7536014856378586E-2</v>
      </c>
    </row>
    <row r="106" spans="1:11" ht="14.7" thickBot="1">
      <c r="A106" s="22" t="s">
        <v>36</v>
      </c>
      <c r="B106" s="53"/>
      <c r="C106" s="53">
        <f t="shared" ref="C106:F106" si="67">C13/B13-1</f>
        <v>5.6779678619554463E-2</v>
      </c>
      <c r="D106" s="53">
        <f t="shared" si="67"/>
        <v>0.1217938441562112</v>
      </c>
      <c r="E106" s="53">
        <f t="shared" si="67"/>
        <v>0.14021109644327079</v>
      </c>
      <c r="F106" s="253">
        <f t="shared" si="67"/>
        <v>5.1534488622082986E-2</v>
      </c>
      <c r="G106" s="53">
        <f t="shared" si="54"/>
        <v>9.7341255033309926E-2</v>
      </c>
      <c r="H106" s="53">
        <f t="shared" si="55"/>
        <v>7.7385397361461994E-2</v>
      </c>
      <c r="I106" s="53">
        <f t="shared" si="56"/>
        <v>8.9054878674545535E-2</v>
      </c>
      <c r="J106" s="53">
        <f t="shared" si="57"/>
        <v>8.4808545481785291E-2</v>
      </c>
      <c r="K106" s="53">
        <f t="shared" si="58"/>
        <v>8.2444844257463679E-2</v>
      </c>
    </row>
    <row r="107" spans="1:11">
      <c r="A107" s="24" t="s">
        <v>37</v>
      </c>
      <c r="B107" s="54"/>
      <c r="C107" s="54"/>
      <c r="D107" s="54"/>
      <c r="E107" s="54" t="s">
        <v>94</v>
      </c>
      <c r="F107" s="174" t="s">
        <v>94</v>
      </c>
      <c r="G107" s="54" t="s">
        <v>94</v>
      </c>
      <c r="H107" s="54" t="s">
        <v>94</v>
      </c>
      <c r="I107" s="54" t="s">
        <v>94</v>
      </c>
      <c r="J107" s="54" t="s">
        <v>94</v>
      </c>
      <c r="K107" s="54" t="s">
        <v>94</v>
      </c>
    </row>
    <row r="108" spans="1:11">
      <c r="A108" s="18" t="s">
        <v>38</v>
      </c>
      <c r="B108" s="48"/>
      <c r="C108" s="48">
        <f t="shared" ref="C108:F108" si="68">C15/B15-1</f>
        <v>9.6581023025438251E-2</v>
      </c>
      <c r="D108" s="48">
        <f t="shared" si="68"/>
        <v>5.3065566746788528E-2</v>
      </c>
      <c r="E108" s="48">
        <f t="shared" si="68"/>
        <v>0.19356685021153064</v>
      </c>
      <c r="F108" s="251">
        <f t="shared" si="68"/>
        <v>0.40185574098200583</v>
      </c>
      <c r="G108" s="48">
        <f t="shared" ref="G108:G117" si="69">G15/F15-1</f>
        <v>7.2288760074101788E-2</v>
      </c>
      <c r="H108" s="48">
        <f t="shared" ref="H108:H117" si="70">H15/G15-1</f>
        <v>3.7790467962445451E-2</v>
      </c>
      <c r="I108" s="48">
        <f t="shared" ref="I108:I117" si="71">I15/H15-1</f>
        <v>2.8455613662719204E-2</v>
      </c>
      <c r="J108" s="48">
        <f t="shared" ref="J108:J117" si="72">J15/I15-1</f>
        <v>2.7205666076835611E-2</v>
      </c>
      <c r="K108" s="48">
        <f t="shared" ref="K108:K117" si="73">K15/J15-1</f>
        <v>3.400643872858633E-2</v>
      </c>
    </row>
    <row r="109" spans="1:11">
      <c r="A109" s="18" t="s">
        <v>39</v>
      </c>
      <c r="B109" s="48"/>
      <c r="C109" s="48">
        <f t="shared" ref="C109:F109" si="74">C16/B16-1</f>
        <v>3.4172945228170493E-2</v>
      </c>
      <c r="D109" s="48">
        <f t="shared" si="74"/>
        <v>0.11303696616607728</v>
      </c>
      <c r="E109" s="48">
        <f t="shared" si="74"/>
        <v>9.4493748768813113E-2</v>
      </c>
      <c r="F109" s="251">
        <f t="shared" si="74"/>
        <v>-2.7020772803451942E-2</v>
      </c>
      <c r="G109" s="48">
        <f t="shared" si="69"/>
        <v>9.3824554063695942E-2</v>
      </c>
      <c r="H109" s="48">
        <f t="shared" si="70"/>
        <v>3.7790467962445451E-2</v>
      </c>
      <c r="I109" s="48">
        <f t="shared" si="71"/>
        <v>2.8455613662719204E-2</v>
      </c>
      <c r="J109" s="48">
        <f t="shared" si="72"/>
        <v>2.7205666076835611E-2</v>
      </c>
      <c r="K109" s="48">
        <f t="shared" si="73"/>
        <v>3.4006438728586552E-2</v>
      </c>
    </row>
    <row r="110" spans="1:11">
      <c r="A110" s="18" t="s">
        <v>40</v>
      </c>
      <c r="B110" s="48"/>
      <c r="C110" s="48">
        <f t="shared" ref="C110:F110" si="75">C17/B17-1</f>
        <v>-0.41015011991827788</v>
      </c>
      <c r="D110" s="48">
        <f t="shared" si="75"/>
        <v>-0.14406907283770898</v>
      </c>
      <c r="E110" s="48">
        <f t="shared" si="75"/>
        <v>-0.81995190897894554</v>
      </c>
      <c r="F110" s="251">
        <f t="shared" si="75"/>
        <v>1.1856677524429968</v>
      </c>
      <c r="G110" s="48">
        <f t="shared" si="69"/>
        <v>0.32118698583850613</v>
      </c>
      <c r="H110" s="48">
        <f t="shared" si="70"/>
        <v>0.13789375163827855</v>
      </c>
      <c r="I110" s="48">
        <f t="shared" si="71"/>
        <v>0.11643904681232509</v>
      </c>
      <c r="J110" s="48">
        <f t="shared" si="72"/>
        <v>5.4935416552281957E-2</v>
      </c>
      <c r="K110" s="48">
        <f t="shared" si="73"/>
        <v>3.7536014856378364E-2</v>
      </c>
    </row>
    <row r="111" spans="1:11">
      <c r="A111" s="18" t="s">
        <v>41</v>
      </c>
      <c r="B111" s="48"/>
      <c r="C111" s="48">
        <f t="shared" ref="C111:F111" si="76">C18/B18-1</f>
        <v>-0.97305182527512069</v>
      </c>
      <c r="D111" s="48">
        <f t="shared" si="76"/>
        <v>1.2935691716746174</v>
      </c>
      <c r="E111" s="48">
        <f t="shared" si="76"/>
        <v>11.687875636471684</v>
      </c>
      <c r="F111" s="251">
        <f t="shared" si="76"/>
        <v>-0.26147220155350681</v>
      </c>
      <c r="G111" s="48">
        <f t="shared" si="69"/>
        <v>8.1018752071952527E-2</v>
      </c>
      <c r="H111" s="48">
        <f t="shared" si="70"/>
        <v>-0.33333333333333337</v>
      </c>
      <c r="I111" s="48">
        <f t="shared" si="71"/>
        <v>0</v>
      </c>
      <c r="J111" s="48">
        <f t="shared" si="72"/>
        <v>0</v>
      </c>
      <c r="K111" s="48">
        <f t="shared" si="73"/>
        <v>0</v>
      </c>
    </row>
    <row r="112" spans="1:11">
      <c r="A112" s="19" t="s">
        <v>42</v>
      </c>
      <c r="B112" s="52"/>
      <c r="C112" s="52">
        <f t="shared" ref="C112:F112" si="77">C19/B19-1</f>
        <v>129.57174679784666</v>
      </c>
      <c r="D112" s="52">
        <f t="shared" si="77"/>
        <v>-0.37612277683788509</v>
      </c>
      <c r="E112" s="52">
        <f t="shared" si="77"/>
        <v>-0.99351911564641349</v>
      </c>
      <c r="F112" s="252">
        <f t="shared" si="77"/>
        <v>263.97116736990154</v>
      </c>
      <c r="G112" s="52">
        <f t="shared" si="69"/>
        <v>-0.33649867697836189</v>
      </c>
      <c r="H112" s="52">
        <f t="shared" si="70"/>
        <v>0</v>
      </c>
      <c r="I112" s="52">
        <f t="shared" si="71"/>
        <v>0</v>
      </c>
      <c r="J112" s="52">
        <f t="shared" si="72"/>
        <v>0</v>
      </c>
      <c r="K112" s="52">
        <f t="shared" si="73"/>
        <v>0</v>
      </c>
    </row>
    <row r="113" spans="1:11">
      <c r="A113" s="20" t="s">
        <v>43</v>
      </c>
      <c r="B113" s="48"/>
      <c r="C113" s="48">
        <f t="shared" ref="C113:F113" si="78">C20/B20-1</f>
        <v>-0.1694280825910891</v>
      </c>
      <c r="D113" s="48">
        <f t="shared" si="78"/>
        <v>-5.8267825505166515E-2</v>
      </c>
      <c r="E113" s="48">
        <f t="shared" si="78"/>
        <v>0.31799634728782156</v>
      </c>
      <c r="F113" s="251">
        <f t="shared" si="78"/>
        <v>0.30635584060244336</v>
      </c>
      <c r="G113" s="48">
        <f t="shared" si="69"/>
        <v>-1.4411897879260005E-2</v>
      </c>
      <c r="H113" s="48">
        <f t="shared" si="70"/>
        <v>-5.4524504289381936E-2</v>
      </c>
      <c r="I113" s="48">
        <f t="shared" si="71"/>
        <v>1.9372759308194487E-2</v>
      </c>
      <c r="J113" s="48">
        <f t="shared" si="72"/>
        <v>1.851349738318353E-2</v>
      </c>
      <c r="K113" s="48">
        <f t="shared" si="73"/>
        <v>2.3228357699400792E-2</v>
      </c>
    </row>
    <row r="114" spans="1:11">
      <c r="A114" s="23" t="s">
        <v>44</v>
      </c>
      <c r="B114" s="48"/>
      <c r="C114" s="48">
        <f t="shared" ref="C114:F114" si="79">C21/B21-1</f>
        <v>8.4975171159211937E-2</v>
      </c>
      <c r="D114" s="48">
        <f t="shared" si="79"/>
        <v>0.15830405065348963</v>
      </c>
      <c r="E114" s="48">
        <f t="shared" si="79"/>
        <v>-7.648379915178305E-4</v>
      </c>
      <c r="F114" s="251">
        <f t="shared" si="79"/>
        <v>-0.18172688625607381</v>
      </c>
      <c r="G114" s="48">
        <f t="shared" si="69"/>
        <v>7.5295589054589662E-2</v>
      </c>
      <c r="H114" s="48">
        <f t="shared" si="70"/>
        <v>5.3636910172861318E-2</v>
      </c>
      <c r="I114" s="48">
        <f t="shared" si="71"/>
        <v>3.8325243302790746E-2</v>
      </c>
      <c r="J114" s="48">
        <f t="shared" si="72"/>
        <v>3.8164252211569716E-2</v>
      </c>
      <c r="K114" s="48">
        <f t="shared" si="73"/>
        <v>3.8011405644106766E-2</v>
      </c>
    </row>
    <row r="115" spans="1:11">
      <c r="A115" s="23" t="s">
        <v>45</v>
      </c>
      <c r="B115" s="48"/>
      <c r="C115" s="48">
        <f t="shared" ref="C115:F115" si="80">C22/B22-1</f>
        <v>0.47019379080278356</v>
      </c>
      <c r="D115" s="48">
        <f t="shared" si="80"/>
        <v>4.2174397699217936E-2</v>
      </c>
      <c r="E115" s="48">
        <f t="shared" si="80"/>
        <v>0.15162254145974585</v>
      </c>
      <c r="F115" s="251">
        <f t="shared" si="80"/>
        <v>-8.5528639566588516E-2</v>
      </c>
      <c r="G115" s="48">
        <f t="shared" si="69"/>
        <v>8.447030435906222E-2</v>
      </c>
      <c r="H115" s="48">
        <f t="shared" si="70"/>
        <v>3.7790467962445451E-2</v>
      </c>
      <c r="I115" s="48">
        <f t="shared" si="71"/>
        <v>2.8455613662718982E-2</v>
      </c>
      <c r="J115" s="48">
        <f t="shared" si="72"/>
        <v>2.7205666076835833E-2</v>
      </c>
      <c r="K115" s="48">
        <f t="shared" si="73"/>
        <v>3.4006438728586552E-2</v>
      </c>
    </row>
    <row r="116" spans="1:11">
      <c r="A116" s="23" t="s">
        <v>35</v>
      </c>
      <c r="B116" s="48"/>
      <c r="C116" s="48">
        <f t="shared" ref="C116:F116" si="81">C23/B23-1</f>
        <v>0.13093972633721584</v>
      </c>
      <c r="D116" s="48">
        <f t="shared" si="81"/>
        <v>0.14503694667479916</v>
      </c>
      <c r="E116" s="48">
        <f t="shared" si="81"/>
        <v>0.25750563249908298</v>
      </c>
      <c r="F116" s="251">
        <f t="shared" si="81"/>
        <v>0.1402723573283704</v>
      </c>
      <c r="G116" s="48">
        <f t="shared" si="69"/>
        <v>7.979094892268046E-2</v>
      </c>
      <c r="H116" s="48">
        <f t="shared" si="70"/>
        <v>0.13789375163827855</v>
      </c>
      <c r="I116" s="48">
        <f t="shared" si="71"/>
        <v>0.11643904681232531</v>
      </c>
      <c r="J116" s="48">
        <f t="shared" si="72"/>
        <v>5.4935416552281957E-2</v>
      </c>
      <c r="K116" s="48">
        <f t="shared" si="73"/>
        <v>3.7536014856378364E-2</v>
      </c>
    </row>
    <row r="117" spans="1:11">
      <c r="A117" s="21" t="s">
        <v>46</v>
      </c>
      <c r="B117" s="55"/>
      <c r="C117" s="55">
        <f t="shared" ref="C117:F117" si="82">C24/B24-1</f>
        <v>1.5827651461604031E-2</v>
      </c>
      <c r="D117" s="55">
        <f t="shared" si="82"/>
        <v>7.7956175070179379E-2</v>
      </c>
      <c r="E117" s="55">
        <f t="shared" si="82"/>
        <v>0.1103922533950723</v>
      </c>
      <c r="F117" s="254">
        <f t="shared" si="82"/>
        <v>-7.4800764258453611E-4</v>
      </c>
      <c r="G117" s="55">
        <f t="shared" si="69"/>
        <v>3.8153331109249011E-2</v>
      </c>
      <c r="H117" s="55">
        <f t="shared" si="70"/>
        <v>1.2117354823151016E-2</v>
      </c>
      <c r="I117" s="55">
        <f t="shared" si="71"/>
        <v>3.4095039371868419E-2</v>
      </c>
      <c r="J117" s="55">
        <f t="shared" si="72"/>
        <v>3.0659697640661676E-2</v>
      </c>
      <c r="K117" s="55">
        <f t="shared" si="73"/>
        <v>3.2146689490102576E-2</v>
      </c>
    </row>
    <row r="118" spans="1:11">
      <c r="A118" s="1" t="s">
        <v>47</v>
      </c>
      <c r="B118" s="54"/>
      <c r="C118" s="54"/>
      <c r="D118" s="54"/>
      <c r="E118" s="54" t="s">
        <v>94</v>
      </c>
      <c r="F118" s="174" t="s">
        <v>94</v>
      </c>
      <c r="G118" s="54" t="s">
        <v>94</v>
      </c>
      <c r="H118" s="54" t="s">
        <v>94</v>
      </c>
      <c r="I118" s="54" t="s">
        <v>94</v>
      </c>
      <c r="J118" s="54" t="s">
        <v>94</v>
      </c>
      <c r="K118" s="54" t="s">
        <v>94</v>
      </c>
    </row>
    <row r="119" spans="1:11">
      <c r="A119" s="2" t="s">
        <v>1</v>
      </c>
      <c r="B119" s="48"/>
      <c r="C119" s="48">
        <f t="shared" ref="C119:F119" si="83">C26/B26-1</f>
        <v>-0.46225863468844286</v>
      </c>
      <c r="D119" s="48">
        <f t="shared" si="83"/>
        <v>0</v>
      </c>
      <c r="E119" s="48">
        <f t="shared" si="83"/>
        <v>0</v>
      </c>
      <c r="F119" s="251">
        <f t="shared" si="83"/>
        <v>1.5533835801142093E-2</v>
      </c>
      <c r="G119" s="48">
        <f t="shared" ref="G119:G120" si="84">G26/F26-1</f>
        <v>0</v>
      </c>
      <c r="H119" s="48">
        <f t="shared" ref="H119:H120" si="85">H26/G26-1</f>
        <v>0</v>
      </c>
      <c r="I119" s="48">
        <f t="shared" ref="I119:I120" si="86">I26/H26-1</f>
        <v>0</v>
      </c>
      <c r="J119" s="48">
        <f t="shared" ref="J119:J120" si="87">J26/I26-1</f>
        <v>0</v>
      </c>
      <c r="K119" s="48">
        <f t="shared" ref="K119:K120" si="88">K26/J26-1</f>
        <v>0</v>
      </c>
    </row>
    <row r="120" spans="1:11">
      <c r="A120" s="2" t="s">
        <v>2</v>
      </c>
      <c r="B120" s="48"/>
      <c r="C120" s="48">
        <f t="shared" ref="C120:F120" si="89">C27/B27-1</f>
        <v>0</v>
      </c>
      <c r="D120" s="48">
        <f t="shared" si="89"/>
        <v>0</v>
      </c>
      <c r="E120" s="48">
        <f t="shared" si="89"/>
        <v>0</v>
      </c>
      <c r="F120" s="251">
        <f t="shared" si="89"/>
        <v>-4.1244596957798474E-2</v>
      </c>
      <c r="G120" s="48">
        <f t="shared" si="84"/>
        <v>0</v>
      </c>
      <c r="H120" s="48">
        <f t="shared" si="85"/>
        <v>0</v>
      </c>
      <c r="I120" s="48">
        <f t="shared" si="86"/>
        <v>0</v>
      </c>
      <c r="J120" s="48">
        <f t="shared" si="87"/>
        <v>0</v>
      </c>
      <c r="K120" s="48">
        <f t="shared" si="88"/>
        <v>0</v>
      </c>
    </row>
    <row r="121" spans="1:11">
      <c r="A121" s="2" t="s">
        <v>96</v>
      </c>
      <c r="B121" s="48"/>
      <c r="C121" s="48"/>
      <c r="D121" s="48"/>
      <c r="E121" s="48"/>
      <c r="F121" s="251"/>
      <c r="G121" s="48"/>
      <c r="H121" s="48"/>
      <c r="I121" s="48"/>
      <c r="J121" s="48"/>
      <c r="K121" s="48"/>
    </row>
    <row r="122" spans="1:11">
      <c r="A122" s="2" t="s">
        <v>48</v>
      </c>
      <c r="B122" s="48"/>
      <c r="C122" s="48">
        <f t="shared" ref="C122:F122" si="90">C29/B29-1</f>
        <v>0.16290387444576226</v>
      </c>
      <c r="D122" s="48">
        <f t="shared" si="90"/>
        <v>4.2890536766444054E-2</v>
      </c>
      <c r="E122" s="48">
        <f t="shared" si="90"/>
        <v>5.803475486903964E-2</v>
      </c>
      <c r="F122" s="251">
        <f t="shared" si="90"/>
        <v>2.8755144481886097E-2</v>
      </c>
      <c r="G122" s="48">
        <f t="shared" ref="G122:G126" si="91">G29/F29-1</f>
        <v>0</v>
      </c>
      <c r="H122" s="48">
        <f t="shared" ref="H122:H126" si="92">H29/G29-1</f>
        <v>0</v>
      </c>
      <c r="I122" s="48">
        <f t="shared" ref="I122:I126" si="93">I29/H29-1</f>
        <v>0</v>
      </c>
      <c r="J122" s="48">
        <f t="shared" ref="J122:J126" si="94">J29/I29-1</f>
        <v>0</v>
      </c>
      <c r="K122" s="48">
        <f t="shared" ref="K122:K126" si="95">K29/J29-1</f>
        <v>0</v>
      </c>
    </row>
    <row r="123" spans="1:11">
      <c r="A123" s="2" t="s">
        <v>49</v>
      </c>
      <c r="B123" s="48"/>
      <c r="C123" s="48">
        <f t="shared" ref="C123:F123" si="96">C30/B30-1</f>
        <v>-0.81648786550663965</v>
      </c>
      <c r="D123" s="48">
        <f t="shared" si="96"/>
        <v>0.49456124594234163</v>
      </c>
      <c r="E123" s="48">
        <f t="shared" si="96"/>
        <v>0.41026291133852144</v>
      </c>
      <c r="F123" s="251">
        <f t="shared" si="96"/>
        <v>0.31980348067013331</v>
      </c>
      <c r="G123" s="48">
        <f t="shared" si="91"/>
        <v>0.28523370087472522</v>
      </c>
      <c r="H123" s="48">
        <f t="shared" si="92"/>
        <v>0.23484986355645998</v>
      </c>
      <c r="I123" s="48">
        <f t="shared" si="93"/>
        <v>0.19811773201343685</v>
      </c>
      <c r="J123" s="48">
        <f t="shared" si="94"/>
        <v>0.174441464777223</v>
      </c>
      <c r="K123" s="48">
        <f t="shared" si="95"/>
        <v>0.15410670315953179</v>
      </c>
    </row>
    <row r="124" spans="1:11">
      <c r="A124" s="2" t="s">
        <v>97</v>
      </c>
      <c r="B124" s="48"/>
      <c r="C124" s="48">
        <f t="shared" ref="C124:F124" si="97">C31/B31-1</f>
        <v>-0.91070108972785135</v>
      </c>
      <c r="D124" s="48">
        <f t="shared" si="97"/>
        <v>0.30109164247186304</v>
      </c>
      <c r="E124" s="48">
        <f t="shared" si="97"/>
        <v>0.55447130789397026</v>
      </c>
      <c r="F124" s="251">
        <f t="shared" si="97"/>
        <v>0.30170674331758374</v>
      </c>
      <c r="G124" s="48">
        <f t="shared" si="91"/>
        <v>0.16066538605642955</v>
      </c>
      <c r="H124" s="48">
        <f t="shared" si="92"/>
        <v>0.13842524123366795</v>
      </c>
      <c r="I124" s="48">
        <f t="shared" si="93"/>
        <v>0.12159361565425386</v>
      </c>
      <c r="J124" s="48">
        <f t="shared" si="94"/>
        <v>0.10841147270914631</v>
      </c>
      <c r="K124" s="48">
        <f t="shared" si="95"/>
        <v>9.7807966967510929E-2</v>
      </c>
    </row>
    <row r="125" spans="1:11">
      <c r="A125" s="2" t="s">
        <v>50</v>
      </c>
      <c r="B125" s="52"/>
      <c r="C125" s="52">
        <f t="shared" ref="C125:F125" si="98">C32/B32-1</f>
        <v>-9.1972644206513854E-2</v>
      </c>
      <c r="D125" s="52">
        <f t="shared" si="98"/>
        <v>4.3572473654642785E-2</v>
      </c>
      <c r="E125" s="52">
        <f t="shared" si="98"/>
        <v>-0.26285634845984107</v>
      </c>
      <c r="F125" s="252">
        <f t="shared" si="98"/>
        <v>1.2511285436269892E-2</v>
      </c>
      <c r="G125" s="52">
        <f t="shared" si="91"/>
        <v>0</v>
      </c>
      <c r="H125" s="52">
        <f t="shared" si="92"/>
        <v>0</v>
      </c>
      <c r="I125" s="52">
        <f t="shared" si="93"/>
        <v>0</v>
      </c>
      <c r="J125" s="52">
        <f t="shared" si="94"/>
        <v>0</v>
      </c>
      <c r="K125" s="52">
        <f t="shared" si="95"/>
        <v>0</v>
      </c>
    </row>
    <row r="126" spans="1:11">
      <c r="A126" s="20" t="s">
        <v>51</v>
      </c>
      <c r="B126" s="48"/>
      <c r="C126" s="48">
        <f t="shared" ref="C126:F126" si="99">C33/B33-1</f>
        <v>0.24343739745095694</v>
      </c>
      <c r="D126" s="48">
        <f t="shared" si="99"/>
        <v>0.28468476134731513</v>
      </c>
      <c r="E126" s="48">
        <f t="shared" si="99"/>
        <v>0.23401729002413219</v>
      </c>
      <c r="F126" s="251">
        <f t="shared" si="99"/>
        <v>0.19668841434643269</v>
      </c>
      <c r="G126" s="48">
        <f t="shared" si="91"/>
        <v>0.23455559918575775</v>
      </c>
      <c r="H126" s="48">
        <f t="shared" si="92"/>
        <v>0.20462369310584738</v>
      </c>
      <c r="I126" s="48">
        <f t="shared" si="93"/>
        <v>0.17907553618786376</v>
      </c>
      <c r="J126" s="48">
        <f t="shared" si="94"/>
        <v>0.16259514258338559</v>
      </c>
      <c r="K126" s="48">
        <f t="shared" si="95"/>
        <v>0.14650004483120038</v>
      </c>
    </row>
    <row r="127" spans="1:11">
      <c r="A127" s="18" t="s">
        <v>52</v>
      </c>
      <c r="B127" s="48"/>
      <c r="C127" s="48">
        <f t="shared" ref="C127:E127" si="100">C34/B34-1</f>
        <v>-0.32451726155646576</v>
      </c>
      <c r="D127" s="48">
        <f t="shared" si="100"/>
        <v>-0.38825363825363823</v>
      </c>
      <c r="E127" s="48">
        <f t="shared" si="100"/>
        <v>-1</v>
      </c>
      <c r="F127" s="251"/>
      <c r="G127" s="48"/>
      <c r="H127" s="48"/>
      <c r="I127" s="48"/>
      <c r="J127" s="48"/>
      <c r="K127" s="48"/>
    </row>
    <row r="128" spans="1:11">
      <c r="A128" s="21" t="s">
        <v>53</v>
      </c>
      <c r="B128" s="55"/>
      <c r="C128" s="55">
        <f t="shared" ref="C128:F128" si="101">C35/B35-1</f>
        <v>0.23998874413223947</v>
      </c>
      <c r="D128" s="55">
        <f t="shared" si="101"/>
        <v>0.28245885086137834</v>
      </c>
      <c r="E128" s="55">
        <f t="shared" si="101"/>
        <v>0.23207021993553734</v>
      </c>
      <c r="F128" s="254">
        <f t="shared" si="101"/>
        <v>0.19668841434643269</v>
      </c>
      <c r="G128" s="55">
        <f t="shared" ref="G128:G129" si="102">G35/F35-1</f>
        <v>0.23455559918575775</v>
      </c>
      <c r="H128" s="55">
        <f t="shared" ref="H128:H129" si="103">H35/G35-1</f>
        <v>0.20462369310584738</v>
      </c>
      <c r="I128" s="55">
        <f t="shared" ref="I128:I129" si="104">I35/H35-1</f>
        <v>0.17907553618786376</v>
      </c>
      <c r="J128" s="55">
        <f t="shared" ref="J128:J129" si="105">J35/I35-1</f>
        <v>0.16259514258338559</v>
      </c>
      <c r="K128" s="55">
        <f t="shared" ref="K128:K129" si="106">K35/J35-1</f>
        <v>0.14650004483120038</v>
      </c>
    </row>
    <row r="129" spans="1:11" ht="14.7" thickBot="1">
      <c r="A129" s="22" t="s">
        <v>54</v>
      </c>
      <c r="B129" s="53"/>
      <c r="C129" s="53">
        <f t="shared" ref="C129:F129" si="107">C36/B36-1</f>
        <v>5.6779678619554463E-2</v>
      </c>
      <c r="D129" s="53">
        <f t="shared" si="107"/>
        <v>0.1217938441562112</v>
      </c>
      <c r="E129" s="53">
        <f t="shared" si="107"/>
        <v>0.14021109644327079</v>
      </c>
      <c r="F129" s="253">
        <f t="shared" si="107"/>
        <v>5.1534488622082986E-2</v>
      </c>
      <c r="G129" s="53">
        <f t="shared" si="102"/>
        <v>9.7341255033309926E-2</v>
      </c>
      <c r="H129" s="53">
        <f t="shared" si="103"/>
        <v>7.7385397361461994E-2</v>
      </c>
      <c r="I129" s="53">
        <f t="shared" si="104"/>
        <v>8.9054878674545757E-2</v>
      </c>
      <c r="J129" s="53">
        <f t="shared" si="105"/>
        <v>8.4808545481785069E-2</v>
      </c>
      <c r="K129" s="53">
        <f t="shared" si="106"/>
        <v>8.2444844257463679E-2</v>
      </c>
    </row>
  </sheetData>
  <phoneticPr fontId="9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0AB9-64E0-3840-8BC8-E7B0D490E8AB}">
  <dimension ref="A1:M60"/>
  <sheetViews>
    <sheetView topLeftCell="A30" zoomScaleNormal="100" workbookViewId="0">
      <pane xSplit="1" topLeftCell="G1" activePane="topRight" state="frozen"/>
      <selection pane="topRight" activeCell="M31" sqref="M31"/>
    </sheetView>
  </sheetViews>
  <sheetFormatPr defaultColWidth="8.8203125" defaultRowHeight="14.35" outlineLevelCol="1"/>
  <cols>
    <col min="1" max="1" width="53" bestFit="1" customWidth="1"/>
    <col min="2" max="5" width="12.17578125" hidden="1" customWidth="1" outlineLevel="1"/>
    <col min="6" max="6" width="12.17578125" style="169" hidden="1" customWidth="1" outlineLevel="1"/>
    <col min="7" max="7" width="12.17578125" customWidth="1" collapsed="1"/>
    <col min="8" max="11" width="12.17578125" customWidth="1"/>
    <col min="12" max="12" width="2.3515625" customWidth="1"/>
  </cols>
  <sheetData>
    <row r="1" spans="1:11" s="17" customFormat="1" ht="30">
      <c r="A1" s="69" t="s">
        <v>24</v>
      </c>
      <c r="B1" s="70" t="s">
        <v>0</v>
      </c>
      <c r="C1" s="70" t="s">
        <v>95</v>
      </c>
      <c r="D1" s="70" t="s">
        <v>93</v>
      </c>
      <c r="E1" s="70" t="s">
        <v>92</v>
      </c>
      <c r="F1" s="244" t="s">
        <v>91</v>
      </c>
      <c r="G1" s="70" t="s">
        <v>179</v>
      </c>
      <c r="H1" s="70" t="s">
        <v>240</v>
      </c>
      <c r="I1" s="70" t="s">
        <v>241</v>
      </c>
      <c r="J1" s="70" t="s">
        <v>242</v>
      </c>
      <c r="K1" s="70" t="s">
        <v>243</v>
      </c>
    </row>
    <row r="2" spans="1:11">
      <c r="A2" s="1" t="s">
        <v>319</v>
      </c>
      <c r="E2" t="s">
        <v>94</v>
      </c>
      <c r="F2" s="169" t="s">
        <v>94</v>
      </c>
      <c r="G2" s="260">
        <f>IS!G16</f>
        <v>1861684.5817450392</v>
      </c>
      <c r="H2" s="260">
        <f>IS!H16</f>
        <v>1970051.9664581192</v>
      </c>
      <c r="I2" s="260">
        <f>IS!I16</f>
        <v>2052224.5366846924</v>
      </c>
      <c r="J2" s="260">
        <f>IS!J16</f>
        <v>2164964.3464662796</v>
      </c>
      <c r="K2" s="260">
        <f>IS!K16</f>
        <v>2246228.4803387672</v>
      </c>
    </row>
    <row r="3" spans="1:11">
      <c r="A3" s="18" t="s">
        <v>26</v>
      </c>
      <c r="B3" s="4"/>
      <c r="C3" s="4"/>
      <c r="D3" s="4"/>
      <c r="E3" s="4"/>
      <c r="F3" s="165"/>
      <c r="G3" s="243"/>
      <c r="H3" s="243"/>
      <c r="I3" s="243"/>
      <c r="J3" s="243"/>
      <c r="K3" s="243"/>
    </row>
    <row r="4" spans="1:11">
      <c r="A4" s="18" t="s">
        <v>27</v>
      </c>
      <c r="B4" s="3"/>
      <c r="C4" s="3"/>
      <c r="D4" s="3"/>
      <c r="E4" s="3"/>
      <c r="F4" s="167"/>
      <c r="G4" s="3">
        <f>BS!F4-BS!G4</f>
        <v>-72133.456000000122</v>
      </c>
      <c r="H4" s="3">
        <f>BS!G4-BS!H4</f>
        <v>-34881.476615999825</v>
      </c>
      <c r="I4" s="3">
        <f>BS!H4-BS!I4</f>
        <v>-28782.898781112046</v>
      </c>
      <c r="J4" s="3">
        <f>BS!I4-BS!J4</f>
        <v>-28767.195819890243</v>
      </c>
      <c r="K4" s="3">
        <f>BS!J4-BS!K4</f>
        <v>-29781.751758009894</v>
      </c>
    </row>
    <row r="5" spans="1:11">
      <c r="A5" s="18" t="s">
        <v>28</v>
      </c>
      <c r="B5" s="3"/>
      <c r="C5" s="3"/>
      <c r="D5" s="3"/>
      <c r="E5" s="3"/>
      <c r="F5" s="167"/>
      <c r="G5" s="3">
        <f>BS!F5-BS!G5</f>
        <v>-80219.329600000288</v>
      </c>
      <c r="H5" s="3">
        <f>BS!G5-BS!H5</f>
        <v>-44121.534976799507</v>
      </c>
      <c r="I5" s="3">
        <f>BS!H5-BS!I5</f>
        <v>-33541.441904376261</v>
      </c>
      <c r="J5" s="3">
        <f>BS!I5-BS!J5</f>
        <v>-32694.621613870375</v>
      </c>
      <c r="K5" s="3">
        <f>BS!J5-BS!K5</f>
        <v>-46374.442023186944</v>
      </c>
    </row>
    <row r="6" spans="1:11">
      <c r="A6" s="19" t="s">
        <v>29</v>
      </c>
      <c r="B6" s="14"/>
      <c r="C6" s="14"/>
      <c r="D6" s="14"/>
      <c r="E6" s="14"/>
      <c r="F6" s="166"/>
      <c r="G6" s="180">
        <f>BS!F6-BS!G6</f>
        <v>-31347.876700000081</v>
      </c>
      <c r="H6" s="14">
        <f>BS!G6-BS!H6</f>
        <v>-11471.027357159881</v>
      </c>
      <c r="I6" s="14">
        <f>BS!H6-BS!I6</f>
        <v>-8963.9139522353653</v>
      </c>
      <c r="J6" s="14">
        <f>BS!I6-BS!J6</f>
        <v>-8814.0323330654646</v>
      </c>
      <c r="K6" s="14">
        <f>BS!J6-BS!K6</f>
        <v>-11317.065668043855</v>
      </c>
    </row>
    <row r="7" spans="1:11">
      <c r="A7" s="20" t="s">
        <v>30</v>
      </c>
      <c r="B7" s="3"/>
      <c r="C7" s="3"/>
      <c r="D7" s="3"/>
      <c r="E7" s="3"/>
      <c r="F7" s="167"/>
      <c r="G7" s="257"/>
      <c r="H7" s="257"/>
      <c r="I7" s="257"/>
      <c r="J7" s="257"/>
      <c r="K7" s="257"/>
    </row>
    <row r="8" spans="1:11">
      <c r="A8" s="23" t="s">
        <v>31</v>
      </c>
      <c r="B8" s="3"/>
      <c r="C8" s="3"/>
      <c r="D8" s="3"/>
      <c r="E8" s="3"/>
      <c r="F8" s="167"/>
      <c r="G8" s="3">
        <f>BS!F8-BS!G8</f>
        <v>-691941.59865000052</v>
      </c>
      <c r="H8" s="3">
        <f>BS!G8-BS!H8</f>
        <v>-481073.13296811003</v>
      </c>
      <c r="I8" s="3">
        <f>BS!H8-BS!I8</f>
        <v>-311298.07887878222</v>
      </c>
      <c r="J8" s="3">
        <f>BS!I8-BS!J8</f>
        <v>-316476.60185450129</v>
      </c>
      <c r="K8" s="3">
        <f>BS!J8-BS!K8</f>
        <v>-321851.96284368541</v>
      </c>
    </row>
    <row r="9" spans="1:11">
      <c r="A9" s="23" t="s">
        <v>32</v>
      </c>
      <c r="B9" s="3"/>
      <c r="C9" s="3"/>
      <c r="D9" s="3"/>
      <c r="E9" s="3"/>
      <c r="F9" s="167"/>
      <c r="G9" s="93">
        <f>BS!F9-BS!G9</f>
        <v>0</v>
      </c>
      <c r="H9" s="3">
        <f>BS!G9-BS!H9</f>
        <v>0</v>
      </c>
      <c r="I9" s="3">
        <f>BS!H9-BS!I9</f>
        <v>0</v>
      </c>
      <c r="J9" s="3">
        <f>BS!I9-BS!J9</f>
        <v>0</v>
      </c>
      <c r="K9" s="3">
        <f>BS!J9-BS!K9</f>
        <v>0</v>
      </c>
    </row>
    <row r="10" spans="1:11">
      <c r="A10" s="23" t="s">
        <v>33</v>
      </c>
      <c r="B10" s="3"/>
      <c r="C10" s="3"/>
      <c r="D10" s="3"/>
      <c r="E10" s="3"/>
      <c r="F10" s="167"/>
      <c r="G10" s="3">
        <f>BS!F10-BS!G10</f>
        <v>79249</v>
      </c>
      <c r="H10" s="3">
        <f>BS!G10-BS!H10</f>
        <v>78667</v>
      </c>
      <c r="I10" s="3">
        <f>BS!H10-BS!I10</f>
        <v>78667</v>
      </c>
      <c r="J10" s="3">
        <f>BS!I10-BS!J10</f>
        <v>78620</v>
      </c>
      <c r="K10" s="3">
        <f>BS!J10-BS!K10</f>
        <v>77527</v>
      </c>
    </row>
    <row r="11" spans="1:11">
      <c r="A11" s="23" t="s">
        <v>34</v>
      </c>
      <c r="B11" s="3"/>
      <c r="C11" s="3"/>
      <c r="D11" s="3"/>
      <c r="E11" s="3"/>
      <c r="F11" s="167"/>
      <c r="G11" s="3">
        <f>BS!F11-BS!G11</f>
        <v>-62157.871999999974</v>
      </c>
      <c r="H11" s="3">
        <f>BS!G11-BS!H11</f>
        <v>-44847.612791999709</v>
      </c>
      <c r="I11" s="3">
        <f>BS!H11-BS!I11</f>
        <v>-37006.584147144109</v>
      </c>
      <c r="J11" s="3">
        <f>BS!I11-BS!J11</f>
        <v>-36986.394625573186</v>
      </c>
      <c r="K11" s="3">
        <f>BS!J11-BS!K11</f>
        <v>-38290.82368886983</v>
      </c>
    </row>
    <row r="12" spans="1:11">
      <c r="A12" s="23" t="s">
        <v>35</v>
      </c>
      <c r="B12" s="3"/>
      <c r="C12" s="3"/>
      <c r="D12" s="3"/>
      <c r="E12" s="3"/>
      <c r="F12" s="167"/>
      <c r="G12" s="3">
        <f>BS!F12-BS!G12</f>
        <v>-12692.988049858257</v>
      </c>
      <c r="H12" s="3">
        <f>BS!G12-BS!H12</f>
        <v>-7334.7048955417922</v>
      </c>
      <c r="I12" s="3">
        <f>BS!H12-BS!I12</f>
        <v>-7047.5539942178584</v>
      </c>
      <c r="J12" s="3">
        <f>BS!I12-BS!J12</f>
        <v>-3712.1644684181229</v>
      </c>
      <c r="K12" s="3">
        <f>BS!J12-BS!K12</f>
        <v>-2675.770261655096</v>
      </c>
    </row>
    <row r="13" spans="1:11" ht="14.7" thickBot="1">
      <c r="A13" s="22" t="s">
        <v>36</v>
      </c>
      <c r="B13" s="12"/>
      <c r="C13" s="12"/>
      <c r="D13" s="12"/>
      <c r="E13" s="12"/>
      <c r="F13" s="245"/>
      <c r="G13" s="259"/>
      <c r="H13" s="259"/>
      <c r="I13" s="259"/>
      <c r="J13" s="259"/>
      <c r="K13" s="259"/>
    </row>
    <row r="14" spans="1:11">
      <c r="A14" s="24" t="s">
        <v>37</v>
      </c>
    </row>
    <row r="15" spans="1:11">
      <c r="A15" s="18" t="s">
        <v>38</v>
      </c>
      <c r="B15" s="3"/>
      <c r="C15" s="3"/>
      <c r="D15" s="3"/>
      <c r="E15" s="3"/>
      <c r="F15" s="167"/>
      <c r="G15" s="181">
        <f>BS!G15-BS!F15</f>
        <v>70160.434400000144</v>
      </c>
      <c r="H15" s="3">
        <f>BS!H15-BS!G15</f>
        <v>39329.236653119558</v>
      </c>
      <c r="I15" s="3">
        <f>BS!I15-BS!H15</f>
        <v>30733.419264807133</v>
      </c>
      <c r="J15" s="3">
        <f>BS!J15-BS!I15</f>
        <v>30219.539427652955</v>
      </c>
      <c r="K15" s="3">
        <f>BS!K15-BS!J15</f>
        <v>38801.368004721589</v>
      </c>
    </row>
    <row r="16" spans="1:11">
      <c r="A16" s="18" t="s">
        <v>39</v>
      </c>
      <c r="B16" s="3"/>
      <c r="C16" s="3"/>
      <c r="D16" s="3"/>
      <c r="E16" s="3"/>
      <c r="F16" s="167"/>
      <c r="G16" s="181">
        <f>BS!G16-BS!F16</f>
        <v>78110.630100000068</v>
      </c>
      <c r="H16" s="3">
        <f>BS!H16-BS!G16</f>
        <v>34413.082071479643</v>
      </c>
      <c r="I16" s="3">
        <f>BS!I16-BS!H16</f>
        <v>26891.741856706212</v>
      </c>
      <c r="J16" s="3">
        <f>BS!J16-BS!I16</f>
        <v>26442.096999196336</v>
      </c>
      <c r="K16" s="3">
        <f>BS!K16-BS!J16</f>
        <v>33951.197004131507</v>
      </c>
    </row>
    <row r="17" spans="1:13">
      <c r="A17" s="18" t="s">
        <v>40</v>
      </c>
      <c r="B17" s="3"/>
      <c r="C17" s="3"/>
      <c r="D17" s="3"/>
      <c r="E17" s="3"/>
      <c r="F17" s="167"/>
      <c r="G17" s="3">
        <f>BS!G17-BS!F17</f>
        <v>2155.1646749763768</v>
      </c>
      <c r="H17" s="3">
        <f>BS!H17-BS!G17</f>
        <v>1222.4508159236339</v>
      </c>
      <c r="I17" s="3">
        <f>BS!I17-BS!H17</f>
        <v>1174.5923323696425</v>
      </c>
      <c r="J17" s="3">
        <f>BS!J17-BS!I17</f>
        <v>618.69407806968775</v>
      </c>
      <c r="K17" s="3">
        <f>BS!K17-BS!J17</f>
        <v>445.96171027584751</v>
      </c>
    </row>
    <row r="18" spans="1:13">
      <c r="A18" s="18" t="s">
        <v>41</v>
      </c>
      <c r="B18" s="3"/>
      <c r="C18" s="3"/>
      <c r="D18" s="3"/>
      <c r="E18" s="3"/>
      <c r="F18" s="167"/>
      <c r="G18" s="3">
        <f>BS!G18-BS!F18</f>
        <v>56210</v>
      </c>
      <c r="H18" s="3">
        <f>BS!H18-BS!G18</f>
        <v>-250000</v>
      </c>
      <c r="I18" s="3">
        <f>BS!I18-BS!H18</f>
        <v>0</v>
      </c>
      <c r="J18" s="3">
        <f>BS!J18-BS!I18</f>
        <v>0</v>
      </c>
      <c r="K18" s="3">
        <f>BS!K18-BS!J18</f>
        <v>0</v>
      </c>
    </row>
    <row r="19" spans="1:13">
      <c r="A19" s="19" t="s">
        <v>42</v>
      </c>
      <c r="B19" s="14"/>
      <c r="C19" s="14"/>
      <c r="D19" s="14"/>
      <c r="E19" s="14"/>
      <c r="F19" s="166"/>
      <c r="G19" s="14">
        <f>BS!G19-BS!F19</f>
        <v>-253578</v>
      </c>
      <c r="H19" s="14">
        <f>BS!H19-BS!G19</f>
        <v>0</v>
      </c>
      <c r="I19" s="14">
        <f>BS!I19-BS!H19</f>
        <v>0</v>
      </c>
      <c r="J19" s="14">
        <f>BS!J19-BS!I19</f>
        <v>0</v>
      </c>
      <c r="K19" s="14">
        <f>BS!K19-BS!J19</f>
        <v>0</v>
      </c>
    </row>
    <row r="20" spans="1:13">
      <c r="A20" s="20" t="s">
        <v>43</v>
      </c>
      <c r="B20" s="3"/>
      <c r="C20" s="3"/>
      <c r="D20" s="3"/>
      <c r="E20" s="3"/>
      <c r="F20" s="167"/>
      <c r="G20" s="257"/>
      <c r="H20" s="257"/>
      <c r="I20" s="257"/>
      <c r="J20" s="257"/>
      <c r="K20" s="257"/>
    </row>
    <row r="21" spans="1:13">
      <c r="A21" s="23" t="s">
        <v>44</v>
      </c>
      <c r="B21" s="3"/>
      <c r="C21" s="3"/>
      <c r="D21" s="3"/>
      <c r="E21" s="3"/>
      <c r="F21" s="167"/>
      <c r="G21" s="3">
        <f>BS!G21-BS!F21</f>
        <v>251786.71799999988</v>
      </c>
      <c r="H21" s="3">
        <f>BS!H21-BS!G21</f>
        <v>192865.65554519976</v>
      </c>
      <c r="I21" s="3">
        <f>BS!I21-BS!H21</f>
        <v>145200.14252521936</v>
      </c>
      <c r="J21" s="3">
        <f>BS!J21-BS!I21</f>
        <v>150131.66180862905</v>
      </c>
      <c r="K21" s="3">
        <f>BS!K21-BS!J21</f>
        <v>155237.10496714478</v>
      </c>
    </row>
    <row r="22" spans="1:13">
      <c r="A22" s="23" t="s">
        <v>45</v>
      </c>
      <c r="B22" s="3"/>
      <c r="C22" s="3"/>
      <c r="D22" s="3"/>
      <c r="E22" s="3"/>
      <c r="F22" s="167"/>
      <c r="G22" s="3">
        <f>BS!G22-BS!F22</f>
        <v>60796.825800000108</v>
      </c>
      <c r="H22" s="3">
        <f>BS!H22-BS!G22</f>
        <v>29496.927489839727</v>
      </c>
      <c r="I22" s="3">
        <f>BS!I22-BS!H22</f>
        <v>23050.064448605175</v>
      </c>
      <c r="J22" s="3">
        <f>BS!J22-BS!I22</f>
        <v>22664.654570739833</v>
      </c>
      <c r="K22" s="3">
        <f>BS!K22-BS!J22</f>
        <v>29101.026003541308</v>
      </c>
    </row>
    <row r="23" spans="1:13">
      <c r="A23" s="23" t="s">
        <v>35</v>
      </c>
      <c r="B23" s="3"/>
      <c r="C23" s="3"/>
      <c r="D23" s="3"/>
      <c r="E23" s="3"/>
      <c r="F23" s="167"/>
      <c r="G23" s="14">
        <f>BS!G23-BS!F23</f>
        <v>26203.586999055056</v>
      </c>
      <c r="H23" s="3">
        <f>BS!H23-BS!G23</f>
        <v>48898.032636945311</v>
      </c>
      <c r="I23" s="3">
        <f>BS!I23-BS!H23</f>
        <v>46983.693294785742</v>
      </c>
      <c r="J23" s="3">
        <f>BS!J23-BS!I23</f>
        <v>24747.763122787466</v>
      </c>
      <c r="K23" s="3">
        <f>BS!K23-BS!J23</f>
        <v>17838.468411033915</v>
      </c>
    </row>
    <row r="24" spans="1:13">
      <c r="A24" s="21" t="s">
        <v>46</v>
      </c>
      <c r="B24" s="10"/>
      <c r="C24" s="10"/>
      <c r="D24" s="10"/>
      <c r="E24" s="10"/>
      <c r="F24" s="246"/>
      <c r="G24" s="258"/>
      <c r="H24" s="258"/>
      <c r="I24" s="258"/>
      <c r="J24" s="258"/>
      <c r="K24" s="258"/>
    </row>
    <row r="25" spans="1:13">
      <c r="A25" s="1" t="s">
        <v>47</v>
      </c>
    </row>
    <row r="26" spans="1:13">
      <c r="A26" s="2" t="s">
        <v>1</v>
      </c>
      <c r="B26" s="3"/>
      <c r="C26" s="3"/>
      <c r="D26" s="3"/>
      <c r="E26" s="3"/>
      <c r="F26" s="167"/>
      <c r="G26" s="3">
        <f>BS!G26-BS!F26</f>
        <v>0</v>
      </c>
      <c r="H26" s="3">
        <f>BS!H26-BS!G26</f>
        <v>0</v>
      </c>
      <c r="I26" s="3">
        <f>BS!I26-BS!H26</f>
        <v>0</v>
      </c>
      <c r="J26" s="3">
        <f>BS!J26-BS!I26</f>
        <v>0</v>
      </c>
      <c r="K26" s="3">
        <f>BS!K26-BS!J26</f>
        <v>0</v>
      </c>
    </row>
    <row r="27" spans="1:13">
      <c r="A27" s="2" t="s">
        <v>2</v>
      </c>
      <c r="B27" s="4"/>
      <c r="C27" s="4"/>
      <c r="D27" s="4"/>
      <c r="E27" s="4"/>
      <c r="F27" s="165"/>
      <c r="G27" s="4">
        <f>BS!G27-BS!F27</f>
        <v>0</v>
      </c>
      <c r="H27" s="4">
        <f>BS!H27-BS!G27</f>
        <v>0</v>
      </c>
      <c r="I27" s="4">
        <f>BS!I27-BS!H27</f>
        <v>0</v>
      </c>
      <c r="J27" s="4">
        <f>BS!J27-BS!I27</f>
        <v>0</v>
      </c>
      <c r="K27" s="4">
        <f>BS!K27-BS!J27</f>
        <v>0</v>
      </c>
    </row>
    <row r="28" spans="1:13">
      <c r="A28" s="2" t="s">
        <v>96</v>
      </c>
      <c r="B28" s="3"/>
      <c r="C28" s="3"/>
      <c r="D28" s="3"/>
      <c r="E28" s="3"/>
      <c r="F28" s="167"/>
      <c r="G28" s="3">
        <f>BS!G28-BS!F28</f>
        <v>0</v>
      </c>
      <c r="H28" s="3">
        <f>BS!H28-BS!G28</f>
        <v>0</v>
      </c>
      <c r="I28" s="3">
        <f>BS!I28-BS!H28</f>
        <v>0</v>
      </c>
      <c r="J28" s="3">
        <f>BS!J28-BS!I28</f>
        <v>0</v>
      </c>
      <c r="K28" s="3">
        <f>BS!K28-BS!J28</f>
        <v>0</v>
      </c>
    </row>
    <row r="29" spans="1:13">
      <c r="A29" s="2" t="s">
        <v>48</v>
      </c>
      <c r="B29" s="3"/>
      <c r="C29" s="3"/>
      <c r="D29" s="3"/>
      <c r="E29" s="3"/>
      <c r="F29" s="167"/>
      <c r="G29" s="3">
        <f>BS!G29-BS!F29</f>
        <v>0</v>
      </c>
      <c r="H29" s="3">
        <f>BS!H29-BS!G29</f>
        <v>0</v>
      </c>
      <c r="I29" s="3">
        <f>BS!I29-BS!H29</f>
        <v>0</v>
      </c>
      <c r="J29" s="3">
        <f>BS!J29-BS!I29</f>
        <v>0</v>
      </c>
      <c r="K29" s="3">
        <f>BS!K29-BS!J29</f>
        <v>0</v>
      </c>
    </row>
    <row r="30" spans="1:13">
      <c r="A30" s="2" t="s">
        <v>49</v>
      </c>
      <c r="B30" s="3"/>
      <c r="C30" s="3"/>
      <c r="D30" s="3"/>
      <c r="E30" s="3"/>
      <c r="F30" s="167"/>
      <c r="G30" s="257"/>
      <c r="H30" s="257"/>
      <c r="I30" s="257"/>
      <c r="J30" s="257"/>
      <c r="K30" s="257"/>
    </row>
    <row r="31" spans="1:13">
      <c r="A31" s="2" t="s">
        <v>97</v>
      </c>
      <c r="B31" s="3"/>
      <c r="C31" s="3"/>
      <c r="D31" s="3"/>
      <c r="E31" s="3"/>
      <c r="F31" s="167"/>
      <c r="G31" s="3">
        <f>BS!G31-BS!F31</f>
        <v>-250000</v>
      </c>
      <c r="H31" s="3">
        <f>BS!H31-BS!G31</f>
        <v>-250000</v>
      </c>
      <c r="I31" s="3">
        <f>BS!I31-BS!H31</f>
        <v>-250000</v>
      </c>
      <c r="J31" s="3">
        <f>BS!J31-BS!I31</f>
        <v>-250000</v>
      </c>
      <c r="K31" s="3">
        <f>BS!K31-BS!J31</f>
        <v>-250000</v>
      </c>
      <c r="M31" t="s">
        <v>236</v>
      </c>
    </row>
    <row r="32" spans="1:13">
      <c r="A32" s="2" t="s">
        <v>50</v>
      </c>
      <c r="B32" s="14"/>
      <c r="C32" s="14"/>
      <c r="D32" s="14"/>
      <c r="E32" s="14"/>
      <c r="F32" s="166"/>
      <c r="G32" s="14">
        <f>BS!G32-BS!F32</f>
        <v>0</v>
      </c>
      <c r="H32" s="14">
        <f>BS!H32-BS!G32</f>
        <v>0</v>
      </c>
      <c r="I32" s="14">
        <f>BS!I32-BS!H32</f>
        <v>0</v>
      </c>
      <c r="J32" s="14">
        <f>BS!J32-BS!I32</f>
        <v>0</v>
      </c>
      <c r="K32" s="14">
        <f>BS!K32-BS!J32</f>
        <v>0</v>
      </c>
    </row>
    <row r="33" spans="1:13">
      <c r="A33" s="20" t="s">
        <v>51</v>
      </c>
      <c r="B33" s="3"/>
      <c r="C33" s="3"/>
      <c r="D33" s="3"/>
      <c r="E33" s="3"/>
      <c r="F33" s="167"/>
      <c r="G33" s="257"/>
      <c r="H33" s="257"/>
      <c r="I33" s="257"/>
      <c r="J33" s="257"/>
      <c r="K33" s="257"/>
    </row>
    <row r="34" spans="1:13">
      <c r="A34" s="18" t="s">
        <v>52</v>
      </c>
      <c r="B34" s="3"/>
      <c r="C34" s="3"/>
      <c r="D34" s="3"/>
      <c r="E34" s="3"/>
      <c r="F34" s="167"/>
      <c r="G34" s="3">
        <f>BS!G34-BS!F34</f>
        <v>0</v>
      </c>
      <c r="H34" s="3">
        <f>BS!H34-BS!G34</f>
        <v>0</v>
      </c>
      <c r="I34" s="3">
        <f>BS!I34-BS!H34</f>
        <v>0</v>
      </c>
      <c r="J34" s="3">
        <f>BS!J34-BS!I34</f>
        <v>0</v>
      </c>
      <c r="K34" s="3">
        <f>BS!K34-BS!J34</f>
        <v>0</v>
      </c>
    </row>
    <row r="35" spans="1:13">
      <c r="A35" s="21" t="s">
        <v>53</v>
      </c>
      <c r="B35" s="10"/>
      <c r="C35" s="10"/>
      <c r="D35" s="10"/>
      <c r="E35" s="10"/>
      <c r="F35" s="246"/>
      <c r="G35" s="258"/>
      <c r="H35" s="258"/>
      <c r="I35" s="258"/>
      <c r="J35" s="258"/>
      <c r="K35" s="258"/>
    </row>
    <row r="36" spans="1:13" ht="14.7" thickBot="1">
      <c r="A36" s="22" t="s">
        <v>54</v>
      </c>
      <c r="B36" s="12"/>
      <c r="C36" s="12"/>
      <c r="D36" s="12"/>
      <c r="E36" s="12"/>
      <c r="F36" s="245"/>
      <c r="G36" s="259"/>
      <c r="H36" s="259"/>
      <c r="I36" s="259"/>
      <c r="J36" s="259"/>
      <c r="K36" s="259"/>
    </row>
    <row r="37" spans="1:13">
      <c r="A37" s="2"/>
    </row>
    <row r="38" spans="1:13">
      <c r="A38" s="23" t="s">
        <v>320</v>
      </c>
      <c r="F38"/>
      <c r="G38" s="93">
        <f>Schedules!G29</f>
        <v>-837758.06178526767</v>
      </c>
      <c r="H38" s="93">
        <f>Schedules!H29</f>
        <v>-886523.38490615366</v>
      </c>
      <c r="I38" s="93">
        <f>Schedules!I29</f>
        <v>-923501.04150811164</v>
      </c>
      <c r="J38" s="93">
        <f>Schedules!J29</f>
        <v>-974233.95590982586</v>
      </c>
      <c r="K38" s="93">
        <f>Schedules!K29</f>
        <v>-1010802.8161524453</v>
      </c>
    </row>
    <row r="39" spans="1:13">
      <c r="F39"/>
    </row>
    <row r="40" spans="1:13">
      <c r="A40" s="23" t="s">
        <v>321</v>
      </c>
      <c r="F40"/>
      <c r="G40" s="265">
        <f>SUM(G2,G4:G6,G8:G12,G15:G19,G21:G23,G26:G29,G31:G32,G34,G38)</f>
        <v>194527.7589339437</v>
      </c>
      <c r="H40" s="265">
        <f t="shared" ref="H40:K40" si="0">SUM(H2,H4:H6,H8:H12,H15:H19,H21:H23,H26:H29,H31:H32,H34,H38)</f>
        <v>384691.47715886263</v>
      </c>
      <c r="I40" s="265">
        <f t="shared" si="0"/>
        <v>804783.6772412064</v>
      </c>
      <c r="J40" s="265">
        <f t="shared" si="0"/>
        <v>846723.78984821052</v>
      </c>
      <c r="K40" s="265">
        <f t="shared" si="0"/>
        <v>888035.97404372017</v>
      </c>
    </row>
    <row r="41" spans="1:13">
      <c r="F41"/>
    </row>
    <row r="42" spans="1:13">
      <c r="A42" t="s">
        <v>322</v>
      </c>
      <c r="F42"/>
      <c r="G42" s="261">
        <f>BS!F3</f>
        <v>463889</v>
      </c>
      <c r="H42" s="261">
        <f>BS!G3</f>
        <v>658416.7589339437</v>
      </c>
      <c r="I42" s="261">
        <f>BS!H3</f>
        <v>1043108.2360928063</v>
      </c>
      <c r="J42" s="261">
        <f>BS!I3</f>
        <v>1847891.9133340127</v>
      </c>
      <c r="K42" s="261">
        <f>BS!J3</f>
        <v>2694615.7031822233</v>
      </c>
    </row>
    <row r="43" spans="1:13">
      <c r="A43" t="s">
        <v>323</v>
      </c>
      <c r="F43"/>
      <c r="G43" s="261">
        <f>G40+G42</f>
        <v>658416.7589339437</v>
      </c>
      <c r="H43" s="261">
        <f t="shared" ref="H43:K43" si="1">H40+H42</f>
        <v>1043108.2360928063</v>
      </c>
      <c r="I43" s="261">
        <f t="shared" si="1"/>
        <v>1847891.9133340127</v>
      </c>
      <c r="J43" s="261">
        <f t="shared" si="1"/>
        <v>2694615.7031822233</v>
      </c>
      <c r="K43" s="261">
        <f t="shared" si="1"/>
        <v>3582651.6772259437</v>
      </c>
    </row>
    <row r="44" spans="1:13">
      <c r="F44"/>
    </row>
    <row r="45" spans="1:13">
      <c r="A45" t="s">
        <v>328</v>
      </c>
      <c r="F45"/>
      <c r="G45" s="265">
        <f>G40-G38-G31</f>
        <v>1282285.8207192114</v>
      </c>
      <c r="H45" s="265">
        <f t="shared" ref="H45:K45" si="2">H40-H38-H31</f>
        <v>1521214.8620650163</v>
      </c>
      <c r="I45" s="265">
        <f t="shared" si="2"/>
        <v>1978284.718749318</v>
      </c>
      <c r="J45" s="265">
        <f t="shared" si="2"/>
        <v>2070957.7457580364</v>
      </c>
      <c r="K45" s="265">
        <f t="shared" si="2"/>
        <v>2148838.7901961654</v>
      </c>
      <c r="M45" t="s">
        <v>324</v>
      </c>
    </row>
    <row r="47" spans="1:13">
      <c r="A47" t="s">
        <v>325</v>
      </c>
      <c r="G47" s="93">
        <f>BS!G36-BS!G13</f>
        <v>0</v>
      </c>
      <c r="H47" s="93">
        <f>BS!H36-BS!H13</f>
        <v>0</v>
      </c>
      <c r="I47" s="93">
        <f>BS!I36-BS!I13</f>
        <v>0</v>
      </c>
      <c r="J47" s="93">
        <f>BS!J36-BS!J13</f>
        <v>0</v>
      </c>
      <c r="K47" s="93">
        <f>BS!K36-BS!K13</f>
        <v>0</v>
      </c>
    </row>
    <row r="49" spans="7:11">
      <c r="G49" s="264"/>
    </row>
    <row r="50" spans="7:11">
      <c r="G50" s="262"/>
    </row>
    <row r="53" spans="7:11">
      <c r="G53" s="260"/>
      <c r="H53" s="260"/>
      <c r="I53" s="260"/>
      <c r="J53" s="260"/>
      <c r="K53" s="260"/>
    </row>
    <row r="54" spans="7:11">
      <c r="K54" s="260"/>
    </row>
    <row r="55" spans="7:11">
      <c r="K55" s="260"/>
    </row>
    <row r="56" spans="7:11">
      <c r="K56" s="260"/>
    </row>
    <row r="59" spans="7:11">
      <c r="G59" s="264"/>
    </row>
    <row r="60" spans="7:11">
      <c r="G60" s="264"/>
    </row>
  </sheetData>
  <conditionalFormatting sqref="G47:K47">
    <cfRule type="cellIs" dxfId="1" priority="1" operator="notEqual">
      <formula>0</formula>
    </cfRule>
    <cfRule type="cellIs" dxfId="0" priority="2" operator="equal">
      <formula>0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7844-1443-014E-9060-EF4AB32F0C24}">
  <dimension ref="A1:M36"/>
  <sheetViews>
    <sheetView zoomScaleNormal="100" workbookViewId="0">
      <selection activeCell="J20" sqref="J20"/>
    </sheetView>
  </sheetViews>
  <sheetFormatPr defaultColWidth="10.8203125" defaultRowHeight="14.35"/>
  <cols>
    <col min="1" max="1" width="46.8203125" bestFit="1" customWidth="1"/>
    <col min="2" max="2" width="14" bestFit="1" customWidth="1"/>
    <col min="7" max="7" width="12.3515625" bestFit="1" customWidth="1"/>
    <col min="12" max="12" width="4.46875" bestFit="1" customWidth="1"/>
    <col min="13" max="13" width="47.3515625" bestFit="1" customWidth="1"/>
  </cols>
  <sheetData>
    <row r="1" spans="1:13" s="87" customFormat="1" ht="30">
      <c r="A1" s="16"/>
      <c r="B1" s="70" t="s">
        <v>0</v>
      </c>
      <c r="C1" s="70" t="s">
        <v>95</v>
      </c>
      <c r="D1" s="70" t="s">
        <v>93</v>
      </c>
      <c r="E1" s="70" t="s">
        <v>92</v>
      </c>
      <c r="F1" s="70" t="s">
        <v>91</v>
      </c>
      <c r="G1" s="70" t="s">
        <v>179</v>
      </c>
      <c r="H1" s="70" t="s">
        <v>240</v>
      </c>
      <c r="I1" s="70" t="s">
        <v>241</v>
      </c>
      <c r="J1" s="70" t="s">
        <v>242</v>
      </c>
      <c r="K1" s="70" t="s">
        <v>243</v>
      </c>
      <c r="M1" s="88" t="s">
        <v>166</v>
      </c>
    </row>
    <row r="2" spans="1:13">
      <c r="A2" s="89" t="s">
        <v>31</v>
      </c>
      <c r="B2" s="90"/>
      <c r="C2" s="90"/>
      <c r="D2" s="90"/>
      <c r="E2" s="90"/>
      <c r="F2" s="90"/>
      <c r="G2" s="90"/>
      <c r="H2" s="90"/>
      <c r="I2" s="90"/>
      <c r="J2" s="90"/>
      <c r="K2" s="91"/>
    </row>
    <row r="3" spans="1:13">
      <c r="A3" s="92" t="s">
        <v>180</v>
      </c>
      <c r="B3" s="93">
        <v>4460723</v>
      </c>
      <c r="C3" s="93">
        <f>B5</f>
        <v>4581671</v>
      </c>
      <c r="D3" s="93">
        <f t="shared" ref="D3:F3" si="0">C5</f>
        <v>4734403</v>
      </c>
      <c r="E3" s="93">
        <f t="shared" si="0"/>
        <v>4964887</v>
      </c>
      <c r="F3" s="93">
        <f t="shared" si="0"/>
        <v>5400957</v>
      </c>
      <c r="G3" s="94">
        <f>F5</f>
        <v>5709487</v>
      </c>
      <c r="H3" s="94">
        <f t="shared" ref="H3:K3" si="1">G5</f>
        <v>6548776.0600000005</v>
      </c>
      <c r="I3" s="94">
        <f t="shared" si="1"/>
        <v>7191661.5784840006</v>
      </c>
      <c r="J3" s="94">
        <f t="shared" si="1"/>
        <v>7675662.0535680642</v>
      </c>
      <c r="K3" s="94">
        <f t="shared" si="1"/>
        <v>8176100.9262634944</v>
      </c>
      <c r="M3" t="s">
        <v>181</v>
      </c>
    </row>
    <row r="4" spans="1:13">
      <c r="A4" s="95" t="s">
        <v>182</v>
      </c>
      <c r="B4" s="93">
        <f>B5-B3</f>
        <v>120948</v>
      </c>
      <c r="C4" s="93">
        <f t="shared" ref="C4:F4" si="2">C5-C3</f>
        <v>152732</v>
      </c>
      <c r="D4" s="93">
        <f t="shared" si="2"/>
        <v>230484</v>
      </c>
      <c r="E4" s="93">
        <f t="shared" si="2"/>
        <v>436070</v>
      </c>
      <c r="F4" s="93">
        <f t="shared" si="2"/>
        <v>308530</v>
      </c>
      <c r="G4" s="94">
        <f>G11*IS!G3</f>
        <v>839289.06</v>
      </c>
      <c r="H4" s="94">
        <f>H11*IS!H3</f>
        <v>642885.51848399988</v>
      </c>
      <c r="I4" s="94">
        <f>I11*IS!I3</f>
        <v>484000.47508406395</v>
      </c>
      <c r="J4" s="94">
        <f>J11*IS!J3</f>
        <v>500438.87269542977</v>
      </c>
      <c r="K4" s="94">
        <f>K11*IS!K3</f>
        <v>517457.01655714976</v>
      </c>
      <c r="M4" t="s">
        <v>183</v>
      </c>
    </row>
    <row r="5" spans="1:13">
      <c r="A5" s="95" t="s">
        <v>184</v>
      </c>
      <c r="B5" s="96">
        <v>4581671</v>
      </c>
      <c r="C5" s="96">
        <v>4734403</v>
      </c>
      <c r="D5" s="96">
        <v>4964887</v>
      </c>
      <c r="E5" s="96">
        <v>5400957</v>
      </c>
      <c r="F5" s="96">
        <v>5709487</v>
      </c>
      <c r="G5" s="97">
        <f>SUM(G3:G4)</f>
        <v>6548776.0600000005</v>
      </c>
      <c r="H5" s="97">
        <f t="shared" ref="H5:K5" si="3">SUM(H3:H4)</f>
        <v>7191661.5784840006</v>
      </c>
      <c r="I5" s="97">
        <f t="shared" si="3"/>
        <v>7675662.0535680642</v>
      </c>
      <c r="J5" s="97">
        <f t="shared" si="3"/>
        <v>8176100.9262634944</v>
      </c>
      <c r="K5" s="97">
        <f t="shared" si="3"/>
        <v>8693557.942820644</v>
      </c>
      <c r="M5" t="s">
        <v>185</v>
      </c>
    </row>
    <row r="6" spans="1:13">
      <c r="A6" s="98" t="s">
        <v>186</v>
      </c>
      <c r="B6" s="93">
        <v>-2354026</v>
      </c>
      <c r="C6" s="93">
        <f>B8</f>
        <v>-2451377</v>
      </c>
      <c r="D6" s="93">
        <f t="shared" ref="D6:F6" si="4">C8</f>
        <v>-2581264</v>
      </c>
      <c r="E6" s="93">
        <f t="shared" si="4"/>
        <v>-2679632</v>
      </c>
      <c r="F6" s="93">
        <f t="shared" si="4"/>
        <v>-2814770</v>
      </c>
      <c r="G6" s="94">
        <f>F8</f>
        <v>-2939785</v>
      </c>
      <c r="H6" s="94">
        <f t="shared" ref="H6:K6" si="5">G8</f>
        <v>-3087132.46135</v>
      </c>
      <c r="I6" s="94">
        <f t="shared" si="5"/>
        <v>-3248944.8468658901</v>
      </c>
      <c r="J6" s="94">
        <f t="shared" si="5"/>
        <v>-3421647.2430711715</v>
      </c>
      <c r="K6" s="94">
        <f t="shared" si="5"/>
        <v>-3605609.5139120999</v>
      </c>
      <c r="M6" t="s">
        <v>181</v>
      </c>
    </row>
    <row r="7" spans="1:13">
      <c r="A7" s="95" t="s">
        <v>187</v>
      </c>
      <c r="B7" s="99">
        <f>B8-B6</f>
        <v>-97351</v>
      </c>
      <c r="C7" s="99">
        <f>C8-C6</f>
        <v>-129887</v>
      </c>
      <c r="D7" s="99">
        <f t="shared" ref="D7:F7" si="6">D8-D6</f>
        <v>-98368</v>
      </c>
      <c r="E7" s="99">
        <f t="shared" si="6"/>
        <v>-135138</v>
      </c>
      <c r="F7" s="99">
        <f t="shared" si="6"/>
        <v>-125015</v>
      </c>
      <c r="G7" s="100">
        <f>G12*G5</f>
        <v>-147347.46135</v>
      </c>
      <c r="H7" s="100">
        <f>H12*H5</f>
        <v>-161812.38551589</v>
      </c>
      <c r="I7" s="100">
        <f t="shared" ref="I7:K7" si="7">I12*I5</f>
        <v>-172702.39620528143</v>
      </c>
      <c r="J7" s="100">
        <f t="shared" si="7"/>
        <v>-183962.27084092863</v>
      </c>
      <c r="K7" s="100">
        <f t="shared" si="7"/>
        <v>-195605.05371346447</v>
      </c>
      <c r="M7" t="s">
        <v>188</v>
      </c>
    </row>
    <row r="8" spans="1:13">
      <c r="A8" s="95" t="s">
        <v>189</v>
      </c>
      <c r="B8" s="101">
        <v>-2451377</v>
      </c>
      <c r="C8" s="93">
        <v>-2581264</v>
      </c>
      <c r="D8" s="101">
        <v>-2679632</v>
      </c>
      <c r="E8" s="101">
        <v>-2814770</v>
      </c>
      <c r="F8" s="101">
        <v>-2939785</v>
      </c>
      <c r="G8" s="94">
        <f>SUM(G6:G7)</f>
        <v>-3087132.46135</v>
      </c>
      <c r="H8" s="94">
        <f t="shared" ref="H8:K8" si="8">SUM(H6:H7)</f>
        <v>-3248944.8468658901</v>
      </c>
      <c r="I8" s="94">
        <f t="shared" si="8"/>
        <v>-3421647.2430711715</v>
      </c>
      <c r="J8" s="94">
        <f t="shared" si="8"/>
        <v>-3605609.5139120999</v>
      </c>
      <c r="K8" s="94">
        <f t="shared" si="8"/>
        <v>-3801214.5676255645</v>
      </c>
      <c r="M8" t="s">
        <v>185</v>
      </c>
    </row>
    <row r="9" spans="1:13">
      <c r="A9" s="102" t="s">
        <v>31</v>
      </c>
      <c r="B9" s="103">
        <f>B5+B8</f>
        <v>2130294</v>
      </c>
      <c r="C9" s="103">
        <f>C5+C8</f>
        <v>2153139</v>
      </c>
      <c r="D9" s="103">
        <f t="shared" ref="D9:F9" si="9">D5+D8</f>
        <v>2285255</v>
      </c>
      <c r="E9" s="103">
        <f t="shared" si="9"/>
        <v>2586187</v>
      </c>
      <c r="F9" s="103">
        <f t="shared" si="9"/>
        <v>2769702</v>
      </c>
      <c r="G9" s="104">
        <f>G5+G8</f>
        <v>3461643.5986500005</v>
      </c>
      <c r="H9" s="104">
        <f t="shared" ref="H9:K9" si="10">H5+H8</f>
        <v>3942716.7316181106</v>
      </c>
      <c r="I9" s="104">
        <f t="shared" si="10"/>
        <v>4254014.8104968928</v>
      </c>
      <c r="J9" s="104">
        <f t="shared" si="10"/>
        <v>4570491.4123513941</v>
      </c>
      <c r="K9" s="104">
        <f t="shared" si="10"/>
        <v>4892343.3751950795</v>
      </c>
      <c r="M9" t="s">
        <v>185</v>
      </c>
    </row>
    <row r="11" spans="1:13">
      <c r="A11" t="s">
        <v>190</v>
      </c>
      <c r="B11" s="105">
        <f>B4/IS!B3</f>
        <v>1.5523928744566375E-2</v>
      </c>
      <c r="C11" s="105">
        <f>C4/IS!C3</f>
        <v>1.9124365221633376E-2</v>
      </c>
      <c r="D11" s="105">
        <f>D4/IS!D3</f>
        <v>2.8281220493614565E-2</v>
      </c>
      <c r="E11" s="105">
        <f>E4/IS!E3</f>
        <v>4.860702479463206E-2</v>
      </c>
      <c r="F11" s="105">
        <f>F4/IS!F3</f>
        <v>2.9611411291398437E-2</v>
      </c>
      <c r="G11" s="79">
        <v>7.4999999999999997E-2</v>
      </c>
      <c r="H11" s="79">
        <v>5.5E-2</v>
      </c>
      <c r="I11" s="79">
        <v>0.04</v>
      </c>
      <c r="J11" s="79">
        <v>0.04</v>
      </c>
      <c r="K11" s="79">
        <v>0.04</v>
      </c>
      <c r="M11" t="s">
        <v>254</v>
      </c>
    </row>
    <row r="12" spans="1:13">
      <c r="A12" t="s">
        <v>191</v>
      </c>
      <c r="B12" s="105">
        <f>B7/B5</f>
        <v>-2.1247924610911607E-2</v>
      </c>
      <c r="C12" s="105">
        <f>C7/C5</f>
        <v>-2.7434715633628991E-2</v>
      </c>
      <c r="D12" s="105">
        <f t="shared" ref="D12:E12" si="11">D7/D5</f>
        <v>-1.9812736926338909E-2</v>
      </c>
      <c r="E12" s="105">
        <f t="shared" si="11"/>
        <v>-2.5021121256843925E-2</v>
      </c>
      <c r="F12" s="105">
        <f>F7/F5</f>
        <v>-2.1896012724085367E-2</v>
      </c>
      <c r="G12" s="213">
        <v>-2.2499999999999999E-2</v>
      </c>
      <c r="H12" s="213">
        <v>-2.2499999999999999E-2</v>
      </c>
      <c r="I12" s="213">
        <v>-2.2499999999999999E-2</v>
      </c>
      <c r="J12" s="213">
        <v>-2.2499999999999999E-2</v>
      </c>
      <c r="K12" s="213">
        <v>-2.2499999999999999E-2</v>
      </c>
      <c r="M12" t="s">
        <v>192</v>
      </c>
    </row>
    <row r="13" spans="1:13">
      <c r="B13" s="105"/>
      <c r="C13" s="105"/>
      <c r="D13" s="105"/>
      <c r="E13" s="105"/>
      <c r="F13" s="105"/>
      <c r="G13" s="79"/>
      <c r="H13" s="79"/>
      <c r="I13" s="79"/>
      <c r="J13" s="79"/>
      <c r="K13" s="79"/>
    </row>
    <row r="14" spans="1:13">
      <c r="A14" s="89" t="s">
        <v>193</v>
      </c>
      <c r="B14" s="90">
        <v>2018</v>
      </c>
      <c r="C14" s="90">
        <v>2019</v>
      </c>
      <c r="D14" s="90">
        <v>2020</v>
      </c>
      <c r="E14" s="90">
        <v>2021</v>
      </c>
      <c r="F14" s="90">
        <v>2022</v>
      </c>
      <c r="G14" s="90">
        <v>2023</v>
      </c>
      <c r="H14" s="90">
        <v>2024</v>
      </c>
      <c r="I14" s="90">
        <v>2025</v>
      </c>
      <c r="J14" s="90">
        <v>2026</v>
      </c>
      <c r="K14" s="90">
        <v>2027</v>
      </c>
    </row>
    <row r="15" spans="1:13">
      <c r="A15" s="23" t="s">
        <v>41</v>
      </c>
      <c r="B15" s="93">
        <f>BS!B18</f>
        <v>1197929</v>
      </c>
      <c r="C15" s="93">
        <f>BS!C18</f>
        <v>32282</v>
      </c>
      <c r="D15" s="93">
        <f>BS!D18</f>
        <v>74041</v>
      </c>
      <c r="E15" s="93">
        <f>BS!E18</f>
        <v>939423</v>
      </c>
      <c r="F15" s="93">
        <f>BS!F18</f>
        <v>693790</v>
      </c>
      <c r="G15" s="106">
        <v>750000</v>
      </c>
      <c r="H15" s="106">
        <v>500000</v>
      </c>
      <c r="I15" s="106">
        <v>500000</v>
      </c>
      <c r="J15" s="106">
        <v>500000</v>
      </c>
      <c r="K15" s="106">
        <v>500000</v>
      </c>
      <c r="M15" t="s">
        <v>194</v>
      </c>
    </row>
    <row r="16" spans="1:13">
      <c r="A16" s="23" t="s">
        <v>42</v>
      </c>
      <c r="B16" s="93">
        <f>BS!B19</f>
        <v>5387</v>
      </c>
      <c r="C16" s="93">
        <f>BS!C19</f>
        <v>703390</v>
      </c>
      <c r="D16" s="93">
        <f>BS!D19</f>
        <v>438829</v>
      </c>
      <c r="E16" s="93">
        <f>BS!E19</f>
        <v>2844</v>
      </c>
      <c r="F16" s="93">
        <f>BS!F19</f>
        <v>753578</v>
      </c>
      <c r="G16" s="106">
        <v>500000</v>
      </c>
      <c r="H16" s="106">
        <v>500000</v>
      </c>
      <c r="I16" s="106">
        <v>500000</v>
      </c>
      <c r="J16" s="106">
        <v>500000</v>
      </c>
      <c r="K16" s="106">
        <v>500000</v>
      </c>
      <c r="M16" t="s">
        <v>195</v>
      </c>
    </row>
    <row r="17" spans="1:13">
      <c r="A17" s="23" t="s">
        <v>44</v>
      </c>
      <c r="B17" s="99">
        <f>BS!B21</f>
        <v>3254280</v>
      </c>
      <c r="C17" s="99">
        <f>BS!C21</f>
        <v>3530813</v>
      </c>
      <c r="D17" s="99">
        <f>BS!D21</f>
        <v>4089755</v>
      </c>
      <c r="E17" s="99">
        <f>BS!E21</f>
        <v>4086627</v>
      </c>
      <c r="F17" s="99">
        <f>BS!F21</f>
        <v>3343977</v>
      </c>
      <c r="G17" s="107">
        <f>F17+$L$17*G4</f>
        <v>3595763.7179999999</v>
      </c>
      <c r="H17" s="107">
        <f t="shared" ref="H17:K17" si="12">G17+$L$17*H4</f>
        <v>3788629.3735451996</v>
      </c>
      <c r="I17" s="107">
        <f t="shared" si="12"/>
        <v>3933829.516070419</v>
      </c>
      <c r="J17" s="107">
        <f t="shared" si="12"/>
        <v>4083961.177879048</v>
      </c>
      <c r="K17" s="107">
        <f t="shared" si="12"/>
        <v>4239198.2828461928</v>
      </c>
      <c r="L17" s="263">
        <v>0.3</v>
      </c>
      <c r="M17" t="s">
        <v>326</v>
      </c>
    </row>
    <row r="18" spans="1:13">
      <c r="A18" s="18" t="s">
        <v>196</v>
      </c>
      <c r="B18" s="108">
        <v>4457596</v>
      </c>
      <c r="C18" s="108">
        <f t="shared" ref="C18:F18" si="13">SUM(C15:C17)</f>
        <v>4266485</v>
      </c>
      <c r="D18" s="108">
        <f t="shared" si="13"/>
        <v>4602625</v>
      </c>
      <c r="E18" s="108">
        <f t="shared" si="13"/>
        <v>5028894</v>
      </c>
      <c r="F18" s="108">
        <f t="shared" si="13"/>
        <v>4791345</v>
      </c>
      <c r="G18" s="109">
        <f>SUM(G15:G17)</f>
        <v>4845763.7180000003</v>
      </c>
      <c r="H18" s="109">
        <f>SUM(H15:H17)</f>
        <v>4788629.3735451996</v>
      </c>
      <c r="I18" s="109">
        <f t="shared" ref="I18:K18" si="14">SUM(I15:I17)</f>
        <v>4933829.516070419</v>
      </c>
      <c r="J18" s="109">
        <f t="shared" si="14"/>
        <v>5083961.1778790485</v>
      </c>
      <c r="K18" s="109">
        <f t="shared" si="14"/>
        <v>5239198.2828461928</v>
      </c>
      <c r="M18" t="s">
        <v>197</v>
      </c>
    </row>
    <row r="19" spans="1:13" s="111" customFormat="1">
      <c r="A19" s="110" t="s">
        <v>198</v>
      </c>
      <c r="B19" s="212">
        <f>(B18)/(IS!B9-Schedules!B7)</f>
        <v>2.5900971229187428</v>
      </c>
      <c r="C19" s="212">
        <f>(C18)/(IS!C9-Schedules!C7)</f>
        <v>2.4721222547410275</v>
      </c>
      <c r="D19" s="212">
        <f>(D18)/(IS!D9-Schedules!D7)</f>
        <v>2.4468173897141301</v>
      </c>
      <c r="E19" s="212">
        <f>(E18)/(IS!E9-Schedules!E7)</f>
        <v>2.3080390663007262</v>
      </c>
      <c r="F19" s="212">
        <f>(F18)/(IS!F9-Schedules!F7)</f>
        <v>2.0082743664394616</v>
      </c>
      <c r="G19" s="212">
        <f>(G18)/(IS!G9-Schedules!G7)</f>
        <v>1.8188338292235251</v>
      </c>
      <c r="H19" s="212">
        <f>(H18)/(IS!H9-Schedules!H7)</f>
        <v>1.6803725170784527</v>
      </c>
      <c r="I19" s="212">
        <f>(I18)/(IS!I9-Schedules!I7)</f>
        <v>1.6357738315699581</v>
      </c>
      <c r="J19" s="212">
        <f>(J18)/(IS!J9-Schedules!J7)</f>
        <v>1.595420933309406</v>
      </c>
      <c r="K19" s="212">
        <f>(K18)/(IS!K9-Schedules!K7)</f>
        <v>1.5874688449044863</v>
      </c>
      <c r="M19" t="s">
        <v>327</v>
      </c>
    </row>
    <row r="20" spans="1:13">
      <c r="A20" s="24" t="s">
        <v>199</v>
      </c>
      <c r="B20" s="112">
        <v>2018</v>
      </c>
      <c r="C20" s="112">
        <v>2019</v>
      </c>
      <c r="D20" s="112">
        <v>2020</v>
      </c>
      <c r="E20" s="112">
        <v>2021</v>
      </c>
      <c r="F20" s="112">
        <v>2022</v>
      </c>
      <c r="G20" s="112">
        <v>2023</v>
      </c>
      <c r="H20" s="112">
        <v>2024</v>
      </c>
      <c r="I20" s="112">
        <v>2025</v>
      </c>
      <c r="J20" s="112">
        <v>2026</v>
      </c>
      <c r="K20" s="112">
        <v>2027</v>
      </c>
    </row>
    <row r="21" spans="1:13">
      <c r="A21" s="18" t="s">
        <v>41</v>
      </c>
      <c r="B21" s="105">
        <f t="shared" ref="B21" si="15">B15/B$18</f>
        <v>0.26873880001687006</v>
      </c>
      <c r="C21" s="105">
        <f t="shared" ref="C21:K23" si="16">C15/C$18</f>
        <v>7.5664159138025796E-3</v>
      </c>
      <c r="D21" s="105">
        <f t="shared" si="16"/>
        <v>1.6086689660791395E-2</v>
      </c>
      <c r="E21" s="105">
        <f t="shared" si="16"/>
        <v>0.18680509074162233</v>
      </c>
      <c r="F21" s="105">
        <f t="shared" si="16"/>
        <v>0.14480067705414659</v>
      </c>
      <c r="G21" s="83">
        <f>G15/G$18</f>
        <v>0.15477436450606566</v>
      </c>
      <c r="H21" s="83">
        <f t="shared" si="16"/>
        <v>0.10441401098240173</v>
      </c>
      <c r="I21" s="83">
        <f t="shared" si="16"/>
        <v>0.10134115870266801</v>
      </c>
      <c r="J21" s="83">
        <f t="shared" si="16"/>
        <v>9.8348508673819654E-2</v>
      </c>
      <c r="K21" s="83">
        <f t="shared" si="16"/>
        <v>9.5434448747065775E-2</v>
      </c>
    </row>
    <row r="22" spans="1:13">
      <c r="A22" s="18" t="s">
        <v>42</v>
      </c>
      <c r="B22" s="105">
        <f t="shared" ref="B22" si="17">B16/B$18</f>
        <v>1.2084989308138287E-3</v>
      </c>
      <c r="C22" s="105">
        <f t="shared" ref="C22:F23" si="18">C16/C$18</f>
        <v>0.16486405085216518</v>
      </c>
      <c r="D22" s="105">
        <f t="shared" si="18"/>
        <v>9.5343200890796009E-2</v>
      </c>
      <c r="E22" s="105">
        <f t="shared" si="18"/>
        <v>5.6553190423182513E-4</v>
      </c>
      <c r="F22" s="105">
        <f t="shared" si="18"/>
        <v>0.15727901038226219</v>
      </c>
      <c r="G22" s="83">
        <f>G16/G$18</f>
        <v>0.10318290967071043</v>
      </c>
      <c r="H22" s="83">
        <f t="shared" si="16"/>
        <v>0.10441401098240173</v>
      </c>
      <c r="I22" s="83">
        <f t="shared" si="16"/>
        <v>0.10134115870266801</v>
      </c>
      <c r="J22" s="83">
        <f t="shared" si="16"/>
        <v>9.8348508673819654E-2</v>
      </c>
      <c r="K22" s="83">
        <f t="shared" si="16"/>
        <v>9.5434448747065775E-2</v>
      </c>
    </row>
    <row r="23" spans="1:13">
      <c r="A23" s="18" t="s">
        <v>44</v>
      </c>
      <c r="B23" s="105">
        <f t="shared" ref="B23" si="19">B17/B$18</f>
        <v>0.73005270105231612</v>
      </c>
      <c r="C23" s="105">
        <f t="shared" si="18"/>
        <v>0.82756953323403226</v>
      </c>
      <c r="D23" s="105">
        <f t="shared" si="18"/>
        <v>0.88857010944841264</v>
      </c>
      <c r="E23" s="105">
        <f t="shared" si="18"/>
        <v>0.81262937735414587</v>
      </c>
      <c r="F23" s="105">
        <f t="shared" si="18"/>
        <v>0.69792031256359122</v>
      </c>
      <c r="G23" s="83">
        <f>G17/G$18</f>
        <v>0.74204272582322384</v>
      </c>
      <c r="H23" s="83">
        <f t="shared" si="16"/>
        <v>0.79117197803519657</v>
      </c>
      <c r="I23" s="83">
        <f t="shared" si="16"/>
        <v>0.79731768259466396</v>
      </c>
      <c r="J23" s="83">
        <f t="shared" si="16"/>
        <v>0.80330298265236055</v>
      </c>
      <c r="K23" s="83">
        <f t="shared" si="16"/>
        <v>0.8091311025058685</v>
      </c>
    </row>
    <row r="24" spans="1:13">
      <c r="A24" s="23"/>
    </row>
    <row r="26" spans="1:13">
      <c r="A26" s="89" t="s">
        <v>200</v>
      </c>
      <c r="B26" s="90">
        <v>2014</v>
      </c>
      <c r="C26" s="90">
        <v>2015</v>
      </c>
      <c r="D26" s="90">
        <v>2016</v>
      </c>
      <c r="E26" s="90">
        <v>2017</v>
      </c>
      <c r="F26" s="90">
        <v>2018</v>
      </c>
      <c r="G26" s="90">
        <v>2019</v>
      </c>
      <c r="H26" s="90">
        <v>2020</v>
      </c>
      <c r="I26" s="90">
        <v>2021</v>
      </c>
      <c r="J26" s="90">
        <v>2022</v>
      </c>
      <c r="K26" s="90">
        <v>2023</v>
      </c>
    </row>
    <row r="27" spans="1:13">
      <c r="A27" s="113" t="s">
        <v>201</v>
      </c>
      <c r="B27" s="93"/>
      <c r="C27" s="93"/>
      <c r="D27" s="93">
        <f>C31</f>
        <v>1290461</v>
      </c>
      <c r="E27" s="93">
        <f>D31</f>
        <v>1928673</v>
      </c>
      <c r="F27" s="93">
        <f>E31</f>
        <v>2719936</v>
      </c>
      <c r="G27" s="94">
        <f>F31</f>
        <v>3589781</v>
      </c>
      <c r="H27" s="94">
        <f t="shared" ref="H27:K27" si="20">G31</f>
        <v>4613707.519959772</v>
      </c>
      <c r="I27" s="94">
        <f t="shared" si="20"/>
        <v>5697236.1015117373</v>
      </c>
      <c r="J27" s="94">
        <f t="shared" si="20"/>
        <v>6825959.5966883171</v>
      </c>
      <c r="K27" s="114">
        <f t="shared" si="20"/>
        <v>8016689.9872447699</v>
      </c>
    </row>
    <row r="28" spans="1:13">
      <c r="A28" s="115" t="s">
        <v>202</v>
      </c>
      <c r="B28" s="93"/>
      <c r="C28" s="93"/>
      <c r="D28" s="93">
        <f>IS!D16</f>
        <v>1278708</v>
      </c>
      <c r="E28" s="93">
        <f>IS!E16</f>
        <v>1477512</v>
      </c>
      <c r="F28" s="93">
        <f>IS!F16</f>
        <v>1644817</v>
      </c>
      <c r="G28" s="94">
        <f>IS!G16</f>
        <v>1861684.5817450392</v>
      </c>
      <c r="H28" s="94">
        <f>IS!H16</f>
        <v>1970051.9664581192</v>
      </c>
      <c r="I28" s="94">
        <f>IS!I16</f>
        <v>2052224.5366846924</v>
      </c>
      <c r="J28" s="94">
        <f>IS!J16</f>
        <v>2164964.3464662796</v>
      </c>
      <c r="K28" s="114">
        <f>IS!K16</f>
        <v>2246228.4803387672</v>
      </c>
    </row>
    <row r="29" spans="1:13">
      <c r="A29" s="115" t="s">
        <v>203</v>
      </c>
      <c r="B29" s="93"/>
      <c r="C29" s="93"/>
      <c r="D29" s="93">
        <f>'Historical CF'!D34</f>
        <v>-640732</v>
      </c>
      <c r="E29" s="93">
        <f>'Historical CF'!E34</f>
        <v>-685987</v>
      </c>
      <c r="F29" s="93">
        <f>'Historical CF'!F34</f>
        <v>-775030</v>
      </c>
      <c r="G29" s="94">
        <f>-G28*G33</f>
        <v>-837758.06178526767</v>
      </c>
      <c r="H29" s="94">
        <f t="shared" ref="H29:K29" si="21">-H28*H33</f>
        <v>-886523.38490615366</v>
      </c>
      <c r="I29" s="94">
        <f t="shared" si="21"/>
        <v>-923501.04150811164</v>
      </c>
      <c r="J29" s="94">
        <f t="shared" si="21"/>
        <v>-974233.95590982586</v>
      </c>
      <c r="K29" s="114">
        <f t="shared" si="21"/>
        <v>-1010802.8161524453</v>
      </c>
    </row>
    <row r="30" spans="1:13">
      <c r="A30" s="115" t="s">
        <v>204</v>
      </c>
      <c r="B30" s="93"/>
      <c r="C30" s="93"/>
      <c r="D30" s="93"/>
      <c r="E30" s="93"/>
      <c r="F30" s="116"/>
      <c r="G30" s="94">
        <v>0</v>
      </c>
      <c r="H30" s="94">
        <v>0</v>
      </c>
      <c r="I30" s="94">
        <v>0</v>
      </c>
      <c r="J30" s="94">
        <v>0</v>
      </c>
      <c r="K30" s="114">
        <v>0</v>
      </c>
      <c r="M30" t="s">
        <v>205</v>
      </c>
    </row>
    <row r="31" spans="1:13">
      <c r="A31" s="117" t="s">
        <v>206</v>
      </c>
      <c r="B31" s="99">
        <f>BS!B30</f>
        <v>7032020</v>
      </c>
      <c r="C31" s="99">
        <f>BS!C30</f>
        <v>1290461</v>
      </c>
      <c r="D31" s="99">
        <f>BS!D30</f>
        <v>1928673</v>
      </c>
      <c r="E31" s="99">
        <f>BS!E30</f>
        <v>2719936</v>
      </c>
      <c r="F31" s="99">
        <f>BS!F30</f>
        <v>3589781</v>
      </c>
      <c r="G31" s="100">
        <f>SUM(G27:G30)</f>
        <v>4613707.519959772</v>
      </c>
      <c r="H31" s="100">
        <f t="shared" ref="H31:K31" si="22">SUM(H27:H30)</f>
        <v>5697236.1015117373</v>
      </c>
      <c r="I31" s="100">
        <f t="shared" si="22"/>
        <v>6825959.5966883171</v>
      </c>
      <c r="J31" s="100">
        <f t="shared" si="22"/>
        <v>8016689.9872447699</v>
      </c>
      <c r="K31" s="118">
        <f t="shared" si="22"/>
        <v>9252115.6514310911</v>
      </c>
    </row>
    <row r="32" spans="1:13">
      <c r="D32" s="93"/>
    </row>
    <row r="33" spans="1:13">
      <c r="A33" s="119" t="s">
        <v>207</v>
      </c>
      <c r="D33" s="54">
        <f>-D29/D28</f>
        <v>0.50107765025322437</v>
      </c>
      <c r="E33" s="54">
        <f t="shared" ref="E33" si="23">-E29/E28</f>
        <v>0.46428523084753287</v>
      </c>
      <c r="F33" s="54">
        <f>-F29/F28</f>
        <v>0.4711952758270373</v>
      </c>
      <c r="G33" s="79">
        <v>0.45</v>
      </c>
      <c r="H33" s="79">
        <v>0.45</v>
      </c>
      <c r="I33" s="79">
        <v>0.45</v>
      </c>
      <c r="J33" s="79">
        <v>0.45</v>
      </c>
      <c r="K33" s="79">
        <v>0.45</v>
      </c>
      <c r="M33" t="s">
        <v>208</v>
      </c>
    </row>
    <row r="36" spans="1:13">
      <c r="D36" s="93"/>
      <c r="E36" s="93"/>
      <c r="F36" s="93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4067-52B8-134C-A6B0-9EE6C9FE6E8E}">
  <sheetPr>
    <outlinePr summaryBelow="0" summaryRight="0"/>
    <pageSetUpPr autoPageBreaks="0"/>
  </sheetPr>
  <dimension ref="A6:IU34"/>
  <sheetViews>
    <sheetView topLeftCell="E11" workbookViewId="0">
      <selection activeCell="I34" sqref="I34"/>
    </sheetView>
  </sheetViews>
  <sheetFormatPr defaultColWidth="10.8203125" defaultRowHeight="13.7"/>
  <cols>
    <col min="1" max="1" width="0" style="219" hidden="1" customWidth="1"/>
    <col min="2" max="2" width="16.8203125" style="219" customWidth="1"/>
    <col min="3" max="6" width="20.8203125" style="219" customWidth="1"/>
    <col min="7" max="7" width="13.8203125" style="219" customWidth="1"/>
    <col min="8" max="8" width="17.8203125" style="219" customWidth="1"/>
    <col min="9" max="9" width="16.8203125" style="219" customWidth="1"/>
    <col min="10" max="11" width="20.8203125" style="219" customWidth="1"/>
    <col min="12" max="13" width="13.8203125" style="219" customWidth="1"/>
    <col min="14" max="14" width="20.8203125" style="219" customWidth="1"/>
    <col min="15" max="15" width="16.8203125" style="219" customWidth="1"/>
    <col min="16" max="17" width="20.8203125" style="219" customWidth="1"/>
    <col min="18" max="19" width="14.8203125" style="219" customWidth="1"/>
    <col min="20" max="23" width="20.8203125" style="219" customWidth="1"/>
    <col min="24" max="25" width="13.8203125" style="219" customWidth="1"/>
    <col min="26" max="29" width="16.8203125" style="219" customWidth="1"/>
    <col min="30" max="30" width="20.8203125" style="219" customWidth="1"/>
    <col min="31" max="256" width="8.8203125" style="219" customWidth="1"/>
    <col min="257" max="16384" width="10.8203125" style="219"/>
  </cols>
  <sheetData>
    <row r="6" spans="1:255" ht="16.5" customHeight="1">
      <c r="A6" s="220" t="s">
        <v>308</v>
      </c>
    </row>
    <row r="7" spans="1:255">
      <c r="A7" s="221" t="s">
        <v>307</v>
      </c>
      <c r="B7" s="221"/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21"/>
      <c r="Q7" s="221"/>
      <c r="R7" s="221"/>
      <c r="S7" s="221"/>
      <c r="T7" s="221"/>
      <c r="U7" s="221"/>
      <c r="V7" s="221"/>
      <c r="W7" s="221"/>
      <c r="X7" s="221"/>
      <c r="Y7" s="221"/>
      <c r="Z7" s="221"/>
      <c r="AA7" s="221"/>
      <c r="AB7" s="221"/>
      <c r="AC7" s="221"/>
      <c r="AD7" s="221"/>
      <c r="AE7" s="222"/>
      <c r="AF7" s="222"/>
      <c r="AG7" s="222"/>
      <c r="AH7" s="222"/>
      <c r="AI7" s="222"/>
      <c r="AJ7" s="222"/>
      <c r="AK7" s="222"/>
      <c r="AL7" s="222"/>
      <c r="AM7" s="222"/>
      <c r="AN7" s="222"/>
      <c r="AO7" s="222"/>
      <c r="AP7" s="222"/>
      <c r="AQ7" s="222"/>
      <c r="AR7" s="222"/>
      <c r="AS7" s="222"/>
      <c r="AT7" s="222"/>
      <c r="AU7" s="222"/>
      <c r="AV7" s="222"/>
      <c r="AW7" s="222"/>
      <c r="AX7" s="222"/>
      <c r="AY7" s="222"/>
      <c r="AZ7" s="222"/>
      <c r="BA7" s="222"/>
      <c r="BB7" s="222"/>
      <c r="BC7" s="222"/>
      <c r="BD7" s="222"/>
      <c r="BE7" s="222"/>
      <c r="BF7" s="222"/>
      <c r="BG7" s="222"/>
      <c r="BH7" s="222"/>
      <c r="BI7" s="222"/>
      <c r="BJ7" s="222"/>
      <c r="BK7" s="222"/>
      <c r="BL7" s="222"/>
      <c r="BM7" s="222"/>
      <c r="BN7" s="222"/>
      <c r="BO7" s="222"/>
      <c r="BP7" s="222"/>
      <c r="BQ7" s="222"/>
      <c r="BR7" s="222"/>
      <c r="BS7" s="222"/>
      <c r="BT7" s="222"/>
      <c r="BU7" s="222"/>
      <c r="BV7" s="222"/>
      <c r="BW7" s="222"/>
      <c r="BX7" s="222"/>
      <c r="BY7" s="222"/>
      <c r="BZ7" s="222"/>
      <c r="CA7" s="222"/>
      <c r="CB7" s="222"/>
      <c r="CC7" s="222"/>
      <c r="CD7" s="222"/>
      <c r="CE7" s="222"/>
      <c r="CF7" s="222"/>
      <c r="CG7" s="222"/>
      <c r="CH7" s="222"/>
      <c r="CI7" s="222"/>
      <c r="CJ7" s="222"/>
      <c r="CK7" s="222"/>
      <c r="CL7" s="222"/>
      <c r="CM7" s="222"/>
      <c r="CN7" s="222"/>
      <c r="CO7" s="222"/>
      <c r="CP7" s="222"/>
      <c r="CQ7" s="222"/>
      <c r="CR7" s="222"/>
      <c r="CS7" s="222"/>
      <c r="CT7" s="222"/>
      <c r="CU7" s="222"/>
      <c r="CV7" s="222"/>
      <c r="CW7" s="222"/>
      <c r="CX7" s="222"/>
      <c r="CY7" s="222"/>
      <c r="CZ7" s="222"/>
      <c r="DA7" s="222"/>
      <c r="DB7" s="222"/>
      <c r="DC7" s="222"/>
      <c r="DD7" s="222"/>
      <c r="DE7" s="222"/>
      <c r="DF7" s="222"/>
      <c r="DG7" s="222"/>
      <c r="DH7" s="222"/>
      <c r="DI7" s="222"/>
      <c r="DJ7" s="222"/>
      <c r="DK7" s="222"/>
      <c r="DL7" s="222"/>
      <c r="DM7" s="222"/>
      <c r="DN7" s="222"/>
      <c r="DO7" s="222"/>
      <c r="DP7" s="222"/>
      <c r="DQ7" s="222"/>
      <c r="DR7" s="222"/>
      <c r="DS7" s="222"/>
      <c r="DT7" s="222"/>
      <c r="DU7" s="222"/>
      <c r="DV7" s="222"/>
      <c r="DW7" s="222"/>
      <c r="DX7" s="222"/>
      <c r="DY7" s="222"/>
      <c r="DZ7" s="222"/>
      <c r="EA7" s="222"/>
      <c r="EB7" s="222"/>
      <c r="EC7" s="222"/>
      <c r="ED7" s="222"/>
      <c r="EE7" s="222"/>
      <c r="EF7" s="222"/>
      <c r="EG7" s="222"/>
      <c r="EH7" s="222"/>
      <c r="EI7" s="222"/>
      <c r="EJ7" s="222"/>
      <c r="EK7" s="222"/>
      <c r="EL7" s="222"/>
      <c r="EM7" s="222"/>
      <c r="EN7" s="222"/>
      <c r="EO7" s="222"/>
      <c r="EP7" s="222"/>
      <c r="EQ7" s="222"/>
      <c r="ER7" s="222"/>
      <c r="ES7" s="222"/>
      <c r="ET7" s="222"/>
      <c r="EU7" s="222"/>
      <c r="EV7" s="222"/>
      <c r="EW7" s="222"/>
      <c r="EX7" s="222"/>
      <c r="EY7" s="222"/>
      <c r="EZ7" s="222"/>
      <c r="FA7" s="222"/>
      <c r="FB7" s="222"/>
      <c r="FC7" s="222"/>
      <c r="FD7" s="222"/>
      <c r="FE7" s="222"/>
      <c r="FF7" s="222"/>
      <c r="FG7" s="222"/>
      <c r="FH7" s="222"/>
      <c r="FI7" s="222"/>
      <c r="FJ7" s="222"/>
      <c r="FK7" s="222"/>
      <c r="FL7" s="222"/>
      <c r="FM7" s="222"/>
      <c r="FN7" s="222"/>
      <c r="FO7" s="222"/>
      <c r="FP7" s="222"/>
      <c r="FQ7" s="222"/>
      <c r="FR7" s="222"/>
      <c r="FS7" s="222"/>
      <c r="FT7" s="222"/>
      <c r="FU7" s="222"/>
      <c r="FV7" s="222"/>
      <c r="FW7" s="222"/>
      <c r="FX7" s="222"/>
      <c r="FY7" s="222"/>
      <c r="FZ7" s="222"/>
      <c r="GA7" s="222"/>
      <c r="GB7" s="222"/>
      <c r="GC7" s="222"/>
      <c r="GD7" s="222"/>
      <c r="GE7" s="222"/>
      <c r="GF7" s="222"/>
      <c r="GG7" s="222"/>
      <c r="GH7" s="222"/>
      <c r="GI7" s="222"/>
      <c r="GJ7" s="222"/>
      <c r="GK7" s="222"/>
      <c r="GL7" s="222"/>
      <c r="GM7" s="222"/>
      <c r="GN7" s="222"/>
      <c r="GO7" s="222"/>
      <c r="GP7" s="222"/>
      <c r="GQ7" s="222"/>
      <c r="GR7" s="222"/>
      <c r="GS7" s="222"/>
      <c r="GT7" s="222"/>
      <c r="GU7" s="222"/>
      <c r="GV7" s="222"/>
      <c r="GW7" s="222"/>
      <c r="GX7" s="222"/>
      <c r="GY7" s="222"/>
      <c r="GZ7" s="222"/>
      <c r="HA7" s="222"/>
      <c r="HB7" s="222"/>
      <c r="HC7" s="222"/>
      <c r="HD7" s="222"/>
      <c r="HE7" s="222"/>
      <c r="HF7" s="222"/>
      <c r="HG7" s="222"/>
      <c r="HH7" s="222"/>
      <c r="HI7" s="222"/>
      <c r="HJ7" s="222"/>
      <c r="HK7" s="222"/>
      <c r="HL7" s="222"/>
      <c r="HM7" s="222"/>
      <c r="HN7" s="222"/>
      <c r="HO7" s="222"/>
      <c r="HP7" s="222"/>
      <c r="HQ7" s="222"/>
      <c r="HR7" s="222"/>
      <c r="HS7" s="222"/>
      <c r="HT7" s="222"/>
      <c r="HU7" s="222"/>
      <c r="HV7" s="222"/>
      <c r="HW7" s="222"/>
      <c r="HX7" s="222"/>
      <c r="HY7" s="222"/>
      <c r="HZ7" s="222"/>
      <c r="IA7" s="222"/>
      <c r="IB7" s="222"/>
      <c r="IC7" s="222"/>
      <c r="ID7" s="222"/>
      <c r="IE7" s="222"/>
      <c r="IF7" s="222"/>
      <c r="IG7" s="222"/>
      <c r="IH7" s="222"/>
      <c r="II7" s="222"/>
      <c r="IJ7" s="222"/>
      <c r="IK7" s="222"/>
      <c r="IL7" s="222"/>
      <c r="IM7" s="222"/>
      <c r="IN7" s="222"/>
      <c r="IO7" s="222"/>
      <c r="IP7" s="222"/>
      <c r="IQ7" s="222"/>
      <c r="IR7" s="222"/>
      <c r="IS7" s="222"/>
      <c r="IT7" s="222"/>
      <c r="IU7" s="222"/>
    </row>
    <row r="8" spans="1:255">
      <c r="A8" s="219" t="s">
        <v>306</v>
      </c>
    </row>
    <row r="10" spans="1:255">
      <c r="A10" s="221" t="s">
        <v>305</v>
      </c>
      <c r="B10" s="221"/>
      <c r="C10" s="221"/>
      <c r="D10" s="221"/>
      <c r="E10" s="221"/>
      <c r="F10" s="221"/>
      <c r="G10" s="221"/>
      <c r="H10" s="221"/>
      <c r="I10" s="221"/>
      <c r="J10" s="221"/>
      <c r="K10" s="221"/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  <c r="AE10" s="222"/>
      <c r="AF10" s="222"/>
      <c r="AG10" s="222"/>
      <c r="AH10" s="222"/>
      <c r="AI10" s="222"/>
      <c r="AJ10" s="222"/>
      <c r="AK10" s="222"/>
      <c r="AL10" s="222"/>
      <c r="AM10" s="222"/>
      <c r="AN10" s="222"/>
      <c r="AO10" s="222"/>
      <c r="AP10" s="222"/>
      <c r="AQ10" s="222"/>
      <c r="AR10" s="222"/>
      <c r="AS10" s="222"/>
      <c r="AT10" s="222"/>
      <c r="AU10" s="222"/>
      <c r="AV10" s="222"/>
      <c r="AW10" s="222"/>
      <c r="AX10" s="222"/>
      <c r="AY10" s="222"/>
      <c r="AZ10" s="222"/>
      <c r="BA10" s="222"/>
      <c r="BB10" s="222"/>
      <c r="BC10" s="222"/>
      <c r="BD10" s="222"/>
      <c r="BE10" s="222"/>
      <c r="BF10" s="222"/>
      <c r="BG10" s="222"/>
      <c r="BH10" s="222"/>
      <c r="BI10" s="222"/>
      <c r="BJ10" s="222"/>
      <c r="BK10" s="222"/>
      <c r="BL10" s="222"/>
      <c r="BM10" s="222"/>
      <c r="BN10" s="222"/>
      <c r="BO10" s="222"/>
      <c r="BP10" s="222"/>
      <c r="BQ10" s="222"/>
      <c r="BR10" s="222"/>
      <c r="BS10" s="222"/>
      <c r="BT10" s="222"/>
      <c r="BU10" s="222"/>
      <c r="BV10" s="222"/>
      <c r="BW10" s="222"/>
      <c r="BX10" s="222"/>
      <c r="BY10" s="222"/>
      <c r="BZ10" s="222"/>
      <c r="CA10" s="222"/>
      <c r="CB10" s="222"/>
      <c r="CC10" s="222"/>
      <c r="CD10" s="222"/>
      <c r="CE10" s="222"/>
      <c r="CF10" s="222"/>
      <c r="CG10" s="222"/>
      <c r="CH10" s="222"/>
      <c r="CI10" s="222"/>
      <c r="CJ10" s="222"/>
      <c r="CK10" s="222"/>
      <c r="CL10" s="222"/>
      <c r="CM10" s="222"/>
      <c r="CN10" s="222"/>
      <c r="CO10" s="222"/>
      <c r="CP10" s="222"/>
      <c r="CQ10" s="222"/>
      <c r="CR10" s="222"/>
      <c r="CS10" s="222"/>
      <c r="CT10" s="222"/>
      <c r="CU10" s="222"/>
      <c r="CV10" s="222"/>
      <c r="CW10" s="222"/>
      <c r="CX10" s="222"/>
      <c r="CY10" s="222"/>
      <c r="CZ10" s="222"/>
      <c r="DA10" s="222"/>
      <c r="DB10" s="222"/>
      <c r="DC10" s="222"/>
      <c r="DD10" s="222"/>
      <c r="DE10" s="222"/>
      <c r="DF10" s="222"/>
      <c r="DG10" s="222"/>
      <c r="DH10" s="222"/>
      <c r="DI10" s="222"/>
      <c r="DJ10" s="222"/>
      <c r="DK10" s="222"/>
      <c r="DL10" s="222"/>
      <c r="DM10" s="222"/>
      <c r="DN10" s="222"/>
      <c r="DO10" s="222"/>
      <c r="DP10" s="222"/>
      <c r="DQ10" s="222"/>
      <c r="DR10" s="222"/>
      <c r="DS10" s="222"/>
      <c r="DT10" s="222"/>
      <c r="DU10" s="222"/>
      <c r="DV10" s="222"/>
      <c r="DW10" s="222"/>
      <c r="DX10" s="222"/>
      <c r="DY10" s="222"/>
      <c r="DZ10" s="222"/>
      <c r="EA10" s="222"/>
      <c r="EB10" s="222"/>
      <c r="EC10" s="222"/>
      <c r="ED10" s="222"/>
      <c r="EE10" s="222"/>
      <c r="EF10" s="222"/>
      <c r="EG10" s="222"/>
      <c r="EH10" s="222"/>
      <c r="EI10" s="222"/>
      <c r="EJ10" s="222"/>
      <c r="EK10" s="222"/>
      <c r="EL10" s="222"/>
      <c r="EM10" s="222"/>
      <c r="EN10" s="222"/>
      <c r="EO10" s="222"/>
      <c r="EP10" s="222"/>
      <c r="EQ10" s="222"/>
      <c r="ER10" s="222"/>
      <c r="ES10" s="222"/>
      <c r="ET10" s="222"/>
      <c r="EU10" s="222"/>
      <c r="EV10" s="222"/>
      <c r="EW10" s="222"/>
      <c r="EX10" s="222"/>
      <c r="EY10" s="222"/>
      <c r="EZ10" s="222"/>
      <c r="FA10" s="222"/>
      <c r="FB10" s="222"/>
      <c r="FC10" s="222"/>
      <c r="FD10" s="222"/>
      <c r="FE10" s="222"/>
      <c r="FF10" s="222"/>
      <c r="FG10" s="222"/>
      <c r="FH10" s="222"/>
      <c r="FI10" s="222"/>
      <c r="FJ10" s="222"/>
      <c r="FK10" s="222"/>
      <c r="FL10" s="222"/>
      <c r="FM10" s="222"/>
      <c r="FN10" s="222"/>
      <c r="FO10" s="222"/>
      <c r="FP10" s="222"/>
      <c r="FQ10" s="222"/>
      <c r="FR10" s="222"/>
      <c r="FS10" s="222"/>
      <c r="FT10" s="222"/>
      <c r="FU10" s="222"/>
      <c r="FV10" s="222"/>
      <c r="FW10" s="222"/>
      <c r="FX10" s="222"/>
      <c r="FY10" s="222"/>
      <c r="FZ10" s="222"/>
      <c r="GA10" s="222"/>
      <c r="GB10" s="222"/>
      <c r="GC10" s="222"/>
      <c r="GD10" s="222"/>
      <c r="GE10" s="222"/>
      <c r="GF10" s="222"/>
      <c r="GG10" s="222"/>
      <c r="GH10" s="222"/>
      <c r="GI10" s="222"/>
      <c r="GJ10" s="222"/>
      <c r="GK10" s="222"/>
      <c r="GL10" s="222"/>
      <c r="GM10" s="222"/>
      <c r="GN10" s="222"/>
      <c r="GO10" s="222"/>
      <c r="GP10" s="222"/>
      <c r="GQ10" s="222"/>
      <c r="GR10" s="222"/>
      <c r="GS10" s="222"/>
      <c r="GT10" s="222"/>
      <c r="GU10" s="222"/>
      <c r="GV10" s="222"/>
      <c r="GW10" s="222"/>
      <c r="GX10" s="222"/>
      <c r="GY10" s="222"/>
      <c r="GZ10" s="222"/>
      <c r="HA10" s="222"/>
      <c r="HB10" s="222"/>
      <c r="HC10" s="222"/>
      <c r="HD10" s="222"/>
      <c r="HE10" s="222"/>
      <c r="HF10" s="222"/>
      <c r="HG10" s="222"/>
      <c r="HH10" s="222"/>
      <c r="HI10" s="222"/>
      <c r="HJ10" s="222"/>
      <c r="HK10" s="222"/>
      <c r="HL10" s="222"/>
      <c r="HM10" s="222"/>
      <c r="HN10" s="222"/>
      <c r="HO10" s="222"/>
      <c r="HP10" s="222"/>
      <c r="HQ10" s="222"/>
      <c r="HR10" s="222"/>
      <c r="HS10" s="222"/>
      <c r="HT10" s="222"/>
      <c r="HU10" s="222"/>
      <c r="HV10" s="222"/>
      <c r="HW10" s="222"/>
      <c r="HX10" s="222"/>
      <c r="HY10" s="222"/>
      <c r="HZ10" s="222"/>
      <c r="IA10" s="222"/>
      <c r="IB10" s="222"/>
      <c r="IC10" s="222"/>
      <c r="ID10" s="222"/>
      <c r="IE10" s="222"/>
      <c r="IF10" s="222"/>
      <c r="IG10" s="222"/>
      <c r="IH10" s="222"/>
      <c r="II10" s="222"/>
      <c r="IJ10" s="222"/>
      <c r="IK10" s="222"/>
      <c r="IL10" s="222"/>
      <c r="IM10" s="222"/>
      <c r="IN10" s="222"/>
      <c r="IO10" s="222"/>
      <c r="IP10" s="222"/>
      <c r="IQ10" s="222"/>
      <c r="IR10" s="222"/>
      <c r="IS10" s="222"/>
      <c r="IT10" s="222"/>
      <c r="IU10" s="222"/>
    </row>
    <row r="11" spans="1:255" ht="33.35">
      <c r="A11" s="223"/>
      <c r="B11" s="224" t="s">
        <v>304</v>
      </c>
      <c r="C11" s="225" t="s">
        <v>303</v>
      </c>
      <c r="D11" s="225" t="s">
        <v>302</v>
      </c>
      <c r="E11" s="225" t="s">
        <v>301</v>
      </c>
      <c r="F11" s="225" t="s">
        <v>300</v>
      </c>
      <c r="G11" s="224" t="s">
        <v>299</v>
      </c>
      <c r="H11" s="225" t="s">
        <v>298</v>
      </c>
      <c r="I11" s="224" t="s">
        <v>297</v>
      </c>
      <c r="J11" s="226" t="s">
        <v>296</v>
      </c>
      <c r="K11" s="226" t="s">
        <v>295</v>
      </c>
      <c r="L11" s="226" t="s">
        <v>294</v>
      </c>
      <c r="M11" s="226" t="s">
        <v>293</v>
      </c>
      <c r="N11" s="224" t="s">
        <v>292</v>
      </c>
      <c r="O11" s="224" t="s">
        <v>291</v>
      </c>
      <c r="P11" s="225" t="s">
        <v>290</v>
      </c>
      <c r="Q11" s="225" t="s">
        <v>289</v>
      </c>
      <c r="R11" s="225" t="s">
        <v>288</v>
      </c>
      <c r="S11" s="225" t="s">
        <v>287</v>
      </c>
      <c r="T11" s="225" t="s">
        <v>286</v>
      </c>
      <c r="U11" s="225" t="s">
        <v>285</v>
      </c>
      <c r="V11" s="225" t="s">
        <v>284</v>
      </c>
      <c r="W11" s="225" t="s">
        <v>283</v>
      </c>
      <c r="X11" s="226" t="s">
        <v>282</v>
      </c>
      <c r="Y11" s="226" t="s">
        <v>281</v>
      </c>
      <c r="Z11" s="224" t="s">
        <v>280</v>
      </c>
      <c r="AA11" s="224" t="s">
        <v>279</v>
      </c>
      <c r="AB11" s="224" t="s">
        <v>278</v>
      </c>
      <c r="AC11" s="224" t="s">
        <v>277</v>
      </c>
      <c r="AD11" s="224" t="s">
        <v>276</v>
      </c>
    </row>
    <row r="12" spans="1:255" ht="27.35">
      <c r="A12" s="227"/>
      <c r="B12" s="228">
        <v>45047</v>
      </c>
      <c r="C12" s="229" t="s">
        <v>272</v>
      </c>
      <c r="D12" s="229" t="s">
        <v>273</v>
      </c>
      <c r="E12" s="229" t="s">
        <v>272</v>
      </c>
      <c r="F12" s="229" t="s">
        <v>271</v>
      </c>
      <c r="G12" s="230">
        <v>2.625</v>
      </c>
      <c r="H12" s="229">
        <v>240052955</v>
      </c>
      <c r="I12" s="228">
        <v>41408</v>
      </c>
      <c r="J12" s="231">
        <v>250</v>
      </c>
      <c r="K12" s="231">
        <v>250</v>
      </c>
      <c r="L12" s="230">
        <v>99.882000000000005</v>
      </c>
      <c r="M12" s="230">
        <v>5.8239999999999998</v>
      </c>
      <c r="N12" s="227" t="s">
        <v>270</v>
      </c>
      <c r="O12" s="228">
        <v>41408</v>
      </c>
      <c r="P12" s="229" t="s">
        <v>269</v>
      </c>
      <c r="Q12" s="229" t="s">
        <v>268</v>
      </c>
      <c r="R12" s="229" t="s">
        <v>267</v>
      </c>
      <c r="S12" s="229" t="s">
        <v>266</v>
      </c>
      <c r="T12" s="229" t="s">
        <v>265</v>
      </c>
      <c r="U12" s="229" t="s">
        <v>264</v>
      </c>
      <c r="V12" s="229" t="s">
        <v>263</v>
      </c>
      <c r="W12" s="229" t="s">
        <v>262</v>
      </c>
      <c r="X12" s="230">
        <v>99.74</v>
      </c>
      <c r="Y12" s="230">
        <v>2.6549999999999998</v>
      </c>
      <c r="Z12" s="228">
        <v>41411</v>
      </c>
      <c r="AA12" s="228">
        <v>41579</v>
      </c>
      <c r="AB12" s="228">
        <v>44866</v>
      </c>
      <c r="AC12" s="227" t="s">
        <v>268</v>
      </c>
      <c r="AD12" s="227" t="s">
        <v>268</v>
      </c>
    </row>
    <row r="13" spans="1:255" ht="27.35">
      <c r="A13" s="227"/>
      <c r="B13" s="228">
        <v>45061</v>
      </c>
      <c r="C13" s="229" t="s">
        <v>272</v>
      </c>
      <c r="D13" s="229" t="s">
        <v>273</v>
      </c>
      <c r="E13" s="229" t="s">
        <v>272</v>
      </c>
      <c r="F13" s="229" t="s">
        <v>271</v>
      </c>
      <c r="G13" s="230">
        <v>3.375</v>
      </c>
      <c r="H13" s="229">
        <v>561984587</v>
      </c>
      <c r="I13" s="228">
        <v>43223</v>
      </c>
      <c r="J13" s="231">
        <v>500</v>
      </c>
      <c r="K13" s="231">
        <v>500</v>
      </c>
      <c r="L13" s="230">
        <v>99.867999999999995</v>
      </c>
      <c r="M13" s="230">
        <v>5.0709999999999997</v>
      </c>
      <c r="N13" s="227" t="s">
        <v>270</v>
      </c>
      <c r="O13" s="228">
        <v>43223</v>
      </c>
      <c r="P13" s="229" t="s">
        <v>269</v>
      </c>
      <c r="Q13" s="229" t="s">
        <v>268</v>
      </c>
      <c r="R13" s="229" t="s">
        <v>267</v>
      </c>
      <c r="S13" s="229" t="s">
        <v>266</v>
      </c>
      <c r="T13" s="229" t="s">
        <v>265</v>
      </c>
      <c r="U13" s="229" t="s">
        <v>264</v>
      </c>
      <c r="V13" s="229" t="s">
        <v>263</v>
      </c>
      <c r="W13" s="229" t="s">
        <v>262</v>
      </c>
      <c r="X13" s="230">
        <v>99.957999999999998</v>
      </c>
      <c r="Y13" s="230">
        <v>3.3839999999999999</v>
      </c>
      <c r="Z13" s="228">
        <v>43230</v>
      </c>
      <c r="AA13" s="228">
        <v>43419</v>
      </c>
      <c r="AB13" s="228">
        <v>44880</v>
      </c>
      <c r="AC13" s="228">
        <v>45060</v>
      </c>
      <c r="AD13" s="231">
        <v>100</v>
      </c>
    </row>
    <row r="14" spans="1:255" ht="27.35">
      <c r="A14" s="227"/>
      <c r="B14" s="228">
        <v>45611</v>
      </c>
      <c r="C14" s="229" t="s">
        <v>272</v>
      </c>
      <c r="D14" s="229" t="s">
        <v>273</v>
      </c>
      <c r="E14" s="229" t="s">
        <v>272</v>
      </c>
      <c r="F14" s="229" t="s">
        <v>271</v>
      </c>
      <c r="G14" s="230">
        <v>2.0499999999999998</v>
      </c>
      <c r="H14" s="229">
        <v>643072151</v>
      </c>
      <c r="I14" s="228">
        <v>43766</v>
      </c>
      <c r="J14" s="231">
        <v>300</v>
      </c>
      <c r="K14" s="231">
        <v>300</v>
      </c>
      <c r="L14" s="230">
        <v>96.53</v>
      </c>
      <c r="M14" s="230">
        <v>4.3520000000000003</v>
      </c>
      <c r="N14" s="227" t="s">
        <v>270</v>
      </c>
      <c r="O14" s="228">
        <v>43766</v>
      </c>
      <c r="P14" s="229" t="s">
        <v>269</v>
      </c>
      <c r="Q14" s="229" t="s">
        <v>268</v>
      </c>
      <c r="R14" s="229" t="s">
        <v>267</v>
      </c>
      <c r="S14" s="229" t="s">
        <v>266</v>
      </c>
      <c r="T14" s="229" t="s">
        <v>265</v>
      </c>
      <c r="U14" s="229" t="s">
        <v>264</v>
      </c>
      <c r="V14" s="229" t="s">
        <v>263</v>
      </c>
      <c r="W14" s="229" t="s">
        <v>262</v>
      </c>
      <c r="X14" s="230">
        <v>99.915000000000006</v>
      </c>
      <c r="Y14" s="230">
        <v>2.0680000000000001</v>
      </c>
      <c r="Z14" s="228">
        <v>43769</v>
      </c>
      <c r="AA14" s="228">
        <v>43966</v>
      </c>
      <c r="AB14" s="228">
        <v>45427</v>
      </c>
      <c r="AC14" s="228">
        <v>45580</v>
      </c>
      <c r="AD14" s="231">
        <v>100</v>
      </c>
    </row>
    <row r="15" spans="1:255" ht="27.35">
      <c r="A15" s="227"/>
      <c r="B15" s="228">
        <v>45809</v>
      </c>
      <c r="C15" s="229" t="s">
        <v>272</v>
      </c>
      <c r="D15" s="229" t="s">
        <v>273</v>
      </c>
      <c r="E15" s="229" t="s">
        <v>272</v>
      </c>
      <c r="F15" s="229" t="s">
        <v>271</v>
      </c>
      <c r="G15" s="230">
        <v>0.9</v>
      </c>
      <c r="H15" s="229">
        <v>669755026</v>
      </c>
      <c r="I15" s="228">
        <v>43978</v>
      </c>
      <c r="J15" s="231">
        <v>300</v>
      </c>
      <c r="K15" s="231">
        <v>300</v>
      </c>
      <c r="L15" s="230">
        <v>92.986999999999995</v>
      </c>
      <c r="M15" s="230">
        <v>4.4020000000000001</v>
      </c>
      <c r="N15" s="227" t="s">
        <v>270</v>
      </c>
      <c r="O15" s="228">
        <v>43978</v>
      </c>
      <c r="P15" s="229" t="s">
        <v>269</v>
      </c>
      <c r="Q15" s="229" t="s">
        <v>268</v>
      </c>
      <c r="R15" s="229" t="s">
        <v>267</v>
      </c>
      <c r="S15" s="229" t="s">
        <v>266</v>
      </c>
      <c r="T15" s="229" t="s">
        <v>265</v>
      </c>
      <c r="U15" s="229" t="s">
        <v>264</v>
      </c>
      <c r="V15" s="229" t="s">
        <v>263</v>
      </c>
      <c r="W15" s="229" t="s">
        <v>262</v>
      </c>
      <c r="X15" s="230">
        <v>99.814999999999998</v>
      </c>
      <c r="Y15" s="230">
        <v>0.93799999999999994</v>
      </c>
      <c r="Z15" s="228">
        <v>43983</v>
      </c>
      <c r="AA15" s="228">
        <v>44166</v>
      </c>
      <c r="AB15" s="228">
        <v>45627</v>
      </c>
      <c r="AC15" s="228">
        <v>45778</v>
      </c>
      <c r="AD15" s="231">
        <v>100</v>
      </c>
    </row>
    <row r="16" spans="1:255" ht="27.35">
      <c r="A16" s="227"/>
      <c r="B16" s="228">
        <v>45890</v>
      </c>
      <c r="C16" s="229" t="s">
        <v>272</v>
      </c>
      <c r="D16" s="229" t="s">
        <v>273</v>
      </c>
      <c r="E16" s="229" t="s">
        <v>272</v>
      </c>
      <c r="F16" s="229" t="s">
        <v>271</v>
      </c>
      <c r="G16" s="230">
        <v>3.2</v>
      </c>
      <c r="H16" s="229">
        <v>309751951</v>
      </c>
      <c r="I16" s="228">
        <v>42234</v>
      </c>
      <c r="J16" s="231">
        <v>300</v>
      </c>
      <c r="K16" s="231">
        <v>300</v>
      </c>
      <c r="L16" s="230">
        <v>97.331000000000003</v>
      </c>
      <c r="M16" s="230">
        <v>4.41</v>
      </c>
      <c r="N16" s="227" t="s">
        <v>270</v>
      </c>
      <c r="O16" s="228">
        <v>42234</v>
      </c>
      <c r="P16" s="229" t="s">
        <v>269</v>
      </c>
      <c r="Q16" s="229" t="s">
        <v>268</v>
      </c>
      <c r="R16" s="229" t="s">
        <v>267</v>
      </c>
      <c r="S16" s="229" t="s">
        <v>266</v>
      </c>
      <c r="T16" s="229" t="s">
        <v>265</v>
      </c>
      <c r="U16" s="229" t="s">
        <v>264</v>
      </c>
      <c r="V16" s="229" t="s">
        <v>263</v>
      </c>
      <c r="W16" s="229" t="s">
        <v>262</v>
      </c>
      <c r="X16" s="230">
        <v>99.703000000000003</v>
      </c>
      <c r="Y16" s="230">
        <v>3.2349999999999999</v>
      </c>
      <c r="Z16" s="228">
        <v>42234</v>
      </c>
      <c r="AA16" s="228">
        <v>42421</v>
      </c>
      <c r="AB16" s="228">
        <v>43152</v>
      </c>
      <c r="AC16" s="228">
        <v>45798</v>
      </c>
      <c r="AD16" s="231">
        <v>100</v>
      </c>
    </row>
    <row r="17" spans="1:30" ht="27.35">
      <c r="A17" s="227"/>
      <c r="B17" s="228">
        <v>46249</v>
      </c>
      <c r="C17" s="229" t="s">
        <v>272</v>
      </c>
      <c r="D17" s="229" t="s">
        <v>273</v>
      </c>
      <c r="E17" s="229" t="s">
        <v>272</v>
      </c>
      <c r="F17" s="229" t="s">
        <v>271</v>
      </c>
      <c r="G17" s="230">
        <v>2.2999999999999998</v>
      </c>
      <c r="H17" s="229">
        <v>379029433</v>
      </c>
      <c r="I17" s="228">
        <v>42584</v>
      </c>
      <c r="J17" s="231">
        <v>500</v>
      </c>
      <c r="K17" s="231">
        <v>500</v>
      </c>
      <c r="L17" s="230">
        <v>94.599000000000004</v>
      </c>
      <c r="M17" s="230">
        <v>4.0519999999999996</v>
      </c>
      <c r="N17" s="227" t="s">
        <v>270</v>
      </c>
      <c r="O17" s="228">
        <v>42584</v>
      </c>
      <c r="P17" s="229" t="s">
        <v>269</v>
      </c>
      <c r="Q17" s="229" t="s">
        <v>268</v>
      </c>
      <c r="R17" s="229" t="s">
        <v>267</v>
      </c>
      <c r="S17" s="229" t="s">
        <v>266</v>
      </c>
      <c r="T17" s="229" t="s">
        <v>265</v>
      </c>
      <c r="U17" s="229" t="s">
        <v>264</v>
      </c>
      <c r="V17" s="229" t="s">
        <v>263</v>
      </c>
      <c r="W17" s="229" t="s">
        <v>262</v>
      </c>
      <c r="X17" s="230">
        <v>99.671000000000006</v>
      </c>
      <c r="Y17" s="230">
        <v>2.3370000000000002</v>
      </c>
      <c r="Z17" s="228">
        <v>42591</v>
      </c>
      <c r="AA17" s="228">
        <v>42781</v>
      </c>
      <c r="AB17" s="228">
        <v>46068</v>
      </c>
      <c r="AC17" s="228">
        <v>46157</v>
      </c>
      <c r="AD17" s="231">
        <v>100</v>
      </c>
    </row>
    <row r="18" spans="1:30" ht="27.35">
      <c r="A18" s="227"/>
      <c r="B18" s="228">
        <v>46614</v>
      </c>
      <c r="C18" s="229" t="s">
        <v>272</v>
      </c>
      <c r="D18" s="229" t="s">
        <v>273</v>
      </c>
      <c r="E18" s="229" t="s">
        <v>272</v>
      </c>
      <c r="F18" s="229" t="s">
        <v>271</v>
      </c>
      <c r="G18" s="230">
        <v>7.2</v>
      </c>
      <c r="H18" s="229">
        <v>14227273</v>
      </c>
      <c r="I18" s="228">
        <v>35663</v>
      </c>
      <c r="J18" s="231">
        <v>250</v>
      </c>
      <c r="K18" s="231">
        <v>193.64</v>
      </c>
      <c r="L18" s="230">
        <v>112.077</v>
      </c>
      <c r="M18" s="230">
        <v>4.1210000000000004</v>
      </c>
      <c r="N18" s="227" t="s">
        <v>270</v>
      </c>
      <c r="O18" s="228">
        <v>39335</v>
      </c>
      <c r="P18" s="229" t="s">
        <v>275</v>
      </c>
      <c r="Q18" s="229" t="s">
        <v>274</v>
      </c>
      <c r="R18" s="229" t="s">
        <v>267</v>
      </c>
      <c r="S18" s="229" t="s">
        <v>266</v>
      </c>
      <c r="T18" s="229" t="s">
        <v>265</v>
      </c>
      <c r="U18" s="229" t="s">
        <v>264</v>
      </c>
      <c r="V18" s="229" t="s">
        <v>263</v>
      </c>
      <c r="W18" s="229" t="s">
        <v>262</v>
      </c>
      <c r="X18" s="230">
        <v>99.716999999999999</v>
      </c>
      <c r="Y18" s="230">
        <v>7.2229999999999999</v>
      </c>
      <c r="Z18" s="228">
        <v>35657</v>
      </c>
      <c r="AA18" s="228">
        <v>35841</v>
      </c>
      <c r="AB18" s="228">
        <v>46433</v>
      </c>
      <c r="AC18" s="227" t="s">
        <v>268</v>
      </c>
      <c r="AD18" s="227" t="s">
        <v>268</v>
      </c>
    </row>
    <row r="19" spans="1:30" ht="27.35">
      <c r="A19" s="227"/>
      <c r="B19" s="228">
        <v>47437</v>
      </c>
      <c r="C19" s="229" t="s">
        <v>272</v>
      </c>
      <c r="D19" s="229" t="s">
        <v>273</v>
      </c>
      <c r="E19" s="229" t="s">
        <v>272</v>
      </c>
      <c r="F19" s="229" t="s">
        <v>271</v>
      </c>
      <c r="G19" s="230">
        <v>2.4500000000000002</v>
      </c>
      <c r="H19" s="229">
        <v>643072152</v>
      </c>
      <c r="I19" s="228">
        <v>43766</v>
      </c>
      <c r="J19" s="231">
        <v>300</v>
      </c>
      <c r="K19" s="231">
        <v>300</v>
      </c>
      <c r="L19" s="230">
        <v>89.087000000000003</v>
      </c>
      <c r="M19" s="230">
        <v>4.3780000000000001</v>
      </c>
      <c r="N19" s="227" t="s">
        <v>270</v>
      </c>
      <c r="O19" s="228">
        <v>43766</v>
      </c>
      <c r="P19" s="229" t="s">
        <v>269</v>
      </c>
      <c r="Q19" s="229" t="s">
        <v>268</v>
      </c>
      <c r="R19" s="229" t="s">
        <v>267</v>
      </c>
      <c r="S19" s="229" t="s">
        <v>266</v>
      </c>
      <c r="T19" s="229" t="s">
        <v>265</v>
      </c>
      <c r="U19" s="229" t="s">
        <v>264</v>
      </c>
      <c r="V19" s="229" t="s">
        <v>263</v>
      </c>
      <c r="W19" s="229" t="s">
        <v>262</v>
      </c>
      <c r="X19" s="230">
        <v>99.963999999999999</v>
      </c>
      <c r="Y19" s="230">
        <v>2.4540000000000002</v>
      </c>
      <c r="Z19" s="228">
        <v>43769</v>
      </c>
      <c r="AA19" s="228">
        <v>43966</v>
      </c>
      <c r="AB19" s="228">
        <v>47253</v>
      </c>
      <c r="AC19" s="228">
        <v>47345</v>
      </c>
      <c r="AD19" s="231">
        <v>100</v>
      </c>
    </row>
    <row r="20" spans="1:30" ht="27.35">
      <c r="A20" s="227"/>
      <c r="B20" s="228">
        <v>47635</v>
      </c>
      <c r="C20" s="229" t="s">
        <v>272</v>
      </c>
      <c r="D20" s="229" t="s">
        <v>273</v>
      </c>
      <c r="E20" s="229" t="s">
        <v>272</v>
      </c>
      <c r="F20" s="229" t="s">
        <v>271</v>
      </c>
      <c r="G20" s="230">
        <v>1.7</v>
      </c>
      <c r="H20" s="229">
        <v>669755025</v>
      </c>
      <c r="I20" s="228">
        <v>43978</v>
      </c>
      <c r="J20" s="231">
        <v>350</v>
      </c>
      <c r="K20" s="231">
        <v>350</v>
      </c>
      <c r="L20" s="230">
        <v>83.605000000000004</v>
      </c>
      <c r="M20" s="230">
        <v>4.4080000000000004</v>
      </c>
      <c r="N20" s="227" t="s">
        <v>270</v>
      </c>
      <c r="O20" s="228">
        <v>43978</v>
      </c>
      <c r="P20" s="229" t="s">
        <v>269</v>
      </c>
      <c r="Q20" s="229" t="s">
        <v>268</v>
      </c>
      <c r="R20" s="229" t="s">
        <v>267</v>
      </c>
      <c r="S20" s="229" t="s">
        <v>266</v>
      </c>
      <c r="T20" s="229" t="s">
        <v>265</v>
      </c>
      <c r="U20" s="229" t="s">
        <v>264</v>
      </c>
      <c r="V20" s="229" t="s">
        <v>263</v>
      </c>
      <c r="W20" s="229" t="s">
        <v>262</v>
      </c>
      <c r="X20" s="230">
        <v>99.771000000000001</v>
      </c>
      <c r="Y20" s="230">
        <v>1.7250000000000001</v>
      </c>
      <c r="Z20" s="228">
        <v>43983</v>
      </c>
      <c r="AA20" s="228">
        <v>44166</v>
      </c>
      <c r="AB20" s="228">
        <v>47453</v>
      </c>
      <c r="AC20" s="228">
        <v>47543</v>
      </c>
      <c r="AD20" s="231">
        <v>100</v>
      </c>
    </row>
    <row r="21" spans="1:30" ht="27.35">
      <c r="A21" s="227"/>
      <c r="B21" s="228">
        <v>53554</v>
      </c>
      <c r="C21" s="229" t="s">
        <v>272</v>
      </c>
      <c r="D21" s="229" t="s">
        <v>273</v>
      </c>
      <c r="E21" s="229" t="s">
        <v>272</v>
      </c>
      <c r="F21" s="229" t="s">
        <v>271</v>
      </c>
      <c r="G21" s="230">
        <v>3.375</v>
      </c>
      <c r="H21" s="229">
        <v>379029434</v>
      </c>
      <c r="I21" s="228">
        <v>42584</v>
      </c>
      <c r="J21" s="231">
        <v>300</v>
      </c>
      <c r="K21" s="231">
        <v>300</v>
      </c>
      <c r="L21" s="230">
        <v>79.031999999999996</v>
      </c>
      <c r="M21" s="230">
        <v>4.8920000000000003</v>
      </c>
      <c r="N21" s="227" t="s">
        <v>270</v>
      </c>
      <c r="O21" s="228">
        <v>42584</v>
      </c>
      <c r="P21" s="229" t="s">
        <v>269</v>
      </c>
      <c r="Q21" s="229" t="s">
        <v>268</v>
      </c>
      <c r="R21" s="229" t="s">
        <v>267</v>
      </c>
      <c r="S21" s="229" t="s">
        <v>266</v>
      </c>
      <c r="T21" s="229" t="s">
        <v>265</v>
      </c>
      <c r="U21" s="229" t="s">
        <v>264</v>
      </c>
      <c r="V21" s="229" t="s">
        <v>263</v>
      </c>
      <c r="W21" s="229" t="s">
        <v>262</v>
      </c>
      <c r="X21" s="230">
        <v>99.513000000000005</v>
      </c>
      <c r="Y21" s="230">
        <v>3.4009999999999998</v>
      </c>
      <c r="Z21" s="228">
        <v>42591</v>
      </c>
      <c r="AA21" s="228">
        <v>42781</v>
      </c>
      <c r="AB21" s="228">
        <v>53373</v>
      </c>
      <c r="AC21" s="228">
        <v>53373</v>
      </c>
      <c r="AD21" s="231">
        <v>100</v>
      </c>
    </row>
    <row r="22" spans="1:30" ht="27.35">
      <c r="A22" s="227"/>
      <c r="B22" s="228">
        <v>54742</v>
      </c>
      <c r="C22" s="229" t="s">
        <v>272</v>
      </c>
      <c r="D22" s="229" t="s">
        <v>273</v>
      </c>
      <c r="E22" s="229" t="s">
        <v>272</v>
      </c>
      <c r="F22" s="229" t="s">
        <v>271</v>
      </c>
      <c r="G22" s="230">
        <v>3.125</v>
      </c>
      <c r="H22" s="229">
        <v>643072153</v>
      </c>
      <c r="I22" s="228">
        <v>43766</v>
      </c>
      <c r="J22" s="231">
        <v>400</v>
      </c>
      <c r="K22" s="231">
        <v>400</v>
      </c>
      <c r="L22" s="230">
        <v>75.266000000000005</v>
      </c>
      <c r="M22" s="230">
        <v>4.7779999999999996</v>
      </c>
      <c r="N22" s="227" t="s">
        <v>270</v>
      </c>
      <c r="O22" s="228">
        <v>43766</v>
      </c>
      <c r="P22" s="229" t="s">
        <v>269</v>
      </c>
      <c r="Q22" s="229" t="s">
        <v>268</v>
      </c>
      <c r="R22" s="229" t="s">
        <v>267</v>
      </c>
      <c r="S22" s="229" t="s">
        <v>266</v>
      </c>
      <c r="T22" s="229" t="s">
        <v>265</v>
      </c>
      <c r="U22" s="229" t="s">
        <v>264</v>
      </c>
      <c r="V22" s="229" t="s">
        <v>263</v>
      </c>
      <c r="W22" s="229" t="s">
        <v>262</v>
      </c>
      <c r="X22" s="230">
        <v>99.611999999999995</v>
      </c>
      <c r="Y22" s="230">
        <v>3.145</v>
      </c>
      <c r="Z22" s="228">
        <v>43769</v>
      </c>
      <c r="AA22" s="228">
        <v>43966</v>
      </c>
      <c r="AB22" s="228">
        <v>54558</v>
      </c>
      <c r="AC22" s="228">
        <v>54558</v>
      </c>
      <c r="AD22" s="231">
        <v>100</v>
      </c>
    </row>
    <row r="23" spans="1:30" ht="27.35">
      <c r="A23" s="227"/>
      <c r="B23" s="228">
        <v>54940</v>
      </c>
      <c r="C23" s="229" t="s">
        <v>272</v>
      </c>
      <c r="D23" s="229" t="s">
        <v>273</v>
      </c>
      <c r="E23" s="229" t="s">
        <v>272</v>
      </c>
      <c r="F23" s="229" t="s">
        <v>271</v>
      </c>
      <c r="G23" s="230">
        <v>2.65</v>
      </c>
      <c r="H23" s="229">
        <v>669755024</v>
      </c>
      <c r="I23" s="228">
        <v>43978</v>
      </c>
      <c r="J23" s="231">
        <v>350</v>
      </c>
      <c r="K23" s="231">
        <v>350</v>
      </c>
      <c r="L23" s="230">
        <v>69.841999999999999</v>
      </c>
      <c r="M23" s="230">
        <v>4.609</v>
      </c>
      <c r="N23" s="227" t="s">
        <v>270</v>
      </c>
      <c r="O23" s="228">
        <v>43978</v>
      </c>
      <c r="P23" s="229" t="s">
        <v>269</v>
      </c>
      <c r="Q23" s="229" t="s">
        <v>268</v>
      </c>
      <c r="R23" s="229" t="s">
        <v>267</v>
      </c>
      <c r="S23" s="229" t="s">
        <v>266</v>
      </c>
      <c r="T23" s="229" t="s">
        <v>265</v>
      </c>
      <c r="U23" s="229" t="s">
        <v>264</v>
      </c>
      <c r="V23" s="229" t="s">
        <v>263</v>
      </c>
      <c r="W23" s="229" t="s">
        <v>262</v>
      </c>
      <c r="X23" s="230">
        <v>99.671000000000006</v>
      </c>
      <c r="Y23" s="230">
        <v>2.6659999999999999</v>
      </c>
      <c r="Z23" s="228">
        <v>43983</v>
      </c>
      <c r="AA23" s="228">
        <v>44166</v>
      </c>
      <c r="AB23" s="228">
        <v>54758</v>
      </c>
      <c r="AC23" s="228">
        <v>54758</v>
      </c>
      <c r="AD23" s="231">
        <v>100</v>
      </c>
    </row>
    <row r="24" spans="1:30">
      <c r="A24" s="232"/>
      <c r="B24" s="232"/>
      <c r="C24" s="232"/>
      <c r="D24" s="232"/>
      <c r="E24" s="232"/>
      <c r="F24" s="232"/>
      <c r="G24" s="232"/>
      <c r="J24" s="232"/>
      <c r="K24" s="232"/>
      <c r="L24" s="232"/>
      <c r="M24" s="232"/>
      <c r="N24" s="232"/>
      <c r="O24" s="232"/>
      <c r="P24" s="232"/>
      <c r="Q24" s="232"/>
      <c r="R24" s="232"/>
      <c r="S24" s="232"/>
      <c r="T24" s="232"/>
      <c r="U24" s="232"/>
      <c r="V24" s="232"/>
      <c r="W24" s="232"/>
      <c r="X24" s="232"/>
      <c r="Y24" s="232"/>
      <c r="Z24" s="232"/>
      <c r="AA24" s="232"/>
      <c r="AB24" s="232"/>
      <c r="AC24" s="232"/>
      <c r="AD24" s="232"/>
    </row>
    <row r="25" spans="1:30">
      <c r="K25" s="233"/>
    </row>
    <row r="26" spans="1:30">
      <c r="H26" s="232"/>
      <c r="I26" s="232" t="s">
        <v>310</v>
      </c>
      <c r="J26" s="219" t="s">
        <v>311</v>
      </c>
      <c r="K26" s="219">
        <v>2023</v>
      </c>
      <c r="L26" s="219">
        <v>2024</v>
      </c>
      <c r="M26" s="219">
        <v>2025</v>
      </c>
      <c r="N26" s="219">
        <v>2026</v>
      </c>
      <c r="O26" s="219">
        <v>2027</v>
      </c>
    </row>
    <row r="27" spans="1:30" ht="25" customHeight="1">
      <c r="A27" s="433" t="s">
        <v>261</v>
      </c>
      <c r="B27" s="434"/>
      <c r="C27" s="434"/>
      <c r="H27" s="219">
        <v>2023</v>
      </c>
      <c r="I27" s="235">
        <f>SUMIF(B12:B23,"&lt;12/31/2023",K12:K23)</f>
        <v>750</v>
      </c>
      <c r="J27" s="234">
        <f>SUMPRODUCT(G12:G13,J12:J13)/I27/100</f>
        <v>3.125E-2</v>
      </c>
      <c r="K27" s="239">
        <v>4.4999999999999998E-2</v>
      </c>
      <c r="L27" s="234">
        <f>K27</f>
        <v>4.4999999999999998E-2</v>
      </c>
      <c r="M27" s="234">
        <f t="shared" ref="M27:O27" si="0">L27</f>
        <v>4.4999999999999998E-2</v>
      </c>
      <c r="N27" s="234">
        <f t="shared" si="0"/>
        <v>4.4999999999999998E-2</v>
      </c>
      <c r="O27" s="234">
        <f t="shared" si="0"/>
        <v>4.4999999999999998E-2</v>
      </c>
    </row>
    <row r="28" spans="1:30">
      <c r="H28" s="219">
        <v>2024</v>
      </c>
      <c r="I28" s="235">
        <f>SUMIF($B$12:$B$23,"&lt;12/31/2024",$K$12:$K$23)-I27</f>
        <v>300</v>
      </c>
      <c r="J28" s="234">
        <f>G14/100</f>
        <v>2.0499999999999997E-2</v>
      </c>
      <c r="K28" s="234">
        <f>J28</f>
        <v>2.0499999999999997E-2</v>
      </c>
      <c r="L28" s="239">
        <v>4.4999999999999998E-2</v>
      </c>
      <c r="M28" s="234">
        <f>L28</f>
        <v>4.4999999999999998E-2</v>
      </c>
      <c r="N28" s="234">
        <f t="shared" ref="N28:O28" si="1">M28</f>
        <v>4.4999999999999998E-2</v>
      </c>
      <c r="O28" s="234">
        <f t="shared" si="1"/>
        <v>4.4999999999999998E-2</v>
      </c>
    </row>
    <row r="29" spans="1:30">
      <c r="H29" s="219">
        <v>2025</v>
      </c>
      <c r="I29" s="235">
        <f>SUMIF($B$12:$B$23,"&lt;12/31/2025",$K$12:$K$23)-I28-I27</f>
        <v>600</v>
      </c>
      <c r="J29" s="234">
        <f>SUMPRODUCT(G15:G16,J15:J16)/I29/100</f>
        <v>2.0499999999999997E-2</v>
      </c>
      <c r="K29" s="234">
        <f t="shared" ref="K29:K32" si="2">J29</f>
        <v>2.0499999999999997E-2</v>
      </c>
      <c r="L29" s="234">
        <f>K29</f>
        <v>2.0499999999999997E-2</v>
      </c>
      <c r="M29" s="239">
        <v>4.2500000000000003E-2</v>
      </c>
      <c r="N29" s="234">
        <f>M29</f>
        <v>4.2500000000000003E-2</v>
      </c>
      <c r="O29" s="234">
        <f>N29</f>
        <v>4.2500000000000003E-2</v>
      </c>
    </row>
    <row r="30" spans="1:30">
      <c r="H30" s="219">
        <v>2026</v>
      </c>
      <c r="I30" s="235">
        <f>SUMIF($B$12:$B$23,"&lt;12/31/2026",$K$12:$K$23)-I29-I28-I27</f>
        <v>500</v>
      </c>
      <c r="J30" s="234">
        <f>G17/100</f>
        <v>2.3E-2</v>
      </c>
      <c r="K30" s="234">
        <f t="shared" si="2"/>
        <v>2.3E-2</v>
      </c>
      <c r="L30" s="234">
        <f>K30</f>
        <v>2.3E-2</v>
      </c>
      <c r="M30" s="234">
        <f>L30</f>
        <v>2.3E-2</v>
      </c>
      <c r="N30" s="239">
        <v>0.04</v>
      </c>
      <c r="O30" s="234">
        <f>N30</f>
        <v>0.04</v>
      </c>
    </row>
    <row r="31" spans="1:30">
      <c r="A31" s="433"/>
      <c r="B31" s="434"/>
      <c r="C31" s="434"/>
      <c r="H31" s="219">
        <v>2027</v>
      </c>
      <c r="I31" s="235">
        <f>SUMIF($B$12:$B$23,"&lt;12/31/2027",$K$12:$K$23)-I30-I29-I28-I27</f>
        <v>193.63999999999987</v>
      </c>
      <c r="J31" s="240">
        <f>G18/100</f>
        <v>7.2000000000000008E-2</v>
      </c>
      <c r="K31" s="240">
        <f t="shared" si="2"/>
        <v>7.2000000000000008E-2</v>
      </c>
      <c r="L31" s="240">
        <f>K31</f>
        <v>7.2000000000000008E-2</v>
      </c>
      <c r="M31" s="240">
        <f t="shared" ref="M31:N32" si="3">L31</f>
        <v>7.2000000000000008E-2</v>
      </c>
      <c r="N31" s="240">
        <f t="shared" si="3"/>
        <v>7.2000000000000008E-2</v>
      </c>
      <c r="O31" s="241">
        <v>3.7499999999999999E-2</v>
      </c>
    </row>
    <row r="32" spans="1:30">
      <c r="H32" s="238" t="s">
        <v>309</v>
      </c>
      <c r="I32" s="236">
        <f>SUMIF($B$12:$B$23,"&gt;12/31/2027",$K$12:$K$23)</f>
        <v>1700</v>
      </c>
      <c r="J32" s="242">
        <f>SUMPRODUCT(G19:G23,J19:J23)/I32/100</f>
        <v>2.6588235294117645E-2</v>
      </c>
      <c r="K32" s="242">
        <f t="shared" si="2"/>
        <v>2.6588235294117645E-2</v>
      </c>
      <c r="L32" s="242">
        <f>K32</f>
        <v>2.6588235294117645E-2</v>
      </c>
      <c r="M32" s="242">
        <f t="shared" si="3"/>
        <v>2.6588235294117645E-2</v>
      </c>
      <c r="N32" s="242">
        <f t="shared" si="3"/>
        <v>2.6588235294117645E-2</v>
      </c>
      <c r="O32" s="242">
        <f>N32</f>
        <v>2.6588235294117645E-2</v>
      </c>
    </row>
    <row r="33" spans="1:15">
      <c r="I33" s="235">
        <f>SUM(I27:I32)</f>
        <v>4043.64</v>
      </c>
      <c r="J33" s="234">
        <f>SUMPRODUCT($I$27:$I$32,J27:J32)/$I$33</f>
        <v>2.7828782977713146E-2</v>
      </c>
      <c r="K33" s="234">
        <f t="shared" ref="K33:O33" si="4">SUMPRODUCT($I$27:$I$32,K27:K32)/$I$33</f>
        <v>3.0379084191471048E-2</v>
      </c>
      <c r="L33" s="234">
        <f t="shared" si="4"/>
        <v>3.219675342018577E-2</v>
      </c>
      <c r="M33" s="234">
        <f t="shared" si="4"/>
        <v>3.5461138973795887E-2</v>
      </c>
      <c r="N33" s="234">
        <f t="shared" si="4"/>
        <v>3.7563205428772097E-2</v>
      </c>
      <c r="O33" s="234">
        <f t="shared" si="4"/>
        <v>3.5911085061973866E-2</v>
      </c>
    </row>
    <row r="34" spans="1:15">
      <c r="A34" s="237"/>
    </row>
  </sheetData>
  <mergeCells count="2">
    <mergeCell ref="A27:C27"/>
    <mergeCell ref="A31:C31"/>
  </mergeCells>
  <pageMargins left="0.2" right="0.2" top="0.5" bottom="0.5" header="0.5" footer="0.5"/>
  <pageSetup fitToWidth="0" fitToHeight="0" orientation="landscape" horizontalDpi="0" verticalDpi="0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3"/>
  <sheetViews>
    <sheetView topLeftCell="A11" workbookViewId="0">
      <selection activeCell="F35" sqref="F35"/>
    </sheetView>
  </sheetViews>
  <sheetFormatPr defaultColWidth="8.8203125" defaultRowHeight="14.35"/>
  <cols>
    <col min="1" max="1" width="69.64453125" bestFit="1" customWidth="1"/>
    <col min="2" max="6" width="11.64453125" bestFit="1" customWidth="1"/>
  </cols>
  <sheetData>
    <row r="1" spans="1:6" ht="27.35">
      <c r="A1" s="65" t="s">
        <v>55</v>
      </c>
      <c r="B1" s="66"/>
      <c r="C1" s="66"/>
      <c r="D1" s="66"/>
      <c r="E1" s="66"/>
      <c r="F1" s="66"/>
    </row>
    <row r="2" spans="1:6" ht="27.35">
      <c r="A2" s="67" t="s">
        <v>89</v>
      </c>
      <c r="B2" s="68" t="s">
        <v>0</v>
      </c>
      <c r="C2" s="68" t="s">
        <v>95</v>
      </c>
      <c r="D2" s="68" t="s">
        <v>93</v>
      </c>
      <c r="E2" s="68" t="s">
        <v>92</v>
      </c>
      <c r="F2" s="68" t="s">
        <v>91</v>
      </c>
    </row>
    <row r="3" spans="1:6">
      <c r="A3" s="1" t="s">
        <v>98</v>
      </c>
    </row>
    <row r="4" spans="1:6">
      <c r="A4" s="2" t="s">
        <v>15</v>
      </c>
      <c r="B4" s="3">
        <v>1171051</v>
      </c>
      <c r="C4" s="3">
        <v>1146752</v>
      </c>
      <c r="D4" s="3">
        <v>1275413</v>
      </c>
      <c r="E4" s="3">
        <v>1482819</v>
      </c>
      <c r="F4" s="3">
        <v>1644817</v>
      </c>
    </row>
    <row r="5" spans="1:6">
      <c r="A5" s="1" t="s">
        <v>56</v>
      </c>
      <c r="D5" t="s">
        <v>94</v>
      </c>
      <c r="E5" t="s">
        <v>94</v>
      </c>
      <c r="F5" t="s">
        <v>94</v>
      </c>
    </row>
    <row r="6" spans="1:6">
      <c r="A6" s="2" t="s">
        <v>57</v>
      </c>
      <c r="B6" s="3">
        <v>295144</v>
      </c>
      <c r="C6" s="3">
        <v>291544</v>
      </c>
      <c r="D6" s="3">
        <v>294907</v>
      </c>
      <c r="E6" s="3">
        <v>315002</v>
      </c>
      <c r="F6" s="3">
        <v>378959</v>
      </c>
    </row>
    <row r="7" spans="1:6">
      <c r="A7" s="2" t="s">
        <v>58</v>
      </c>
      <c r="B7" s="3">
        <v>49286</v>
      </c>
      <c r="C7" s="3">
        <v>51899</v>
      </c>
      <c r="D7" s="3">
        <v>57584</v>
      </c>
      <c r="E7" s="3">
        <v>66711</v>
      </c>
      <c r="F7" s="3">
        <v>65991</v>
      </c>
    </row>
    <row r="8" spans="1:6">
      <c r="A8" s="2" t="s">
        <v>35</v>
      </c>
      <c r="B8" s="3">
        <v>36255</v>
      </c>
      <c r="C8" s="3">
        <v>-15072</v>
      </c>
      <c r="D8" s="3">
        <v>26880</v>
      </c>
      <c r="E8" s="3">
        <v>13374</v>
      </c>
      <c r="F8" s="3">
        <v>36889</v>
      </c>
    </row>
    <row r="9" spans="1:6">
      <c r="A9" s="2" t="s">
        <v>160</v>
      </c>
      <c r="B9" s="3">
        <v>57729</v>
      </c>
      <c r="C9" s="3">
        <v>112485</v>
      </c>
      <c r="D9" s="3">
        <v>9143</v>
      </c>
      <c r="E9" s="3">
        <v>0</v>
      </c>
      <c r="F9" s="3">
        <v>0</v>
      </c>
    </row>
    <row r="10" spans="1:6">
      <c r="A10" s="2" t="s">
        <v>59</v>
      </c>
      <c r="B10" s="3">
        <v>50329</v>
      </c>
      <c r="C10" s="3">
        <v>50457</v>
      </c>
      <c r="D10" s="3">
        <v>125579</v>
      </c>
      <c r="E10" s="3">
        <v>113756</v>
      </c>
      <c r="F10" s="3">
        <v>188286</v>
      </c>
    </row>
    <row r="11" spans="1:6">
      <c r="A11" s="2" t="s">
        <v>60</v>
      </c>
      <c r="B11" s="3">
        <v>37278</v>
      </c>
      <c r="C11" s="3">
        <v>57426</v>
      </c>
      <c r="D11" s="3">
        <v>113470</v>
      </c>
      <c r="E11" s="3">
        <v>96016</v>
      </c>
      <c r="F11" s="3">
        <v>120818</v>
      </c>
    </row>
    <row r="12" spans="1:6">
      <c r="A12" s="1" t="s">
        <v>61</v>
      </c>
      <c r="D12" t="s">
        <v>94</v>
      </c>
      <c r="E12" t="s">
        <v>94</v>
      </c>
      <c r="F12" t="s">
        <v>94</v>
      </c>
    </row>
    <row r="13" spans="1:6">
      <c r="A13" s="2" t="s">
        <v>27</v>
      </c>
      <c r="B13" s="3">
        <v>8585</v>
      </c>
      <c r="C13" s="3">
        <v>40252</v>
      </c>
      <c r="D13" s="3">
        <v>-55537</v>
      </c>
      <c r="E13" s="3">
        <v>-14642</v>
      </c>
      <c r="F13" s="3">
        <v>-38165</v>
      </c>
    </row>
    <row r="14" spans="1:6">
      <c r="A14" s="2" t="s">
        <v>28</v>
      </c>
      <c r="B14" s="3">
        <v>-12746</v>
      </c>
      <c r="C14" s="3">
        <v>-21194</v>
      </c>
      <c r="D14" s="3">
        <v>-151918</v>
      </c>
      <c r="E14" s="3">
        <v>21457</v>
      </c>
      <c r="F14" s="3">
        <v>-186963</v>
      </c>
    </row>
    <row r="15" spans="1:6">
      <c r="A15" s="2" t="s">
        <v>62</v>
      </c>
      <c r="B15" s="3">
        <v>-39899</v>
      </c>
      <c r="C15" s="3">
        <v>13593</v>
      </c>
      <c r="D15" s="3">
        <v>2493</v>
      </c>
      <c r="E15" s="3">
        <v>8619</v>
      </c>
      <c r="F15" s="3">
        <v>-14507</v>
      </c>
    </row>
    <row r="16" spans="1:6">
      <c r="A16" s="2" t="s">
        <v>63</v>
      </c>
      <c r="B16" s="3">
        <v>-100252</v>
      </c>
      <c r="C16" s="3">
        <v>41101</v>
      </c>
      <c r="D16" s="3">
        <v>41470</v>
      </c>
      <c r="E16" s="3">
        <v>39732</v>
      </c>
      <c r="F16" s="3">
        <v>216479</v>
      </c>
    </row>
    <row r="17" spans="1:6">
      <c r="A17" s="2" t="s">
        <v>40</v>
      </c>
      <c r="B17" s="3">
        <v>75568</v>
      </c>
      <c r="C17" s="3">
        <v>-9544</v>
      </c>
      <c r="D17" s="3">
        <v>-16158</v>
      </c>
      <c r="E17" s="3">
        <v>-29682</v>
      </c>
      <c r="F17" s="3">
        <v>5005</v>
      </c>
    </row>
    <row r="18" spans="1:6">
      <c r="A18" s="2" t="s">
        <v>64</v>
      </c>
      <c r="B18" s="3">
        <v>-25864</v>
      </c>
      <c r="C18" s="3">
        <v>-20134</v>
      </c>
      <c r="D18" s="3">
        <v>-11671</v>
      </c>
      <c r="E18" s="3">
        <v>-51100</v>
      </c>
      <c r="F18" s="3">
        <v>-78547</v>
      </c>
    </row>
    <row r="19" spans="1:6">
      <c r="A19" s="2" t="s">
        <v>65</v>
      </c>
      <c r="B19" s="3">
        <v>-2471</v>
      </c>
      <c r="C19" s="3">
        <v>24308</v>
      </c>
      <c r="D19" s="3">
        <v>-11998</v>
      </c>
      <c r="E19" s="3">
        <v>20822</v>
      </c>
      <c r="F19" s="3">
        <v>-11225</v>
      </c>
    </row>
    <row r="20" spans="1:6">
      <c r="A20" s="9" t="s">
        <v>66</v>
      </c>
      <c r="B20" s="10">
        <v>1599993</v>
      </c>
      <c r="C20" s="10">
        <v>1763873</v>
      </c>
      <c r="D20" s="10">
        <v>1699657</v>
      </c>
      <c r="E20" s="10">
        <v>2082884</v>
      </c>
      <c r="F20" s="10">
        <v>2327837</v>
      </c>
    </row>
    <row r="21" spans="1:6">
      <c r="A21" s="1" t="s">
        <v>67</v>
      </c>
      <c r="D21" t="s">
        <v>94</v>
      </c>
      <c r="E21" t="s">
        <v>94</v>
      </c>
      <c r="F21" t="s">
        <v>94</v>
      </c>
    </row>
    <row r="22" spans="1:6">
      <c r="A22" s="2" t="s">
        <v>68</v>
      </c>
      <c r="B22" s="3">
        <v>-328601</v>
      </c>
      <c r="C22" s="3">
        <v>-318192</v>
      </c>
      <c r="D22" s="3">
        <v>-441626</v>
      </c>
      <c r="E22" s="3">
        <v>-495877</v>
      </c>
      <c r="F22" s="3">
        <v>-519481</v>
      </c>
    </row>
    <row r="23" spans="1:6">
      <c r="A23" s="2" t="s">
        <v>161</v>
      </c>
      <c r="B23" s="3">
        <v>49759</v>
      </c>
      <c r="C23" s="3"/>
      <c r="D23" s="3"/>
      <c r="E23" s="3"/>
      <c r="F23" s="3"/>
    </row>
    <row r="24" spans="1:6">
      <c r="A24" s="2" t="s">
        <v>69</v>
      </c>
      <c r="B24" s="3">
        <v>167048</v>
      </c>
      <c r="C24" s="3"/>
      <c r="D24" s="3"/>
      <c r="E24" s="3"/>
      <c r="F24" s="3"/>
    </row>
    <row r="25" spans="1:6">
      <c r="A25" s="2" t="s">
        <v>70</v>
      </c>
      <c r="B25" s="3">
        <v>-52641</v>
      </c>
      <c r="C25" s="3">
        <v>-80230</v>
      </c>
      <c r="D25" s="3">
        <v>-87211</v>
      </c>
      <c r="E25" s="3">
        <v>-128417</v>
      </c>
      <c r="F25" s="3">
        <v>-275534</v>
      </c>
    </row>
    <row r="26" spans="1:6">
      <c r="A26" s="2" t="s">
        <v>71</v>
      </c>
      <c r="B26" s="3">
        <v>-1338459</v>
      </c>
      <c r="C26" s="3">
        <v>-402160</v>
      </c>
      <c r="D26" s="3">
        <v>0</v>
      </c>
      <c r="E26" s="3">
        <v>-1601073</v>
      </c>
      <c r="F26" s="3">
        <v>0</v>
      </c>
    </row>
    <row r="27" spans="1:6">
      <c r="A27" s="2" t="s">
        <v>99</v>
      </c>
      <c r="B27" s="3"/>
      <c r="C27" s="3">
        <v>20102</v>
      </c>
      <c r="D27" s="3">
        <v>-2443</v>
      </c>
      <c r="E27" s="3">
        <v>2539</v>
      </c>
      <c r="F27" s="3">
        <v>7639</v>
      </c>
    </row>
    <row r="28" spans="1:6">
      <c r="A28" s="9" t="s">
        <v>72</v>
      </c>
      <c r="B28" s="10">
        <v>-1502894</v>
      </c>
      <c r="C28" s="10">
        <v>-780480</v>
      </c>
      <c r="D28" s="10">
        <v>-531280</v>
      </c>
      <c r="E28" s="10">
        <v>-2222828</v>
      </c>
      <c r="F28" s="10">
        <v>-787376</v>
      </c>
    </row>
    <row r="29" spans="1:6">
      <c r="A29" s="1" t="s">
        <v>73</v>
      </c>
      <c r="D29" t="s">
        <v>94</v>
      </c>
      <c r="E29" t="s">
        <v>94</v>
      </c>
      <c r="F29" t="s">
        <v>94</v>
      </c>
    </row>
    <row r="30" spans="1:6">
      <c r="A30" s="2" t="s">
        <v>74</v>
      </c>
      <c r="B30" s="3">
        <v>645805</v>
      </c>
      <c r="C30" s="3">
        <v>-1168205</v>
      </c>
      <c r="D30" s="3">
        <v>41759</v>
      </c>
      <c r="E30" s="3">
        <v>869030</v>
      </c>
      <c r="F30" s="3">
        <v>-245633</v>
      </c>
    </row>
    <row r="31" spans="1:6">
      <c r="A31" s="2" t="s">
        <v>75</v>
      </c>
      <c r="B31" s="3">
        <v>1199845</v>
      </c>
      <c r="C31" s="3">
        <v>989618</v>
      </c>
      <c r="D31" s="3">
        <v>989876</v>
      </c>
      <c r="E31" s="3">
        <v>0</v>
      </c>
      <c r="F31" s="3">
        <v>0</v>
      </c>
    </row>
    <row r="32" spans="1:6">
      <c r="A32" s="2" t="s">
        <v>76</v>
      </c>
      <c r="B32" s="3">
        <v>-910844</v>
      </c>
      <c r="C32" s="3">
        <v>-6151</v>
      </c>
      <c r="D32" s="3">
        <v>-704467</v>
      </c>
      <c r="E32" s="3">
        <v>-439444</v>
      </c>
      <c r="F32" s="3">
        <v>-4741</v>
      </c>
    </row>
    <row r="33" spans="1:6">
      <c r="A33" s="2" t="s">
        <v>77</v>
      </c>
      <c r="B33" s="3">
        <v>-72000</v>
      </c>
      <c r="C33" s="3"/>
      <c r="D33" s="3"/>
      <c r="E33" s="3"/>
      <c r="F33" s="3"/>
    </row>
    <row r="34" spans="1:6">
      <c r="A34" s="2" t="s">
        <v>78</v>
      </c>
      <c r="B34" s="3">
        <v>-562521</v>
      </c>
      <c r="C34" s="3">
        <v>-610312</v>
      </c>
      <c r="D34" s="3">
        <v>-640732</v>
      </c>
      <c r="E34" s="3">
        <v>-685987</v>
      </c>
      <c r="F34" s="3">
        <v>-775030</v>
      </c>
    </row>
    <row r="35" spans="1:6">
      <c r="A35" s="2" t="s">
        <v>79</v>
      </c>
      <c r="B35" s="3">
        <v>-247500</v>
      </c>
      <c r="C35" s="3">
        <v>-527211</v>
      </c>
      <c r="D35" s="3">
        <v>-211196</v>
      </c>
      <c r="E35" s="3">
        <v>-457946</v>
      </c>
      <c r="F35" s="3">
        <v>-388964</v>
      </c>
    </row>
    <row r="36" spans="1:6">
      <c r="A36" s="2" t="s">
        <v>80</v>
      </c>
      <c r="B36" s="3">
        <v>63323</v>
      </c>
      <c r="C36" s="3">
        <v>240806</v>
      </c>
      <c r="D36" s="3">
        <v>46372</v>
      </c>
      <c r="E36" s="3">
        <v>49821</v>
      </c>
      <c r="F36" s="3">
        <v>34158</v>
      </c>
    </row>
    <row r="37" spans="1:6">
      <c r="A37" s="2" t="s">
        <v>60</v>
      </c>
      <c r="B37" s="3"/>
      <c r="C37" s="3"/>
      <c r="D37" s="3">
        <v>-20840</v>
      </c>
      <c r="E37" s="3">
        <v>-16610</v>
      </c>
      <c r="F37" s="3">
        <v>-35515</v>
      </c>
    </row>
    <row r="38" spans="1:6">
      <c r="A38" s="9" t="s">
        <v>81</v>
      </c>
      <c r="B38" s="10">
        <v>116108</v>
      </c>
      <c r="C38" s="10">
        <v>-1081455</v>
      </c>
      <c r="D38" s="10">
        <v>-499228</v>
      </c>
      <c r="E38" s="10">
        <v>-681136</v>
      </c>
      <c r="F38" s="10">
        <v>-1415725</v>
      </c>
    </row>
    <row r="39" spans="1:6">
      <c r="A39" s="9" t="s">
        <v>82</v>
      </c>
      <c r="B39" s="10">
        <v>-5388</v>
      </c>
      <c r="C39" s="10">
        <v>3326</v>
      </c>
      <c r="D39" s="10">
        <v>-6990</v>
      </c>
      <c r="E39" s="10">
        <v>-5075</v>
      </c>
      <c r="F39" s="10">
        <v>9887</v>
      </c>
    </row>
    <row r="40" spans="1:6" ht="28.7">
      <c r="A40" s="2" t="s">
        <v>162</v>
      </c>
      <c r="B40" s="3"/>
      <c r="C40" s="3">
        <v>-94736</v>
      </c>
      <c r="D40" s="3">
        <v>662159</v>
      </c>
      <c r="E40" s="3">
        <v>-826155</v>
      </c>
      <c r="F40" s="3">
        <v>134623</v>
      </c>
    </row>
    <row r="41" spans="1:6">
      <c r="A41" s="2" t="s">
        <v>100</v>
      </c>
      <c r="B41" s="3"/>
      <c r="C41" s="3">
        <v>0</v>
      </c>
      <c r="D41" s="3">
        <v>-11434</v>
      </c>
      <c r="E41" s="3">
        <v>11434</v>
      </c>
      <c r="F41" s="3">
        <v>0</v>
      </c>
    </row>
    <row r="42" spans="1:6">
      <c r="A42" s="2" t="s">
        <v>83</v>
      </c>
      <c r="B42" s="3">
        <v>207819</v>
      </c>
      <c r="C42" s="3">
        <v>-94736</v>
      </c>
      <c r="D42" s="3">
        <v>650725</v>
      </c>
      <c r="E42" s="3">
        <v>-814721</v>
      </c>
      <c r="F42" s="3">
        <v>134623</v>
      </c>
    </row>
    <row r="43" spans="1:6">
      <c r="A43" s="2" t="s">
        <v>84</v>
      </c>
      <c r="B43" s="3">
        <v>380179</v>
      </c>
      <c r="C43" s="3">
        <v>587998</v>
      </c>
      <c r="D43" s="3">
        <v>493262</v>
      </c>
      <c r="E43" s="3">
        <v>1143987</v>
      </c>
      <c r="F43" s="3">
        <v>329266</v>
      </c>
    </row>
    <row r="44" spans="1:6" ht="14.7" thickBot="1">
      <c r="A44" s="11" t="s">
        <v>85</v>
      </c>
      <c r="B44" s="12">
        <v>587998</v>
      </c>
      <c r="C44" s="12">
        <v>493262</v>
      </c>
      <c r="D44" s="12">
        <v>1143987</v>
      </c>
      <c r="E44" s="12">
        <v>329266</v>
      </c>
      <c r="F44" s="12">
        <v>463889</v>
      </c>
    </row>
    <row r="45" spans="1:6">
      <c r="A45" s="1" t="s">
        <v>86</v>
      </c>
      <c r="D45" t="s">
        <v>94</v>
      </c>
      <c r="E45" t="s">
        <v>94</v>
      </c>
      <c r="F45" t="s">
        <v>94</v>
      </c>
    </row>
    <row r="46" spans="1:6">
      <c r="A46" s="2" t="s">
        <v>87</v>
      </c>
      <c r="B46" s="3">
        <v>132486</v>
      </c>
      <c r="C46">
        <v>139504</v>
      </c>
      <c r="D46">
        <v>150930</v>
      </c>
      <c r="E46">
        <v>127726</v>
      </c>
      <c r="F46">
        <v>131757</v>
      </c>
    </row>
    <row r="47" spans="1:6">
      <c r="A47" s="2" t="s">
        <v>88</v>
      </c>
      <c r="B47" s="4">
        <v>118842</v>
      </c>
      <c r="C47" s="4">
        <v>238067</v>
      </c>
      <c r="D47" s="4">
        <v>215491</v>
      </c>
      <c r="E47" s="4">
        <v>275171</v>
      </c>
      <c r="F47" s="4">
        <v>221321</v>
      </c>
    </row>
    <row r="49" spans="1:6" ht="27.35">
      <c r="A49" s="65" t="s">
        <v>163</v>
      </c>
      <c r="B49" s="66"/>
      <c r="C49" s="66"/>
      <c r="D49" s="66"/>
      <c r="E49" s="66"/>
      <c r="F49" s="66"/>
    </row>
    <row r="50" spans="1:6" ht="27.35">
      <c r="A50" s="67" t="s">
        <v>89</v>
      </c>
      <c r="B50" s="68" t="s">
        <v>0</v>
      </c>
      <c r="C50" s="68" t="s">
        <v>95</v>
      </c>
      <c r="D50" s="68" t="s">
        <v>93</v>
      </c>
      <c r="E50" s="68" t="s">
        <v>92</v>
      </c>
      <c r="F50" s="68" t="s">
        <v>91</v>
      </c>
    </row>
    <row r="51" spans="1:6">
      <c r="A51" s="1" t="s">
        <v>98</v>
      </c>
    </row>
    <row r="52" spans="1:6">
      <c r="A52" s="2" t="s">
        <v>15</v>
      </c>
      <c r="B52" s="48">
        <f>B4/IS!B$3</f>
        <v>0.15030684492718521</v>
      </c>
      <c r="C52" s="48">
        <f>C4/IS!C$3</f>
        <v>0.14359076072230129</v>
      </c>
      <c r="D52" s="48">
        <f>D4/IS!D$3</f>
        <v>0.15649778845135642</v>
      </c>
      <c r="E52" s="48">
        <f>E4/IS!E$3</f>
        <v>0.16528405966691476</v>
      </c>
      <c r="F52" s="48">
        <f>F4/IS!F$3</f>
        <v>0.15786261525972872</v>
      </c>
    </row>
    <row r="53" spans="1:6">
      <c r="A53" s="1" t="s">
        <v>56</v>
      </c>
      <c r="B53" s="57"/>
      <c r="C53" s="57"/>
      <c r="D53" s="57"/>
      <c r="E53" s="57"/>
      <c r="F53" s="57"/>
    </row>
    <row r="54" spans="1:6">
      <c r="A54" s="2" t="s">
        <v>57</v>
      </c>
      <c r="B54" s="48">
        <f>B6/IS!B$3</f>
        <v>3.7882349649322834E-2</v>
      </c>
      <c r="C54" s="48">
        <f>C6/IS!C$3</f>
        <v>3.6505735105779279E-2</v>
      </c>
      <c r="D54" s="48">
        <f>D6/IS!D$3</f>
        <v>3.6186155620825701E-2</v>
      </c>
      <c r="E54" s="48">
        <f>E6/IS!E$3</f>
        <v>3.5112046286969269E-2</v>
      </c>
      <c r="F54" s="48">
        <f>F6/IS!F$3</f>
        <v>3.6370890388542639E-2</v>
      </c>
    </row>
    <row r="55" spans="1:6">
      <c r="A55" s="2" t="s">
        <v>58</v>
      </c>
      <c r="B55" s="48">
        <f>B7/IS!B$3</f>
        <v>6.3259611742624792E-3</v>
      </c>
      <c r="C55" s="48">
        <f>C7/IS!C$3</f>
        <v>6.4985427457084997E-3</v>
      </c>
      <c r="D55" s="48">
        <f>D7/IS!D$3</f>
        <v>7.0657650895693458E-3</v>
      </c>
      <c r="E55" s="48">
        <f>E7/IS!E$3</f>
        <v>7.4360153899023082E-3</v>
      </c>
      <c r="F55" s="48">
        <f>F7/IS!F$3</f>
        <v>6.3335385295779159E-3</v>
      </c>
    </row>
    <row r="56" spans="1:6">
      <c r="A56" s="2" t="s">
        <v>35</v>
      </c>
      <c r="B56" s="48">
        <f>B8/IS!B$3</f>
        <v>4.6534050718842306E-3</v>
      </c>
      <c r="C56" s="48">
        <f>C8/IS!C$3</f>
        <v>-1.8872432274864355E-3</v>
      </c>
      <c r="D56" s="48">
        <f>D8/IS!D$3</f>
        <v>3.2982732288070302E-3</v>
      </c>
      <c r="E56" s="48">
        <f>E8/IS!E$3</f>
        <v>1.4907477001477037E-3</v>
      </c>
      <c r="F56" s="48">
        <f>F8/IS!F$3</f>
        <v>3.5404510132836255E-3</v>
      </c>
    </row>
    <row r="57" spans="1:6">
      <c r="A57" s="2" t="s">
        <v>160</v>
      </c>
      <c r="B57" s="48">
        <f>B9/IS!B$3</f>
        <v>7.4096378815281961E-3</v>
      </c>
      <c r="C57" s="48">
        <f>C9/IS!C$3</f>
        <v>1.408482977997689E-2</v>
      </c>
      <c r="D57" s="48">
        <f>D9/IS!D$3</f>
        <v>1.121879171539534E-3</v>
      </c>
      <c r="E57" s="48">
        <f>E9/IS!E$3</f>
        <v>0</v>
      </c>
      <c r="F57" s="48">
        <f>F9/IS!F$3</f>
        <v>0</v>
      </c>
    </row>
    <row r="58" spans="1:6">
      <c r="A58" s="2" t="s">
        <v>59</v>
      </c>
      <c r="B58" s="48">
        <f>B10/IS!B$3</f>
        <v>6.4598324055402407E-3</v>
      </c>
      <c r="C58" s="48">
        <f>C10/IS!C$3</f>
        <v>6.3179824528452142E-3</v>
      </c>
      <c r="D58" s="48">
        <f>D10/IS!D$3</f>
        <v>1.54089975372157E-2</v>
      </c>
      <c r="E58" s="48">
        <f>E10/IS!E$3</f>
        <v>1.2679938341408866E-2</v>
      </c>
      <c r="F58" s="48">
        <f>F10/IS!F$3</f>
        <v>1.8070898085801208E-2</v>
      </c>
    </row>
    <row r="59" spans="1:6">
      <c r="A59" s="2" t="s">
        <v>60</v>
      </c>
      <c r="B59" s="48">
        <f>B11/IS!B$3</f>
        <v>4.7847092613349977E-3</v>
      </c>
      <c r="C59" s="48">
        <f>C11/IS!C$3</f>
        <v>7.1906070582295678E-3</v>
      </c>
      <c r="D59" s="48">
        <f>D11/IS!D$3</f>
        <v>1.3923179437229677E-2</v>
      </c>
      <c r="E59" s="48">
        <f>E11/IS!E$3</f>
        <v>1.0702529622953635E-2</v>
      </c>
      <c r="F59" s="48">
        <f>F11/IS!F$3</f>
        <v>1.15956033105506E-2</v>
      </c>
    </row>
    <row r="60" spans="1:6">
      <c r="A60" s="1" t="s">
        <v>61</v>
      </c>
      <c r="B60" s="54"/>
      <c r="C60" s="54"/>
      <c r="D60" s="54"/>
      <c r="E60" s="54"/>
      <c r="F60" s="54"/>
    </row>
    <row r="61" spans="1:6">
      <c r="A61" s="2" t="s">
        <v>27</v>
      </c>
      <c r="B61" s="48">
        <f>B13/IS!B$3</f>
        <v>1.1019027042373775E-3</v>
      </c>
      <c r="C61" s="48">
        <f>C13/IS!C$3</f>
        <v>5.0401615175679404E-3</v>
      </c>
      <c r="D61" s="48">
        <f>D13/IS!D$3</f>
        <v>-6.8145907852773819E-3</v>
      </c>
      <c r="E61" s="48">
        <f>E13/IS!E$3</f>
        <v>-1.6320867224138386E-3</v>
      </c>
      <c r="F61" s="48">
        <f>F13/IS!F$3</f>
        <v>-3.6629161246433781E-3</v>
      </c>
    </row>
    <row r="62" spans="1:6">
      <c r="A62" s="2" t="s">
        <v>28</v>
      </c>
      <c r="B62" s="48">
        <f>B14/IS!B$3</f>
        <v>-1.6359757563435774E-3</v>
      </c>
      <c r="C62" s="48">
        <f>C14/IS!C$3</f>
        <v>-2.6538105734705089E-3</v>
      </c>
      <c r="D62" s="48">
        <f>D14/IS!D$3</f>
        <v>-1.8640888109148303E-2</v>
      </c>
      <c r="E62" s="48">
        <f>E14/IS!E$3</f>
        <v>2.3917282340413697E-3</v>
      </c>
      <c r="F62" s="48">
        <f>F14/IS!F$3</f>
        <v>-1.7943922112189176E-2</v>
      </c>
    </row>
    <row r="63" spans="1:6">
      <c r="A63" s="2" t="s">
        <v>62</v>
      </c>
      <c r="B63" s="48">
        <f>B15/IS!B$3</f>
        <v>-5.1211200927626238E-3</v>
      </c>
      <c r="C63" s="48">
        <f>C15/IS!C$3</f>
        <v>1.7020499728783915E-3</v>
      </c>
      <c r="D63" s="48">
        <f>D15/IS!D$3</f>
        <v>3.0590011753779488E-4</v>
      </c>
      <c r="E63" s="48">
        <f>E15/IS!E$3</f>
        <v>9.6072636664969776E-4</v>
      </c>
      <c r="F63" s="48">
        <f>F15/IS!F$3</f>
        <v>-1.3923208232726708E-3</v>
      </c>
    </row>
    <row r="64" spans="1:6">
      <c r="A64" s="2" t="s">
        <v>63</v>
      </c>
      <c r="B64" s="48">
        <f>B16/IS!B$3</f>
        <v>-1.2867553861992495E-2</v>
      </c>
      <c r="C64" s="48">
        <f>C16/IS!C$3</f>
        <v>5.1464692073328018E-3</v>
      </c>
      <c r="D64" s="48">
        <f>D16/IS!D$3</f>
        <v>5.0885190029251312E-3</v>
      </c>
      <c r="E64" s="48">
        <f>E16/IS!E$3</f>
        <v>4.4287713191467444E-3</v>
      </c>
      <c r="F64" s="48">
        <f>F16/IS!F$3</f>
        <v>2.0776743606620563E-2</v>
      </c>
    </row>
    <row r="65" spans="1:6">
      <c r="A65" s="2" t="s">
        <v>40</v>
      </c>
      <c r="B65" s="48">
        <f>B17/IS!B$3</f>
        <v>9.6993108391159166E-3</v>
      </c>
      <c r="C65" s="48">
        <f>C17/IS!C$3</f>
        <v>-1.1950536997830771E-3</v>
      </c>
      <c r="D65" s="48">
        <f>D17/IS!D$3</f>
        <v>-1.9826450457985116E-3</v>
      </c>
      <c r="E65" s="48">
        <f>E17/IS!E$3</f>
        <v>-3.3085369549711485E-3</v>
      </c>
      <c r="F65" s="48">
        <f>F17/IS!F$3</f>
        <v>4.8035884197144261E-4</v>
      </c>
    </row>
    <row r="66" spans="1:6">
      <c r="A66" s="2" t="s">
        <v>64</v>
      </c>
      <c r="B66" s="48">
        <f>B18/IS!B$3</f>
        <v>-3.319698490669252E-3</v>
      </c>
      <c r="C66" s="48">
        <f>C18/IS!C$3</f>
        <v>-2.5210824802422965E-3</v>
      </c>
      <c r="D66" s="48">
        <f>D18/IS!D$3</f>
        <v>-1.4320739156773381E-3</v>
      </c>
      <c r="E66" s="48">
        <f>E18/IS!E$3</f>
        <v>-5.6959180108828817E-3</v>
      </c>
      <c r="F66" s="48">
        <f>F18/IS!F$3</f>
        <v>-7.5386105814846957E-3</v>
      </c>
    </row>
    <row r="67" spans="1:6">
      <c r="A67" s="2" t="s">
        <v>65</v>
      </c>
      <c r="B67" s="48">
        <f>B19/IS!B$3</f>
        <v>-3.1715801772516709E-4</v>
      </c>
      <c r="C67" s="48">
        <f>C19/IS!C$3</f>
        <v>3.0437306511239565E-3</v>
      </c>
      <c r="D67" s="48">
        <f>D19/IS!D$3</f>
        <v>-1.4721979984831379E-3</v>
      </c>
      <c r="E67" s="48">
        <f>E19/IS!E$3</f>
        <v>2.3209472568024143E-3</v>
      </c>
      <c r="F67" s="48">
        <f>F19/IS!F$3</f>
        <v>-1.0773282719539346E-3</v>
      </c>
    </row>
    <row r="68" spans="1:6">
      <c r="A68" s="9" t="s">
        <v>66</v>
      </c>
      <c r="B68" s="55">
        <f>B20/IS!B$3</f>
        <v>0.20536244769491838</v>
      </c>
      <c r="C68" s="55">
        <f>C20/IS!C$3</f>
        <v>0.22086367923276151</v>
      </c>
      <c r="D68" s="55">
        <f>D20/IS!D$3</f>
        <v>0.20855406180262165</v>
      </c>
      <c r="E68" s="55">
        <f>E20/IS!E$3</f>
        <v>0.23217096849666888</v>
      </c>
      <c r="F68" s="55">
        <f>F20/IS!F$3</f>
        <v>0.22341600112253288</v>
      </c>
    </row>
    <row r="69" spans="1:6">
      <c r="A69" s="1" t="s">
        <v>67</v>
      </c>
      <c r="B69" s="57"/>
      <c r="C69" s="57"/>
      <c r="D69" s="57"/>
      <c r="E69" s="57"/>
      <c r="F69" s="57"/>
    </row>
    <row r="70" spans="1:6">
      <c r="A70" s="2" t="s">
        <v>68</v>
      </c>
      <c r="B70" s="48">
        <f>B22/IS!B$3</f>
        <v>-4.2176625569610535E-2</v>
      </c>
      <c r="C70" s="48">
        <f>C22/IS!C$3</f>
        <v>-3.9842469283463633E-2</v>
      </c>
      <c r="D70" s="48">
        <f>D22/IS!D$3</f>
        <v>-5.4189107624446932E-2</v>
      </c>
      <c r="E70" s="48">
        <f>E22/IS!E$3</f>
        <v>-5.5273478189482791E-2</v>
      </c>
      <c r="F70" s="48">
        <f>F22/IS!F$3</f>
        <v>-4.9857600716516876E-2</v>
      </c>
    </row>
    <row r="71" spans="1:6">
      <c r="A71" s="2" t="s">
        <v>161</v>
      </c>
      <c r="B71" s="48">
        <f>B23/IS!B$3</f>
        <v>6.3866717134708987E-3</v>
      </c>
      <c r="C71" s="48">
        <f>C23/IS!C$3</f>
        <v>0</v>
      </c>
      <c r="D71" s="48">
        <f>D23/IS!D$3</f>
        <v>0</v>
      </c>
      <c r="E71" s="48">
        <f>E23/IS!E$3</f>
        <v>0</v>
      </c>
      <c r="F71" s="48">
        <f>F23/IS!F$3</f>
        <v>0</v>
      </c>
    </row>
    <row r="72" spans="1:6">
      <c r="A72" s="2" t="s">
        <v>69</v>
      </c>
      <c r="B72" s="48">
        <f>B24/IS!B$3</f>
        <v>2.1440960155788634E-2</v>
      </c>
      <c r="C72" s="48">
        <f>C24/IS!C$3</f>
        <v>0</v>
      </c>
      <c r="D72" s="48">
        <f>D24/IS!D$3</f>
        <v>0</v>
      </c>
      <c r="E72" s="48">
        <f>E24/IS!E$3</f>
        <v>0</v>
      </c>
      <c r="F72" s="48">
        <f>F24/IS!F$3</f>
        <v>0</v>
      </c>
    </row>
    <row r="73" spans="1:6">
      <c r="A73" s="2" t="s">
        <v>70</v>
      </c>
      <c r="B73" s="48">
        <f>B25/IS!B$3</f>
        <v>-6.7565824407408021E-3</v>
      </c>
      <c r="C73" s="48">
        <f>C25/IS!C$3</f>
        <v>-1.0046014075188211E-2</v>
      </c>
      <c r="D73" s="48">
        <f>D25/IS!D$3</f>
        <v>-1.0701105154668523E-2</v>
      </c>
      <c r="E73" s="48">
        <f>E25/IS!E$3</f>
        <v>-1.431414291983458E-2</v>
      </c>
      <c r="F73" s="48">
        <f>F25/IS!F$3</f>
        <v>-2.644459403871318E-2</v>
      </c>
    </row>
    <row r="74" spans="1:6">
      <c r="A74" s="2" t="s">
        <v>71</v>
      </c>
      <c r="B74" s="48">
        <f>B26/IS!B$3</f>
        <v>-0.17179401183585974</v>
      </c>
      <c r="C74" s="48">
        <f>C26/IS!C$3</f>
        <v>-5.035653771005473E-2</v>
      </c>
      <c r="D74" s="48">
        <f>D26/IS!D$3</f>
        <v>0</v>
      </c>
      <c r="E74" s="48">
        <f>E26/IS!E$3</f>
        <v>-0.17846537255260839</v>
      </c>
      <c r="F74" s="48">
        <f>F26/IS!F$3</f>
        <v>0</v>
      </c>
    </row>
    <row r="75" spans="1:6">
      <c r="A75" s="2" t="s">
        <v>99</v>
      </c>
      <c r="B75" s="48">
        <f>B27/IS!B$3</f>
        <v>0</v>
      </c>
      <c r="C75" s="48">
        <f>C27/IS!C$3</f>
        <v>2.5170755944089918E-3</v>
      </c>
      <c r="D75" s="48">
        <f>D27/IS!D$3</f>
        <v>-2.9976493668063892E-4</v>
      </c>
      <c r="E75" s="48">
        <f>E27/IS!E$3</f>
        <v>2.8301244284993421E-4</v>
      </c>
      <c r="F75" s="48">
        <f>F27/IS!F$3</f>
        <v>7.3315907968428569E-4</v>
      </c>
    </row>
    <row r="76" spans="1:6">
      <c r="A76" s="9" t="s">
        <v>72</v>
      </c>
      <c r="B76" s="55">
        <f>B28/IS!B$3</f>
        <v>-0.19289958797695156</v>
      </c>
      <c r="C76" s="55">
        <f>C28/IS!C$3</f>
        <v>-9.7727945474297584E-2</v>
      </c>
      <c r="D76" s="55">
        <f>D28/IS!D$3</f>
        <v>-6.5189977715796085E-2</v>
      </c>
      <c r="E76" s="55">
        <f>E28/IS!E$3</f>
        <v>-0.24776998121907581</v>
      </c>
      <c r="F76" s="55">
        <f>F28/IS!F$3</f>
        <v>-7.5569035675545765E-2</v>
      </c>
    </row>
    <row r="77" spans="1:6">
      <c r="A77" s="1" t="s">
        <v>73</v>
      </c>
      <c r="B77" s="57"/>
      <c r="C77" s="57"/>
      <c r="D77" s="57"/>
      <c r="E77" s="57"/>
      <c r="F77" s="57"/>
    </row>
    <row r="78" spans="1:6">
      <c r="A78" s="2" t="s">
        <v>74</v>
      </c>
      <c r="B78" s="48">
        <f>B30/IS!B$3</f>
        <v>8.2890422354108276E-2</v>
      </c>
      <c r="C78" s="48">
        <f>C30/IS!C$3</f>
        <v>-0.1462770020279851</v>
      </c>
      <c r="D78" s="48">
        <f>D30/IS!D$3</f>
        <v>5.1239803482794931E-3</v>
      </c>
      <c r="E78" s="48">
        <f>E30/IS!E$3</f>
        <v>9.6867389999952064E-2</v>
      </c>
      <c r="F78" s="48">
        <f>F30/IS!F$3</f>
        <v>-2.3574821864130142E-2</v>
      </c>
    </row>
    <row r="79" spans="1:6">
      <c r="A79" s="2" t="s">
        <v>75</v>
      </c>
      <c r="B79" s="48">
        <f>B31/IS!B$3</f>
        <v>0.15400261504550916</v>
      </c>
      <c r="C79" s="48">
        <f>C31/IS!C$3</f>
        <v>0.12391519826822395</v>
      </c>
      <c r="D79" s="48">
        <f>D31/IS!D$3</f>
        <v>0.12146136572316174</v>
      </c>
      <c r="E79" s="48">
        <f>E31/IS!E$3</f>
        <v>0</v>
      </c>
      <c r="F79" s="48">
        <f>F31/IS!F$3</f>
        <v>0</v>
      </c>
    </row>
    <row r="80" spans="1:6">
      <c r="A80" s="2" t="s">
        <v>76</v>
      </c>
      <c r="B80" s="48">
        <f>B32/IS!B$3</f>
        <v>-0.11690873229334768</v>
      </c>
      <c r="C80" s="48">
        <f>C32/IS!C$3</f>
        <v>-7.7019858627050582E-4</v>
      </c>
      <c r="D80" s="48">
        <f>D32/IS!D$3</f>
        <v>-8.644064905796138E-2</v>
      </c>
      <c r="E80" s="48">
        <f>E32/IS!E$3</f>
        <v>-4.898311143589857E-2</v>
      </c>
      <c r="F80" s="48">
        <f>F32/IS!F$3</f>
        <v>-4.5502123272459725E-4</v>
      </c>
    </row>
    <row r="81" spans="1:6">
      <c r="A81" s="2" t="s">
        <v>77</v>
      </c>
      <c r="B81" s="48">
        <f>B33/IS!B$3</f>
        <v>-9.2413505771801012E-3</v>
      </c>
      <c r="C81" s="48">
        <f>C33/IS!C$3</f>
        <v>0</v>
      </c>
      <c r="D81" s="48">
        <f>D33/IS!D$3</f>
        <v>0</v>
      </c>
      <c r="E81" s="48">
        <f>E33/IS!E$3</f>
        <v>0</v>
      </c>
      <c r="F81" s="48">
        <f>F33/IS!F$3</f>
        <v>0</v>
      </c>
    </row>
    <row r="82" spans="1:6">
      <c r="A82" s="2" t="s">
        <v>78</v>
      </c>
      <c r="B82" s="48">
        <f>B34/IS!B$3</f>
        <v>-7.2200746778137898E-2</v>
      </c>
      <c r="C82" s="48">
        <f>C34/IS!C$3</f>
        <v>-7.6420328334242393E-2</v>
      </c>
      <c r="D82" s="48">
        <f>D34/IS!D$3</f>
        <v>-7.8620134019344715E-2</v>
      </c>
      <c r="E82" s="48">
        <f>E34/IS!E$3</f>
        <v>-7.6464299579873093E-2</v>
      </c>
      <c r="F82" s="48">
        <f>F34/IS!F$3</f>
        <v>-7.4384118540085351E-2</v>
      </c>
    </row>
    <row r="83" spans="1:6">
      <c r="A83" s="2" t="s">
        <v>79</v>
      </c>
      <c r="B83" s="48">
        <f>B35/IS!B$3</f>
        <v>-3.1767142609056602E-2</v>
      </c>
      <c r="C83" s="48">
        <f>C35/IS!C$3</f>
        <v>-6.6014821470697399E-2</v>
      </c>
      <c r="D83" s="48">
        <f>D35/IS!D$3</f>
        <v>-2.5914513126158091E-2</v>
      </c>
      <c r="E83" s="48">
        <f>E35/IS!E$3</f>
        <v>-5.104545732704055E-2</v>
      </c>
      <c r="F83" s="48">
        <f>F35/IS!F$3</f>
        <v>-3.7331128193522516E-2</v>
      </c>
    </row>
    <row r="84" spans="1:6">
      <c r="A84" s="2" t="s">
        <v>80</v>
      </c>
      <c r="B84" s="48">
        <f>B36/IS!B$3</f>
        <v>8.1276394805385507E-3</v>
      </c>
      <c r="C84" s="48">
        <f>C36/IS!C$3</f>
        <v>3.0152567186710361E-2</v>
      </c>
      <c r="D84" s="48">
        <f>D36/IS!D$3</f>
        <v>5.6900121341606994E-3</v>
      </c>
      <c r="E84" s="48">
        <f>E36/IS!E$3</f>
        <v>5.5533528614519776E-3</v>
      </c>
      <c r="F84" s="48">
        <f>F36/IS!F$3</f>
        <v>3.2783411236884186E-3</v>
      </c>
    </row>
    <row r="85" spans="1:6">
      <c r="A85" s="2" t="s">
        <v>60</v>
      </c>
      <c r="B85" s="48">
        <f>B37/IS!B$3</f>
        <v>0</v>
      </c>
      <c r="C85" s="48">
        <f>C37/IS!C$3</f>
        <v>0</v>
      </c>
      <c r="D85" s="48">
        <f>D37/IS!D$3</f>
        <v>-2.5571433812625931E-3</v>
      </c>
      <c r="E85" s="48">
        <f>E37/IS!E$3</f>
        <v>-1.8514520188016568E-3</v>
      </c>
      <c r="F85" s="48">
        <f>F37/IS!F$3</f>
        <v>-3.4085802742489079E-3</v>
      </c>
    </row>
    <row r="86" spans="1:6">
      <c r="A86" s="9" t="s">
        <v>81</v>
      </c>
      <c r="B86" s="55">
        <f>B38/IS!B$3</f>
        <v>1.4902704622433711E-2</v>
      </c>
      <c r="C86" s="55">
        <f>C38/IS!C$3</f>
        <v>-0.13541458496426109</v>
      </c>
      <c r="D86" s="55">
        <f>D38/IS!D$3</f>
        <v>-6.1257081379124848E-2</v>
      </c>
      <c r="E86" s="55">
        <f>E38/IS!E$3</f>
        <v>-7.5923577500209838E-2</v>
      </c>
      <c r="F86" s="55">
        <f>F38/IS!F$3</f>
        <v>-0.13587532898102309</v>
      </c>
    </row>
    <row r="87" spans="1:6">
      <c r="A87" s="9" t="s">
        <v>82</v>
      </c>
      <c r="B87" s="55">
        <f>B39/IS!B$3</f>
        <v>-6.91561068192311E-4</v>
      </c>
      <c r="C87" s="55">
        <f>C39/IS!C$3</f>
        <v>4.1646569629908998E-4</v>
      </c>
      <c r="D87" s="55">
        <f>D39/IS!D$3</f>
        <v>-8.5769828383039956E-4</v>
      </c>
      <c r="E87" s="55">
        <f>E39/IS!E$3</f>
        <v>-5.6569048738220403E-4</v>
      </c>
      <c r="F87" s="55">
        <f>F39/IS!F$3</f>
        <v>9.4891266145287771E-4</v>
      </c>
    </row>
    <row r="88" spans="1:6" ht="28.7">
      <c r="A88" s="2" t="s">
        <v>162</v>
      </c>
      <c r="B88" s="48">
        <f>B40/IS!B$3</f>
        <v>0</v>
      </c>
      <c r="C88" s="48">
        <f>C40/IS!C$3</f>
        <v>-1.1862385509498072E-2</v>
      </c>
      <c r="D88" s="48">
        <f>D40/IS!D$3</f>
        <v>8.1249304423870322E-2</v>
      </c>
      <c r="E88" s="48">
        <f>E40/IS!E$3</f>
        <v>-9.2088280709998971E-2</v>
      </c>
      <c r="F88" s="48">
        <f>F40/IS!F$3</f>
        <v>1.2920549127416886E-2</v>
      </c>
    </row>
    <row r="89" spans="1:6">
      <c r="A89" s="2" t="s">
        <v>100</v>
      </c>
      <c r="B89" s="48">
        <f>B41/IS!B$3</f>
        <v>0</v>
      </c>
      <c r="C89" s="48">
        <f>C41/IS!C$3</f>
        <v>0</v>
      </c>
      <c r="D89" s="48">
        <f>D41/IS!D$3</f>
        <v>-1.4029931584144189E-3</v>
      </c>
      <c r="E89" s="48">
        <f>E41/IS!E$3</f>
        <v>1.2745034547247528E-3</v>
      </c>
      <c r="F89" s="48">
        <f>F41/IS!F$3</f>
        <v>0</v>
      </c>
    </row>
    <row r="90" spans="1:6">
      <c r="A90" s="2" t="s">
        <v>83</v>
      </c>
      <c r="B90" s="48">
        <f>B42/IS!B$3</f>
        <v>2.6674003272208216E-2</v>
      </c>
      <c r="C90" s="48">
        <f>C42/IS!C$3</f>
        <v>-1.1862385509498072E-2</v>
      </c>
      <c r="D90" s="48">
        <f>D42/IS!D$3</f>
        <v>7.9846311265455897E-2</v>
      </c>
      <c r="E90" s="48">
        <f>E42/IS!E$3</f>
        <v>-9.0813777255274217E-2</v>
      </c>
      <c r="F90" s="48">
        <f>F42/IS!F$3</f>
        <v>1.2920549127416886E-2</v>
      </c>
    </row>
    <row r="91" spans="1:6">
      <c r="A91" s="2" t="s">
        <v>84</v>
      </c>
      <c r="B91" s="48">
        <f>B43/IS!B$3</f>
        <v>4.879676973724658E-2</v>
      </c>
      <c r="C91" s="48">
        <f>C43/IS!C$3</f>
        <v>7.3626276756606227E-2</v>
      </c>
      <c r="D91" s="48">
        <f>D43/IS!D$3</f>
        <v>6.0525031599249005E-2</v>
      </c>
      <c r="E91" s="48">
        <f>E43/IS!E$3</f>
        <v>0.12751577607663162</v>
      </c>
      <c r="F91" s="48">
        <f>F43/IS!F$3</f>
        <v>3.1601565326787019E-2</v>
      </c>
    </row>
    <row r="92" spans="1:6" ht="14.7" thickBot="1">
      <c r="A92" s="11" t="s">
        <v>85</v>
      </c>
      <c r="B92" s="53">
        <f>B44/IS!B$3</f>
        <v>7.5470773009454803E-2</v>
      </c>
      <c r="C92" s="53">
        <f>C44/IS!C$3</f>
        <v>6.1763891247108155E-2</v>
      </c>
      <c r="D92" s="53">
        <f>D44/IS!D$3</f>
        <v>0.1403713428647049</v>
      </c>
      <c r="E92" s="53">
        <f>E44/IS!E$3</f>
        <v>3.6701998821357398E-2</v>
      </c>
      <c r="F92" s="53">
        <f>F44/IS!F$3</f>
        <v>4.4522114454203905E-2</v>
      </c>
    </row>
    <row r="93" spans="1:6">
      <c r="A93" s="1" t="s">
        <v>86</v>
      </c>
      <c r="B93" s="54"/>
      <c r="C93" s="54"/>
      <c r="D93" s="54"/>
      <c r="E93" s="54"/>
      <c r="F93" s="54"/>
    </row>
    <row r="94" spans="1:6">
      <c r="A94" s="2" t="s">
        <v>87</v>
      </c>
      <c r="B94" s="48">
        <f>B46/IS!B$3</f>
        <v>1.7004855174559488E-2</v>
      </c>
      <c r="C94" s="54">
        <f>C46/IS!C$3</f>
        <v>1.7468018790291116E-2</v>
      </c>
      <c r="D94" s="54">
        <f>D46/IS!D$3</f>
        <v>1.85196569354109E-2</v>
      </c>
      <c r="E94" s="54">
        <f>E46/IS!E$3</f>
        <v>1.4237119840665889E-2</v>
      </c>
      <c r="F94" s="54">
        <f>F46/IS!F$3</f>
        <v>1.2645482505820453E-2</v>
      </c>
    </row>
    <row r="95" spans="1:6">
      <c r="A95" s="2" t="s">
        <v>88</v>
      </c>
      <c r="B95" s="48">
        <f>B47/IS!B$3</f>
        <v>1.5253619240183857E-2</v>
      </c>
      <c r="C95" s="48">
        <f>C47/IS!C$3</f>
        <v>2.9809602802415951E-2</v>
      </c>
      <c r="D95" s="48">
        <f>D47/IS!D$3</f>
        <v>2.6441525161787788E-2</v>
      </c>
      <c r="E95" s="48">
        <f>E47/IS!E$3</f>
        <v>3.0672239823339598E-2</v>
      </c>
      <c r="F95" s="48">
        <f>F47/IS!F$3</f>
        <v>2.1241458394397932E-2</v>
      </c>
    </row>
    <row r="97" spans="1:6" ht="27.35">
      <c r="A97" s="65" t="s">
        <v>164</v>
      </c>
      <c r="B97" s="66"/>
      <c r="C97" s="66"/>
      <c r="D97" s="66"/>
      <c r="E97" s="66"/>
      <c r="F97" s="66"/>
    </row>
    <row r="98" spans="1:6" ht="27.35">
      <c r="A98" s="67" t="s">
        <v>89</v>
      </c>
      <c r="B98" s="68" t="s">
        <v>0</v>
      </c>
      <c r="C98" s="68" t="s">
        <v>95</v>
      </c>
      <c r="D98" s="68" t="s">
        <v>93</v>
      </c>
      <c r="E98" s="68" t="s">
        <v>92</v>
      </c>
      <c r="F98" s="68" t="s">
        <v>91</v>
      </c>
    </row>
    <row r="99" spans="1:6">
      <c r="A99" s="1" t="s">
        <v>98</v>
      </c>
    </row>
    <row r="100" spans="1:6">
      <c r="A100" s="2" t="s">
        <v>15</v>
      </c>
      <c r="B100" s="56"/>
      <c r="C100" s="48">
        <f>C4/B4-1</f>
        <v>-2.0749736774914207E-2</v>
      </c>
      <c r="D100" s="48">
        <f t="shared" ref="D100:F100" si="0">D4/C4-1</f>
        <v>0.11219601099453058</v>
      </c>
      <c r="E100" s="48">
        <f t="shared" si="0"/>
        <v>0.16261869684564911</v>
      </c>
      <c r="F100" s="48">
        <f t="shared" si="0"/>
        <v>0.10925001635398512</v>
      </c>
    </row>
    <row r="101" spans="1:6">
      <c r="A101" s="1" t="s">
        <v>56</v>
      </c>
      <c r="B101" s="57"/>
      <c r="C101" s="54"/>
      <c r="D101" s="54"/>
      <c r="E101" s="54"/>
      <c r="F101" s="54"/>
    </row>
    <row r="102" spans="1:6">
      <c r="A102" s="2" t="s">
        <v>57</v>
      </c>
      <c r="B102" s="56"/>
      <c r="C102" s="48">
        <f t="shared" ref="C102:F102" si="1">C6/B6-1</f>
        <v>-1.2197435827934866E-2</v>
      </c>
      <c r="D102" s="48">
        <f t="shared" si="1"/>
        <v>1.153513706335918E-2</v>
      </c>
      <c r="E102" s="48">
        <f t="shared" si="1"/>
        <v>6.8140125531099605E-2</v>
      </c>
      <c r="F102" s="48">
        <f t="shared" si="1"/>
        <v>0.20303680611551678</v>
      </c>
    </row>
    <row r="103" spans="1:6">
      <c r="A103" s="2" t="s">
        <v>58</v>
      </c>
      <c r="B103" s="56"/>
      <c r="C103" s="48">
        <f t="shared" ref="C103:F103" si="2">C7/B7-1</f>
        <v>5.3017083958933675E-2</v>
      </c>
      <c r="D103" s="48">
        <f t="shared" si="2"/>
        <v>0.10953968284552684</v>
      </c>
      <c r="E103" s="48">
        <f t="shared" si="2"/>
        <v>0.15849888858016126</v>
      </c>
      <c r="F103" s="48">
        <f t="shared" si="2"/>
        <v>-1.0792822772856092E-2</v>
      </c>
    </row>
    <row r="104" spans="1:6">
      <c r="A104" s="2" t="s">
        <v>35</v>
      </c>
      <c r="B104" s="56"/>
      <c r="C104" s="48">
        <f t="shared" ref="C104:E104" si="3">C8/B8-1</f>
        <v>-1.4157219693835332</v>
      </c>
      <c r="D104" s="48">
        <f t="shared" si="3"/>
        <v>-2.7834394904458599</v>
      </c>
      <c r="E104" s="48">
        <f t="shared" si="3"/>
        <v>-0.50245535714285716</v>
      </c>
      <c r="F104" s="48">
        <f>F8/E8-1</f>
        <v>1.7582622999850455</v>
      </c>
    </row>
    <row r="105" spans="1:6">
      <c r="A105" s="2" t="s">
        <v>160</v>
      </c>
      <c r="B105" s="56"/>
      <c r="C105" s="48">
        <f t="shared" ref="C105:E105" si="4">C9/B9-1</f>
        <v>0.9485007535207608</v>
      </c>
      <c r="D105" s="48">
        <f t="shared" si="4"/>
        <v>-0.91871805129572837</v>
      </c>
      <c r="E105" s="48">
        <f t="shared" si="4"/>
        <v>-1</v>
      </c>
      <c r="F105" s="48"/>
    </row>
    <row r="106" spans="1:6">
      <c r="A106" s="2" t="s">
        <v>59</v>
      </c>
      <c r="B106" s="56"/>
      <c r="C106" s="48">
        <f t="shared" ref="C106:F106" si="5">C10/B10-1</f>
        <v>2.5432653142323236E-3</v>
      </c>
      <c r="D106" s="48">
        <f t="shared" si="5"/>
        <v>1.4888320748359991</v>
      </c>
      <c r="E106" s="48">
        <f t="shared" si="5"/>
        <v>-9.4147906895261202E-2</v>
      </c>
      <c r="F106" s="48">
        <f t="shared" si="5"/>
        <v>0.65517423256795237</v>
      </c>
    </row>
    <row r="107" spans="1:6">
      <c r="A107" s="2" t="s">
        <v>60</v>
      </c>
      <c r="B107" s="56"/>
      <c r="C107" s="48">
        <f t="shared" ref="C107:F107" si="6">C11/B11-1</f>
        <v>0.5404796394656366</v>
      </c>
      <c r="D107" s="48">
        <f t="shared" si="6"/>
        <v>0.9759342458120015</v>
      </c>
      <c r="E107" s="48">
        <f t="shared" si="6"/>
        <v>-0.15382039305543316</v>
      </c>
      <c r="F107" s="48">
        <f t="shared" si="6"/>
        <v>0.25831111481419766</v>
      </c>
    </row>
    <row r="108" spans="1:6">
      <c r="A108" s="1" t="s">
        <v>61</v>
      </c>
      <c r="B108" s="57"/>
      <c r="C108" s="54"/>
      <c r="D108" s="54"/>
      <c r="E108" s="54"/>
      <c r="F108" s="54"/>
    </row>
    <row r="109" spans="1:6">
      <c r="A109" s="2" t="s">
        <v>27</v>
      </c>
      <c r="B109" s="56"/>
      <c r="C109" s="48">
        <f t="shared" ref="C109:F109" si="7">C13/B13-1</f>
        <v>3.6886429819452538</v>
      </c>
      <c r="D109" s="48">
        <f t="shared" si="7"/>
        <v>-2.3797326840902313</v>
      </c>
      <c r="E109" s="48">
        <f t="shared" si="7"/>
        <v>-0.73635594288492356</v>
      </c>
      <c r="F109" s="48">
        <f t="shared" si="7"/>
        <v>1.60654282201885</v>
      </c>
    </row>
    <row r="110" spans="1:6">
      <c r="A110" s="2" t="s">
        <v>28</v>
      </c>
      <c r="B110" s="56"/>
      <c r="C110" s="48">
        <f t="shared" ref="C110:F110" si="8">C14/B14-1</f>
        <v>0.66279617134787383</v>
      </c>
      <c r="D110" s="48">
        <f t="shared" si="8"/>
        <v>6.1679720675662919</v>
      </c>
      <c r="E110" s="48">
        <f t="shared" si="8"/>
        <v>-1.1412406693084427</v>
      </c>
      <c r="F110" s="48">
        <f t="shared" si="8"/>
        <v>-9.7133802488698322</v>
      </c>
    </row>
    <row r="111" spans="1:6">
      <c r="A111" s="2" t="s">
        <v>62</v>
      </c>
      <c r="B111" s="56"/>
      <c r="C111" s="48">
        <f t="shared" ref="C111:F111" si="9">C15/B15-1</f>
        <v>-1.3406852302062708</v>
      </c>
      <c r="D111" s="48">
        <f t="shared" si="9"/>
        <v>-0.81659677775325534</v>
      </c>
      <c r="E111" s="48">
        <f t="shared" si="9"/>
        <v>2.457280385078219</v>
      </c>
      <c r="F111" s="48">
        <f t="shared" si="9"/>
        <v>-2.6831418958115791</v>
      </c>
    </row>
    <row r="112" spans="1:6">
      <c r="A112" s="2" t="s">
        <v>63</v>
      </c>
      <c r="B112" s="56"/>
      <c r="C112" s="48">
        <f t="shared" ref="C112:F112" si="10">C16/B16-1</f>
        <v>-1.4099768583170411</v>
      </c>
      <c r="D112" s="48">
        <f t="shared" si="10"/>
        <v>8.9778837497871411E-3</v>
      </c>
      <c r="E112" s="48">
        <f t="shared" si="10"/>
        <v>-4.1909814323607408E-2</v>
      </c>
      <c r="F112" s="48">
        <f t="shared" si="10"/>
        <v>4.4484798147588842</v>
      </c>
    </row>
    <row r="113" spans="1:6">
      <c r="A113" s="2" t="s">
        <v>40</v>
      </c>
      <c r="B113" s="56"/>
      <c r="C113" s="48">
        <f t="shared" ref="C113:F113" si="11">C17/B17-1</f>
        <v>-1.1262968452254922</v>
      </c>
      <c r="D113" s="48">
        <f t="shared" si="11"/>
        <v>0.69300083822296732</v>
      </c>
      <c r="E113" s="48">
        <f t="shared" si="11"/>
        <v>0.83698477534348314</v>
      </c>
      <c r="F113" s="48">
        <f t="shared" si="11"/>
        <v>-1.1686207128899671</v>
      </c>
    </row>
    <row r="114" spans="1:6">
      <c r="A114" s="2" t="s">
        <v>64</v>
      </c>
      <c r="B114" s="56"/>
      <c r="C114" s="48">
        <f t="shared" ref="C114:F114" si="12">C18/B18-1</f>
        <v>-0.22154345808846276</v>
      </c>
      <c r="D114" s="48">
        <f t="shared" si="12"/>
        <v>-0.42033376378265619</v>
      </c>
      <c r="E114" s="48">
        <f t="shared" si="12"/>
        <v>3.3783737468940105</v>
      </c>
      <c r="F114" s="48">
        <f t="shared" si="12"/>
        <v>0.53712328767123285</v>
      </c>
    </row>
    <row r="115" spans="1:6">
      <c r="A115" s="2" t="s">
        <v>65</v>
      </c>
      <c r="B115" s="56"/>
      <c r="C115" s="48">
        <f t="shared" ref="C115:F115" si="13">C19/B19-1</f>
        <v>-10.837312828814245</v>
      </c>
      <c r="D115" s="48">
        <f t="shared" si="13"/>
        <v>-1.4935823597169655</v>
      </c>
      <c r="E115" s="48">
        <f t="shared" si="13"/>
        <v>-2.7354559093182198</v>
      </c>
      <c r="F115" s="48">
        <f t="shared" si="13"/>
        <v>-1.5390932667371051</v>
      </c>
    </row>
    <row r="116" spans="1:6">
      <c r="A116" s="9" t="s">
        <v>66</v>
      </c>
      <c r="B116" s="58"/>
      <c r="C116" s="55">
        <f t="shared" ref="C116:F116" si="14">C20/B20-1</f>
        <v>0.10242544811133558</v>
      </c>
      <c r="D116" s="55">
        <f t="shared" si="14"/>
        <v>-3.6406249202748708E-2</v>
      </c>
      <c r="E116" s="55">
        <f t="shared" si="14"/>
        <v>0.2254731395805154</v>
      </c>
      <c r="F116" s="55">
        <f t="shared" si="14"/>
        <v>0.1176028045728903</v>
      </c>
    </row>
    <row r="117" spans="1:6">
      <c r="A117" s="1" t="s">
        <v>67</v>
      </c>
      <c r="B117" s="57"/>
      <c r="C117" s="54"/>
      <c r="D117" s="54"/>
      <c r="E117" s="54"/>
      <c r="F117" s="54"/>
    </row>
    <row r="118" spans="1:6">
      <c r="A118" s="2" t="s">
        <v>68</v>
      </c>
      <c r="B118" s="56"/>
      <c r="C118" s="48">
        <f t="shared" ref="C118:F118" si="15">C22/B22-1</f>
        <v>-3.1676714313103149E-2</v>
      </c>
      <c r="D118" s="48">
        <f t="shared" si="15"/>
        <v>0.38792301503494753</v>
      </c>
      <c r="E118" s="48">
        <f t="shared" si="15"/>
        <v>0.12284376372767913</v>
      </c>
      <c r="F118" s="48">
        <f t="shared" si="15"/>
        <v>4.7600513837100733E-2</v>
      </c>
    </row>
    <row r="119" spans="1:6">
      <c r="A119" s="2" t="s">
        <v>161</v>
      </c>
      <c r="B119" s="56"/>
      <c r="C119" s="48">
        <f>C23/B23-1</f>
        <v>-1</v>
      </c>
      <c r="D119" s="48"/>
      <c r="E119" s="48"/>
      <c r="F119" s="48"/>
    </row>
    <row r="120" spans="1:6">
      <c r="A120" s="2" t="s">
        <v>69</v>
      </c>
      <c r="B120" s="56"/>
      <c r="C120" s="48">
        <f t="shared" ref="C120" si="16">C24/B24-1</f>
        <v>-1</v>
      </c>
      <c r="D120" s="48"/>
      <c r="E120" s="48"/>
      <c r="F120" s="48"/>
    </row>
    <row r="121" spans="1:6">
      <c r="A121" s="2" t="s">
        <v>70</v>
      </c>
      <c r="B121" s="56"/>
      <c r="C121" s="48">
        <f t="shared" ref="C121:F121" si="17">C25/B25-1</f>
        <v>0.52409718660359794</v>
      </c>
      <c r="D121" s="48">
        <f t="shared" si="17"/>
        <v>8.7012339523868887E-2</v>
      </c>
      <c r="E121" s="48">
        <f t="shared" si="17"/>
        <v>0.47248626893396484</v>
      </c>
      <c r="F121" s="48">
        <f t="shared" si="17"/>
        <v>1.1456193494630775</v>
      </c>
    </row>
    <row r="122" spans="1:6">
      <c r="A122" s="2" t="s">
        <v>71</v>
      </c>
      <c r="B122" s="56"/>
      <c r="C122" s="48">
        <f t="shared" ref="C122:F122" si="18">C26/B26-1</f>
        <v>-0.69953506233661256</v>
      </c>
      <c r="D122" s="48">
        <f t="shared" si="18"/>
        <v>-1</v>
      </c>
      <c r="E122" s="48"/>
      <c r="F122" s="48">
        <f t="shared" si="18"/>
        <v>-1</v>
      </c>
    </row>
    <row r="123" spans="1:6">
      <c r="A123" s="2" t="s">
        <v>99</v>
      </c>
      <c r="B123" s="56"/>
      <c r="C123" s="48"/>
      <c r="D123" s="48">
        <f t="shared" ref="D123:F123" si="19">D27/C27-1</f>
        <v>-1.121530196000398</v>
      </c>
      <c r="E123" s="48">
        <f t="shared" si="19"/>
        <v>-2.0392959476054031</v>
      </c>
      <c r="F123" s="48">
        <f t="shared" si="19"/>
        <v>2.0086648286727056</v>
      </c>
    </row>
    <row r="124" spans="1:6">
      <c r="A124" s="9" t="s">
        <v>72</v>
      </c>
      <c r="B124" s="58"/>
      <c r="C124" s="55">
        <f t="shared" ref="C124:F124" si="20">C28/B28-1</f>
        <v>-0.48068193764829725</v>
      </c>
      <c r="D124" s="55">
        <f t="shared" si="20"/>
        <v>-0.31929069290692902</v>
      </c>
      <c r="E124" s="55">
        <f t="shared" si="20"/>
        <v>3.1839105556392111</v>
      </c>
      <c r="F124" s="55">
        <f t="shared" si="20"/>
        <v>-0.64577736109136652</v>
      </c>
    </row>
    <row r="125" spans="1:6">
      <c r="A125" s="1" t="s">
        <v>73</v>
      </c>
      <c r="B125" s="57"/>
      <c r="C125" s="54"/>
      <c r="D125" s="54"/>
      <c r="E125" s="54"/>
      <c r="F125" s="54"/>
    </row>
    <row r="126" spans="1:6">
      <c r="A126" s="2" t="s">
        <v>74</v>
      </c>
      <c r="B126" s="56"/>
      <c r="C126" s="48">
        <f t="shared" ref="C126:F126" si="21">C30/B30-1</f>
        <v>-2.8089129071468939</v>
      </c>
      <c r="D126" s="48">
        <f t="shared" si="21"/>
        <v>-1.0357462945287856</v>
      </c>
      <c r="E126" s="48">
        <f t="shared" si="21"/>
        <v>19.810603702195934</v>
      </c>
      <c r="F126" s="48">
        <f t="shared" si="21"/>
        <v>-1.2826519222581498</v>
      </c>
    </row>
    <row r="127" spans="1:6">
      <c r="A127" s="2" t="s">
        <v>75</v>
      </c>
      <c r="B127" s="56"/>
      <c r="C127" s="48">
        <f t="shared" ref="C127:F127" si="22">C31/B31-1</f>
        <v>-0.17521179819059962</v>
      </c>
      <c r="D127" s="48">
        <f t="shared" si="22"/>
        <v>2.6070665650790303E-4</v>
      </c>
      <c r="E127" s="48">
        <f t="shared" si="22"/>
        <v>-1</v>
      </c>
      <c r="F127" s="48" t="e">
        <f t="shared" si="22"/>
        <v>#DIV/0!</v>
      </c>
    </row>
    <row r="128" spans="1:6">
      <c r="A128" s="2" t="s">
        <v>76</v>
      </c>
      <c r="B128" s="56"/>
      <c r="C128" s="48">
        <f t="shared" ref="C128:F128" si="23">C32/B32-1</f>
        <v>-0.99324692263439185</v>
      </c>
      <c r="D128" s="48">
        <f t="shared" si="23"/>
        <v>113.52885709640709</v>
      </c>
      <c r="E128" s="48">
        <f t="shared" si="23"/>
        <v>-0.37620356950715927</v>
      </c>
      <c r="F128" s="48">
        <f t="shared" si="23"/>
        <v>-0.98921136709114244</v>
      </c>
    </row>
    <row r="129" spans="1:6">
      <c r="A129" s="2" t="s">
        <v>77</v>
      </c>
      <c r="B129" s="56"/>
      <c r="C129" s="48">
        <f t="shared" ref="C129" si="24">C33/B33-1</f>
        <v>-1</v>
      </c>
      <c r="D129" s="48"/>
      <c r="E129" s="48"/>
      <c r="F129" s="48"/>
    </row>
    <row r="130" spans="1:6">
      <c r="A130" s="2" t="s">
        <v>78</v>
      </c>
      <c r="B130" s="56"/>
      <c r="C130" s="48">
        <f t="shared" ref="C130:F130" si="25">C34/B34-1</f>
        <v>8.4958605989820857E-2</v>
      </c>
      <c r="D130" s="48">
        <f t="shared" si="25"/>
        <v>4.9843358806643145E-2</v>
      </c>
      <c r="E130" s="48">
        <f t="shared" si="25"/>
        <v>7.0630154261063893E-2</v>
      </c>
      <c r="F130" s="48">
        <f t="shared" si="25"/>
        <v>0.12980275136409292</v>
      </c>
    </row>
    <row r="131" spans="1:6">
      <c r="A131" s="2" t="s">
        <v>79</v>
      </c>
      <c r="B131" s="56"/>
      <c r="C131" s="48">
        <f t="shared" ref="C131:F131" si="26">C35/B35-1</f>
        <v>1.1301454545454543</v>
      </c>
      <c r="D131" s="48">
        <f t="shared" si="26"/>
        <v>-0.59940896529093668</v>
      </c>
      <c r="E131" s="48">
        <f t="shared" si="26"/>
        <v>1.1683459914013521</v>
      </c>
      <c r="F131" s="48">
        <f t="shared" si="26"/>
        <v>-0.15063348080341354</v>
      </c>
    </row>
    <row r="132" spans="1:6">
      <c r="A132" s="2" t="s">
        <v>80</v>
      </c>
      <c r="B132" s="56"/>
      <c r="C132" s="48">
        <f t="shared" ref="C132:F132" si="27">C36/B36-1</f>
        <v>2.802820460180345</v>
      </c>
      <c r="D132" s="48">
        <f t="shared" si="27"/>
        <v>-0.80743004742406754</v>
      </c>
      <c r="E132" s="48">
        <f t="shared" si="27"/>
        <v>7.4376779090830736E-2</v>
      </c>
      <c r="F132" s="48">
        <f t="shared" si="27"/>
        <v>-0.3143855000903234</v>
      </c>
    </row>
    <row r="133" spans="1:6">
      <c r="A133" s="2" t="s">
        <v>60</v>
      </c>
      <c r="B133" s="56"/>
      <c r="C133" s="48"/>
      <c r="D133" s="48"/>
      <c r="E133" s="48">
        <f>E37/D37-1</f>
        <v>-0.20297504798464494</v>
      </c>
      <c r="F133" s="48">
        <f t="shared" ref="F133" si="28">F37/E37-1</f>
        <v>1.1381697772426249</v>
      </c>
    </row>
    <row r="134" spans="1:6">
      <c r="A134" s="9" t="s">
        <v>81</v>
      </c>
      <c r="B134" s="58"/>
      <c r="C134" s="55">
        <f t="shared" ref="C134:F134" si="29">C38/B38-1</f>
        <v>-10.314216074689083</v>
      </c>
      <c r="D134" s="55">
        <f t="shared" si="29"/>
        <v>-0.53837376497403966</v>
      </c>
      <c r="E134" s="55">
        <f t="shared" si="29"/>
        <v>0.36437860055926352</v>
      </c>
      <c r="F134" s="55">
        <f t="shared" si="29"/>
        <v>1.0784762514387727</v>
      </c>
    </row>
    <row r="135" spans="1:6">
      <c r="A135" s="9" t="s">
        <v>82</v>
      </c>
      <c r="B135" s="58"/>
      <c r="C135" s="55">
        <f t="shared" ref="C135:F135" si="30">C39/B39-1</f>
        <v>-1.617297698589458</v>
      </c>
      <c r="D135" s="55">
        <f t="shared" si="30"/>
        <v>-3.101623571858088</v>
      </c>
      <c r="E135" s="55">
        <f t="shared" si="30"/>
        <v>-0.27396280400572248</v>
      </c>
      <c r="F135" s="55">
        <f t="shared" si="30"/>
        <v>-2.9481773399014779</v>
      </c>
    </row>
    <row r="136" spans="1:6" ht="28.7">
      <c r="A136" s="2" t="s">
        <v>162</v>
      </c>
      <c r="B136" s="56"/>
      <c r="C136" s="48"/>
      <c r="D136" s="48">
        <f t="shared" ref="D136:F136" si="31">D40/C40-1</f>
        <v>-7.989518240162135</v>
      </c>
      <c r="E136" s="48">
        <f t="shared" si="31"/>
        <v>-2.247668611315409</v>
      </c>
      <c r="F136" s="48">
        <f t="shared" si="31"/>
        <v>-1.1629512621723526</v>
      </c>
    </row>
    <row r="137" spans="1:6">
      <c r="A137" s="2" t="s">
        <v>100</v>
      </c>
      <c r="B137" s="56"/>
      <c r="C137" s="48"/>
      <c r="D137" s="48"/>
      <c r="E137" s="48">
        <f t="shared" ref="E137:F137" si="32">E41/D41-1</f>
        <v>-2</v>
      </c>
      <c r="F137" s="48">
        <f t="shared" si="32"/>
        <v>-1</v>
      </c>
    </row>
    <row r="138" spans="1:6">
      <c r="A138" s="2" t="s">
        <v>83</v>
      </c>
      <c r="B138" s="56"/>
      <c r="C138" s="48">
        <f t="shared" ref="C138:F138" si="33">C42/B42-1</f>
        <v>-1.4558582227804002</v>
      </c>
      <c r="D138" s="48">
        <f t="shared" si="33"/>
        <v>-7.8688249451106236</v>
      </c>
      <c r="E138" s="48">
        <f t="shared" si="33"/>
        <v>-2.252020438741404</v>
      </c>
      <c r="F138" s="48">
        <f t="shared" si="33"/>
        <v>-1.1652381612846607</v>
      </c>
    </row>
    <row r="139" spans="1:6">
      <c r="A139" s="2" t="s">
        <v>84</v>
      </c>
      <c r="B139" s="56"/>
      <c r="C139" s="48">
        <f t="shared" ref="C139:F139" si="34">C43/B43-1</f>
        <v>0.5466346115908558</v>
      </c>
      <c r="D139" s="48">
        <f t="shared" si="34"/>
        <v>-0.16111619427276969</v>
      </c>
      <c r="E139" s="48">
        <f t="shared" si="34"/>
        <v>1.3192279153877657</v>
      </c>
      <c r="F139" s="48">
        <f t="shared" si="34"/>
        <v>-0.71217679921187915</v>
      </c>
    </row>
    <row r="140" spans="1:6" ht="14.7" thickBot="1">
      <c r="A140" s="11" t="s">
        <v>85</v>
      </c>
      <c r="B140" s="59"/>
      <c r="C140" s="53">
        <f t="shared" ref="C140:F140" si="35">C44/B44-1</f>
        <v>-0.16111619427276969</v>
      </c>
      <c r="D140" s="53">
        <f t="shared" si="35"/>
        <v>1.3192279153877657</v>
      </c>
      <c r="E140" s="53">
        <f t="shared" si="35"/>
        <v>-0.71217679921187915</v>
      </c>
      <c r="F140" s="53">
        <f t="shared" si="35"/>
        <v>0.40885788389933975</v>
      </c>
    </row>
    <row r="141" spans="1:6">
      <c r="A141" s="1" t="s">
        <v>86</v>
      </c>
      <c r="B141" s="57"/>
      <c r="C141" s="54"/>
      <c r="D141" s="54"/>
      <c r="E141" s="54"/>
      <c r="F141" s="54"/>
    </row>
    <row r="142" spans="1:6">
      <c r="A142" s="2" t="s">
        <v>87</v>
      </c>
      <c r="B142" s="56"/>
      <c r="C142" s="54">
        <f t="shared" ref="C142:F142" si="36">C46/B46-1</f>
        <v>5.2971634738764761E-2</v>
      </c>
      <c r="D142" s="54">
        <f t="shared" si="36"/>
        <v>8.1904461520816652E-2</v>
      </c>
      <c r="E142" s="54">
        <f t="shared" si="36"/>
        <v>-0.1537401444378188</v>
      </c>
      <c r="F142" s="54">
        <f t="shared" si="36"/>
        <v>3.1559745079310364E-2</v>
      </c>
    </row>
    <row r="143" spans="1:6">
      <c r="A143" s="2" t="s">
        <v>88</v>
      </c>
      <c r="B143" s="56"/>
      <c r="C143" s="48">
        <f t="shared" ref="C143:F143" si="37">C47/B47-1</f>
        <v>1.0032227663620605</v>
      </c>
      <c r="D143" s="48">
        <f t="shared" si="37"/>
        <v>-9.4830446891001285E-2</v>
      </c>
      <c r="E143" s="48">
        <f t="shared" si="37"/>
        <v>0.27694892130065751</v>
      </c>
      <c r="F143" s="48">
        <f t="shared" si="37"/>
        <v>-0.19569649417998258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FA7E-0687-114D-9201-248FCB612D5F}">
  <sheetPr>
    <pageSetUpPr fitToPage="1"/>
  </sheetPr>
  <dimension ref="A1:N115"/>
  <sheetViews>
    <sheetView zoomScaleNormal="100" zoomScalePageLayoutView="80" workbookViewId="0">
      <selection activeCell="I45" sqref="I45"/>
    </sheetView>
  </sheetViews>
  <sheetFormatPr defaultColWidth="8.8203125" defaultRowHeight="12.7"/>
  <cols>
    <col min="1" max="1" width="37.46875" style="25" bestFit="1" customWidth="1"/>
    <col min="2" max="4" width="7.8203125" style="25" customWidth="1"/>
    <col min="5" max="5" width="7.46875" style="25" customWidth="1"/>
    <col min="6" max="11" width="7.64453125" style="25" customWidth="1"/>
    <col min="12" max="12" width="8.3515625" style="25" customWidth="1"/>
    <col min="13" max="13" width="74.8203125" style="25" bestFit="1" customWidth="1"/>
    <col min="14" max="258" width="8.8203125" style="25"/>
    <col min="259" max="259" width="0.64453125" style="25" customWidth="1"/>
    <col min="260" max="260" width="37.46875" style="25" bestFit="1" customWidth="1"/>
    <col min="261" max="261" width="2.64453125" style="25" customWidth="1"/>
    <col min="262" max="264" width="7.64453125" style="25" bestFit="1" customWidth="1"/>
    <col min="265" max="267" width="7.46875" style="25" customWidth="1"/>
    <col min="268" max="268" width="1.46875" style="25" customWidth="1"/>
    <col min="269" max="514" width="8.8203125" style="25"/>
    <col min="515" max="515" width="0.64453125" style="25" customWidth="1"/>
    <col min="516" max="516" width="37.46875" style="25" bestFit="1" customWidth="1"/>
    <col min="517" max="517" width="2.64453125" style="25" customWidth="1"/>
    <col min="518" max="520" width="7.64453125" style="25" bestFit="1" customWidth="1"/>
    <col min="521" max="523" width="7.46875" style="25" customWidth="1"/>
    <col min="524" max="524" width="1.46875" style="25" customWidth="1"/>
    <col min="525" max="770" width="8.8203125" style="25"/>
    <col min="771" max="771" width="0.64453125" style="25" customWidth="1"/>
    <col min="772" max="772" width="37.46875" style="25" bestFit="1" customWidth="1"/>
    <col min="773" max="773" width="2.64453125" style="25" customWidth="1"/>
    <col min="774" max="776" width="7.64453125" style="25" bestFit="1" customWidth="1"/>
    <col min="777" max="779" width="7.46875" style="25" customWidth="1"/>
    <col min="780" max="780" width="1.46875" style="25" customWidth="1"/>
    <col min="781" max="1026" width="8.8203125" style="25"/>
    <col min="1027" max="1027" width="0.64453125" style="25" customWidth="1"/>
    <col min="1028" max="1028" width="37.46875" style="25" bestFit="1" customWidth="1"/>
    <col min="1029" max="1029" width="2.64453125" style="25" customWidth="1"/>
    <col min="1030" max="1032" width="7.64453125" style="25" bestFit="1" customWidth="1"/>
    <col min="1033" max="1035" width="7.46875" style="25" customWidth="1"/>
    <col min="1036" max="1036" width="1.46875" style="25" customWidth="1"/>
    <col min="1037" max="1282" width="8.8203125" style="25"/>
    <col min="1283" max="1283" width="0.64453125" style="25" customWidth="1"/>
    <col min="1284" max="1284" width="37.46875" style="25" bestFit="1" customWidth="1"/>
    <col min="1285" max="1285" width="2.64453125" style="25" customWidth="1"/>
    <col min="1286" max="1288" width="7.64453125" style="25" bestFit="1" customWidth="1"/>
    <col min="1289" max="1291" width="7.46875" style="25" customWidth="1"/>
    <col min="1292" max="1292" width="1.46875" style="25" customWidth="1"/>
    <col min="1293" max="1538" width="8.8203125" style="25"/>
    <col min="1539" max="1539" width="0.64453125" style="25" customWidth="1"/>
    <col min="1540" max="1540" width="37.46875" style="25" bestFit="1" customWidth="1"/>
    <col min="1541" max="1541" width="2.64453125" style="25" customWidth="1"/>
    <col min="1542" max="1544" width="7.64453125" style="25" bestFit="1" customWidth="1"/>
    <col min="1545" max="1547" width="7.46875" style="25" customWidth="1"/>
    <col min="1548" max="1548" width="1.46875" style="25" customWidth="1"/>
    <col min="1549" max="1794" width="8.8203125" style="25"/>
    <col min="1795" max="1795" width="0.64453125" style="25" customWidth="1"/>
    <col min="1796" max="1796" width="37.46875" style="25" bestFit="1" customWidth="1"/>
    <col min="1797" max="1797" width="2.64453125" style="25" customWidth="1"/>
    <col min="1798" max="1800" width="7.64453125" style="25" bestFit="1" customWidth="1"/>
    <col min="1801" max="1803" width="7.46875" style="25" customWidth="1"/>
    <col min="1804" max="1804" width="1.46875" style="25" customWidth="1"/>
    <col min="1805" max="2050" width="8.8203125" style="25"/>
    <col min="2051" max="2051" width="0.64453125" style="25" customWidth="1"/>
    <col min="2052" max="2052" width="37.46875" style="25" bestFit="1" customWidth="1"/>
    <col min="2053" max="2053" width="2.64453125" style="25" customWidth="1"/>
    <col min="2054" max="2056" width="7.64453125" style="25" bestFit="1" customWidth="1"/>
    <col min="2057" max="2059" width="7.46875" style="25" customWidth="1"/>
    <col min="2060" max="2060" width="1.46875" style="25" customWidth="1"/>
    <col min="2061" max="2306" width="8.8203125" style="25"/>
    <col min="2307" max="2307" width="0.64453125" style="25" customWidth="1"/>
    <col min="2308" max="2308" width="37.46875" style="25" bestFit="1" customWidth="1"/>
    <col min="2309" max="2309" width="2.64453125" style="25" customWidth="1"/>
    <col min="2310" max="2312" width="7.64453125" style="25" bestFit="1" customWidth="1"/>
    <col min="2313" max="2315" width="7.46875" style="25" customWidth="1"/>
    <col min="2316" max="2316" width="1.46875" style="25" customWidth="1"/>
    <col min="2317" max="2562" width="8.8203125" style="25"/>
    <col min="2563" max="2563" width="0.64453125" style="25" customWidth="1"/>
    <col min="2564" max="2564" width="37.46875" style="25" bestFit="1" customWidth="1"/>
    <col min="2565" max="2565" width="2.64453125" style="25" customWidth="1"/>
    <col min="2566" max="2568" width="7.64453125" style="25" bestFit="1" customWidth="1"/>
    <col min="2569" max="2571" width="7.46875" style="25" customWidth="1"/>
    <col min="2572" max="2572" width="1.46875" style="25" customWidth="1"/>
    <col min="2573" max="2818" width="8.8203125" style="25"/>
    <col min="2819" max="2819" width="0.64453125" style="25" customWidth="1"/>
    <col min="2820" max="2820" width="37.46875" style="25" bestFit="1" customWidth="1"/>
    <col min="2821" max="2821" width="2.64453125" style="25" customWidth="1"/>
    <col min="2822" max="2824" width="7.64453125" style="25" bestFit="1" customWidth="1"/>
    <col min="2825" max="2827" width="7.46875" style="25" customWidth="1"/>
    <col min="2828" max="2828" width="1.46875" style="25" customWidth="1"/>
    <col min="2829" max="3074" width="8.8203125" style="25"/>
    <col min="3075" max="3075" width="0.64453125" style="25" customWidth="1"/>
    <col min="3076" max="3076" width="37.46875" style="25" bestFit="1" customWidth="1"/>
    <col min="3077" max="3077" width="2.64453125" style="25" customWidth="1"/>
    <col min="3078" max="3080" width="7.64453125" style="25" bestFit="1" customWidth="1"/>
    <col min="3081" max="3083" width="7.46875" style="25" customWidth="1"/>
    <col min="3084" max="3084" width="1.46875" style="25" customWidth="1"/>
    <col min="3085" max="3330" width="8.8203125" style="25"/>
    <col min="3331" max="3331" width="0.64453125" style="25" customWidth="1"/>
    <col min="3332" max="3332" width="37.46875" style="25" bestFit="1" customWidth="1"/>
    <col min="3333" max="3333" width="2.64453125" style="25" customWidth="1"/>
    <col min="3334" max="3336" width="7.64453125" style="25" bestFit="1" customWidth="1"/>
    <col min="3337" max="3339" width="7.46875" style="25" customWidth="1"/>
    <col min="3340" max="3340" width="1.46875" style="25" customWidth="1"/>
    <col min="3341" max="3586" width="8.8203125" style="25"/>
    <col min="3587" max="3587" width="0.64453125" style="25" customWidth="1"/>
    <col min="3588" max="3588" width="37.46875" style="25" bestFit="1" customWidth="1"/>
    <col min="3589" max="3589" width="2.64453125" style="25" customWidth="1"/>
    <col min="3590" max="3592" width="7.64453125" style="25" bestFit="1" customWidth="1"/>
    <col min="3593" max="3595" width="7.46875" style="25" customWidth="1"/>
    <col min="3596" max="3596" width="1.46875" style="25" customWidth="1"/>
    <col min="3597" max="3842" width="8.8203125" style="25"/>
    <col min="3843" max="3843" width="0.64453125" style="25" customWidth="1"/>
    <col min="3844" max="3844" width="37.46875" style="25" bestFit="1" customWidth="1"/>
    <col min="3845" max="3845" width="2.64453125" style="25" customWidth="1"/>
    <col min="3846" max="3848" width="7.64453125" style="25" bestFit="1" customWidth="1"/>
    <col min="3849" max="3851" width="7.46875" style="25" customWidth="1"/>
    <col min="3852" max="3852" width="1.46875" style="25" customWidth="1"/>
    <col min="3853" max="4098" width="8.8203125" style="25"/>
    <col min="4099" max="4099" width="0.64453125" style="25" customWidth="1"/>
    <col min="4100" max="4100" width="37.46875" style="25" bestFit="1" customWidth="1"/>
    <col min="4101" max="4101" width="2.64453125" style="25" customWidth="1"/>
    <col min="4102" max="4104" width="7.64453125" style="25" bestFit="1" customWidth="1"/>
    <col min="4105" max="4107" width="7.46875" style="25" customWidth="1"/>
    <col min="4108" max="4108" width="1.46875" style="25" customWidth="1"/>
    <col min="4109" max="4354" width="8.8203125" style="25"/>
    <col min="4355" max="4355" width="0.64453125" style="25" customWidth="1"/>
    <col min="4356" max="4356" width="37.46875" style="25" bestFit="1" customWidth="1"/>
    <col min="4357" max="4357" width="2.64453125" style="25" customWidth="1"/>
    <col min="4358" max="4360" width="7.64453125" style="25" bestFit="1" customWidth="1"/>
    <col min="4361" max="4363" width="7.46875" style="25" customWidth="1"/>
    <col min="4364" max="4364" width="1.46875" style="25" customWidth="1"/>
    <col min="4365" max="4610" width="8.8203125" style="25"/>
    <col min="4611" max="4611" width="0.64453125" style="25" customWidth="1"/>
    <col min="4612" max="4612" width="37.46875" style="25" bestFit="1" customWidth="1"/>
    <col min="4613" max="4613" width="2.64453125" style="25" customWidth="1"/>
    <col min="4614" max="4616" width="7.64453125" style="25" bestFit="1" customWidth="1"/>
    <col min="4617" max="4619" width="7.46875" style="25" customWidth="1"/>
    <col min="4620" max="4620" width="1.46875" style="25" customWidth="1"/>
    <col min="4621" max="4866" width="8.8203125" style="25"/>
    <col min="4867" max="4867" width="0.64453125" style="25" customWidth="1"/>
    <col min="4868" max="4868" width="37.46875" style="25" bestFit="1" customWidth="1"/>
    <col min="4869" max="4869" width="2.64453125" style="25" customWidth="1"/>
    <col min="4870" max="4872" width="7.64453125" style="25" bestFit="1" customWidth="1"/>
    <col min="4873" max="4875" width="7.46875" style="25" customWidth="1"/>
    <col min="4876" max="4876" width="1.46875" style="25" customWidth="1"/>
    <col min="4877" max="5122" width="8.8203125" style="25"/>
    <col min="5123" max="5123" width="0.64453125" style="25" customWidth="1"/>
    <col min="5124" max="5124" width="37.46875" style="25" bestFit="1" customWidth="1"/>
    <col min="5125" max="5125" width="2.64453125" style="25" customWidth="1"/>
    <col min="5126" max="5128" width="7.64453125" style="25" bestFit="1" customWidth="1"/>
    <col min="5129" max="5131" width="7.46875" style="25" customWidth="1"/>
    <col min="5132" max="5132" width="1.46875" style="25" customWidth="1"/>
    <col min="5133" max="5378" width="8.8203125" style="25"/>
    <col min="5379" max="5379" width="0.64453125" style="25" customWidth="1"/>
    <col min="5380" max="5380" width="37.46875" style="25" bestFit="1" customWidth="1"/>
    <col min="5381" max="5381" width="2.64453125" style="25" customWidth="1"/>
    <col min="5382" max="5384" width="7.64453125" style="25" bestFit="1" customWidth="1"/>
    <col min="5385" max="5387" width="7.46875" style="25" customWidth="1"/>
    <col min="5388" max="5388" width="1.46875" style="25" customWidth="1"/>
    <col min="5389" max="5634" width="8.8203125" style="25"/>
    <col min="5635" max="5635" width="0.64453125" style="25" customWidth="1"/>
    <col min="5636" max="5636" width="37.46875" style="25" bestFit="1" customWidth="1"/>
    <col min="5637" max="5637" width="2.64453125" style="25" customWidth="1"/>
    <col min="5638" max="5640" width="7.64453125" style="25" bestFit="1" customWidth="1"/>
    <col min="5641" max="5643" width="7.46875" style="25" customWidth="1"/>
    <col min="5644" max="5644" width="1.46875" style="25" customWidth="1"/>
    <col min="5645" max="5890" width="8.8203125" style="25"/>
    <col min="5891" max="5891" width="0.64453125" style="25" customWidth="1"/>
    <col min="5892" max="5892" width="37.46875" style="25" bestFit="1" customWidth="1"/>
    <col min="5893" max="5893" width="2.64453125" style="25" customWidth="1"/>
    <col min="5894" max="5896" width="7.64453125" style="25" bestFit="1" customWidth="1"/>
    <col min="5897" max="5899" width="7.46875" style="25" customWidth="1"/>
    <col min="5900" max="5900" width="1.46875" style="25" customWidth="1"/>
    <col min="5901" max="6146" width="8.8203125" style="25"/>
    <col min="6147" max="6147" width="0.64453125" style="25" customWidth="1"/>
    <col min="6148" max="6148" width="37.46875" style="25" bestFit="1" customWidth="1"/>
    <col min="6149" max="6149" width="2.64453125" style="25" customWidth="1"/>
    <col min="6150" max="6152" width="7.64453125" style="25" bestFit="1" customWidth="1"/>
    <col min="6153" max="6155" width="7.46875" style="25" customWidth="1"/>
    <col min="6156" max="6156" width="1.46875" style="25" customWidth="1"/>
    <col min="6157" max="6402" width="8.8203125" style="25"/>
    <col min="6403" max="6403" width="0.64453125" style="25" customWidth="1"/>
    <col min="6404" max="6404" width="37.46875" style="25" bestFit="1" customWidth="1"/>
    <col min="6405" max="6405" width="2.64453125" style="25" customWidth="1"/>
    <col min="6406" max="6408" width="7.64453125" style="25" bestFit="1" customWidth="1"/>
    <col min="6409" max="6411" width="7.46875" style="25" customWidth="1"/>
    <col min="6412" max="6412" width="1.46875" style="25" customWidth="1"/>
    <col min="6413" max="6658" width="8.8203125" style="25"/>
    <col min="6659" max="6659" width="0.64453125" style="25" customWidth="1"/>
    <col min="6660" max="6660" width="37.46875" style="25" bestFit="1" customWidth="1"/>
    <col min="6661" max="6661" width="2.64453125" style="25" customWidth="1"/>
    <col min="6662" max="6664" width="7.64453125" style="25" bestFit="1" customWidth="1"/>
    <col min="6665" max="6667" width="7.46875" style="25" customWidth="1"/>
    <col min="6668" max="6668" width="1.46875" style="25" customWidth="1"/>
    <col min="6669" max="6914" width="8.8203125" style="25"/>
    <col min="6915" max="6915" width="0.64453125" style="25" customWidth="1"/>
    <col min="6916" max="6916" width="37.46875" style="25" bestFit="1" customWidth="1"/>
    <col min="6917" max="6917" width="2.64453125" style="25" customWidth="1"/>
    <col min="6918" max="6920" width="7.64453125" style="25" bestFit="1" customWidth="1"/>
    <col min="6921" max="6923" width="7.46875" style="25" customWidth="1"/>
    <col min="6924" max="6924" width="1.46875" style="25" customWidth="1"/>
    <col min="6925" max="7170" width="8.8203125" style="25"/>
    <col min="7171" max="7171" width="0.64453125" style="25" customWidth="1"/>
    <col min="7172" max="7172" width="37.46875" style="25" bestFit="1" customWidth="1"/>
    <col min="7173" max="7173" width="2.64453125" style="25" customWidth="1"/>
    <col min="7174" max="7176" width="7.64453125" style="25" bestFit="1" customWidth="1"/>
    <col min="7177" max="7179" width="7.46875" style="25" customWidth="1"/>
    <col min="7180" max="7180" width="1.46875" style="25" customWidth="1"/>
    <col min="7181" max="7426" width="8.8203125" style="25"/>
    <col min="7427" max="7427" width="0.64453125" style="25" customWidth="1"/>
    <col min="7428" max="7428" width="37.46875" style="25" bestFit="1" customWidth="1"/>
    <col min="7429" max="7429" width="2.64453125" style="25" customWidth="1"/>
    <col min="7430" max="7432" width="7.64453125" style="25" bestFit="1" customWidth="1"/>
    <col min="7433" max="7435" width="7.46875" style="25" customWidth="1"/>
    <col min="7436" max="7436" width="1.46875" style="25" customWidth="1"/>
    <col min="7437" max="7682" width="8.8203125" style="25"/>
    <col min="7683" max="7683" width="0.64453125" style="25" customWidth="1"/>
    <col min="7684" max="7684" width="37.46875" style="25" bestFit="1" customWidth="1"/>
    <col min="7685" max="7685" width="2.64453125" style="25" customWidth="1"/>
    <col min="7686" max="7688" width="7.64453125" style="25" bestFit="1" customWidth="1"/>
    <col min="7689" max="7691" width="7.46875" style="25" customWidth="1"/>
    <col min="7692" max="7692" width="1.46875" style="25" customWidth="1"/>
    <col min="7693" max="7938" width="8.8203125" style="25"/>
    <col min="7939" max="7939" width="0.64453125" style="25" customWidth="1"/>
    <col min="7940" max="7940" width="37.46875" style="25" bestFit="1" customWidth="1"/>
    <col min="7941" max="7941" width="2.64453125" style="25" customWidth="1"/>
    <col min="7942" max="7944" width="7.64453125" style="25" bestFit="1" customWidth="1"/>
    <col min="7945" max="7947" width="7.46875" style="25" customWidth="1"/>
    <col min="7948" max="7948" width="1.46875" style="25" customWidth="1"/>
    <col min="7949" max="8194" width="8.8203125" style="25"/>
    <col min="8195" max="8195" width="0.64453125" style="25" customWidth="1"/>
    <col min="8196" max="8196" width="37.46875" style="25" bestFit="1" customWidth="1"/>
    <col min="8197" max="8197" width="2.64453125" style="25" customWidth="1"/>
    <col min="8198" max="8200" width="7.64453125" style="25" bestFit="1" customWidth="1"/>
    <col min="8201" max="8203" width="7.46875" style="25" customWidth="1"/>
    <col min="8204" max="8204" width="1.46875" style="25" customWidth="1"/>
    <col min="8205" max="8450" width="8.8203125" style="25"/>
    <col min="8451" max="8451" width="0.64453125" style="25" customWidth="1"/>
    <col min="8452" max="8452" width="37.46875" style="25" bestFit="1" customWidth="1"/>
    <col min="8453" max="8453" width="2.64453125" style="25" customWidth="1"/>
    <col min="8454" max="8456" width="7.64453125" style="25" bestFit="1" customWidth="1"/>
    <col min="8457" max="8459" width="7.46875" style="25" customWidth="1"/>
    <col min="8460" max="8460" width="1.46875" style="25" customWidth="1"/>
    <col min="8461" max="8706" width="8.8203125" style="25"/>
    <col min="8707" max="8707" width="0.64453125" style="25" customWidth="1"/>
    <col min="8708" max="8708" width="37.46875" style="25" bestFit="1" customWidth="1"/>
    <col min="8709" max="8709" width="2.64453125" style="25" customWidth="1"/>
    <col min="8710" max="8712" width="7.64453125" style="25" bestFit="1" customWidth="1"/>
    <col min="8713" max="8715" width="7.46875" style="25" customWidth="1"/>
    <col min="8716" max="8716" width="1.46875" style="25" customWidth="1"/>
    <col min="8717" max="8962" width="8.8203125" style="25"/>
    <col min="8963" max="8963" width="0.64453125" style="25" customWidth="1"/>
    <col min="8964" max="8964" width="37.46875" style="25" bestFit="1" customWidth="1"/>
    <col min="8965" max="8965" width="2.64453125" style="25" customWidth="1"/>
    <col min="8966" max="8968" width="7.64453125" style="25" bestFit="1" customWidth="1"/>
    <col min="8969" max="8971" width="7.46875" style="25" customWidth="1"/>
    <col min="8972" max="8972" width="1.46875" style="25" customWidth="1"/>
    <col min="8973" max="9218" width="8.8203125" style="25"/>
    <col min="9219" max="9219" width="0.64453125" style="25" customWidth="1"/>
    <col min="9220" max="9220" width="37.46875" style="25" bestFit="1" customWidth="1"/>
    <col min="9221" max="9221" width="2.64453125" style="25" customWidth="1"/>
    <col min="9222" max="9224" width="7.64453125" style="25" bestFit="1" customWidth="1"/>
    <col min="9225" max="9227" width="7.46875" style="25" customWidth="1"/>
    <col min="9228" max="9228" width="1.46875" style="25" customWidth="1"/>
    <col min="9229" max="9474" width="8.8203125" style="25"/>
    <col min="9475" max="9475" width="0.64453125" style="25" customWidth="1"/>
    <col min="9476" max="9476" width="37.46875" style="25" bestFit="1" customWidth="1"/>
    <col min="9477" max="9477" width="2.64453125" style="25" customWidth="1"/>
    <col min="9478" max="9480" width="7.64453125" style="25" bestFit="1" customWidth="1"/>
    <col min="9481" max="9483" width="7.46875" style="25" customWidth="1"/>
    <col min="9484" max="9484" width="1.46875" style="25" customWidth="1"/>
    <col min="9485" max="9730" width="8.8203125" style="25"/>
    <col min="9731" max="9731" width="0.64453125" style="25" customWidth="1"/>
    <col min="9732" max="9732" width="37.46875" style="25" bestFit="1" customWidth="1"/>
    <col min="9733" max="9733" width="2.64453125" style="25" customWidth="1"/>
    <col min="9734" max="9736" width="7.64453125" style="25" bestFit="1" customWidth="1"/>
    <col min="9737" max="9739" width="7.46875" style="25" customWidth="1"/>
    <col min="9740" max="9740" width="1.46875" style="25" customWidth="1"/>
    <col min="9741" max="9986" width="8.8203125" style="25"/>
    <col min="9987" max="9987" width="0.64453125" style="25" customWidth="1"/>
    <col min="9988" max="9988" width="37.46875" style="25" bestFit="1" customWidth="1"/>
    <col min="9989" max="9989" width="2.64453125" style="25" customWidth="1"/>
    <col min="9990" max="9992" width="7.64453125" style="25" bestFit="1" customWidth="1"/>
    <col min="9993" max="9995" width="7.46875" style="25" customWidth="1"/>
    <col min="9996" max="9996" width="1.46875" style="25" customWidth="1"/>
    <col min="9997" max="10242" width="8.8203125" style="25"/>
    <col min="10243" max="10243" width="0.64453125" style="25" customWidth="1"/>
    <col min="10244" max="10244" width="37.46875" style="25" bestFit="1" customWidth="1"/>
    <col min="10245" max="10245" width="2.64453125" style="25" customWidth="1"/>
    <col min="10246" max="10248" width="7.64453125" style="25" bestFit="1" customWidth="1"/>
    <col min="10249" max="10251" width="7.46875" style="25" customWidth="1"/>
    <col min="10252" max="10252" width="1.46875" style="25" customWidth="1"/>
    <col min="10253" max="10498" width="8.8203125" style="25"/>
    <col min="10499" max="10499" width="0.64453125" style="25" customWidth="1"/>
    <col min="10500" max="10500" width="37.46875" style="25" bestFit="1" customWidth="1"/>
    <col min="10501" max="10501" width="2.64453125" style="25" customWidth="1"/>
    <col min="10502" max="10504" width="7.64453125" style="25" bestFit="1" customWidth="1"/>
    <col min="10505" max="10507" width="7.46875" style="25" customWidth="1"/>
    <col min="10508" max="10508" width="1.46875" style="25" customWidth="1"/>
    <col min="10509" max="10754" width="8.8203125" style="25"/>
    <col min="10755" max="10755" width="0.64453125" style="25" customWidth="1"/>
    <col min="10756" max="10756" width="37.46875" style="25" bestFit="1" customWidth="1"/>
    <col min="10757" max="10757" width="2.64453125" style="25" customWidth="1"/>
    <col min="10758" max="10760" width="7.64453125" style="25" bestFit="1" customWidth="1"/>
    <col min="10761" max="10763" width="7.46875" style="25" customWidth="1"/>
    <col min="10764" max="10764" width="1.46875" style="25" customWidth="1"/>
    <col min="10765" max="11010" width="8.8203125" style="25"/>
    <col min="11011" max="11011" width="0.64453125" style="25" customWidth="1"/>
    <col min="11012" max="11012" width="37.46875" style="25" bestFit="1" customWidth="1"/>
    <col min="11013" max="11013" width="2.64453125" style="25" customWidth="1"/>
    <col min="11014" max="11016" width="7.64453125" style="25" bestFit="1" customWidth="1"/>
    <col min="11017" max="11019" width="7.46875" style="25" customWidth="1"/>
    <col min="11020" max="11020" width="1.46875" style="25" customWidth="1"/>
    <col min="11021" max="11266" width="8.8203125" style="25"/>
    <col min="11267" max="11267" width="0.64453125" style="25" customWidth="1"/>
    <col min="11268" max="11268" width="37.46875" style="25" bestFit="1" customWidth="1"/>
    <col min="11269" max="11269" width="2.64453125" style="25" customWidth="1"/>
    <col min="11270" max="11272" width="7.64453125" style="25" bestFit="1" customWidth="1"/>
    <col min="11273" max="11275" width="7.46875" style="25" customWidth="1"/>
    <col min="11276" max="11276" width="1.46875" style="25" customWidth="1"/>
    <col min="11277" max="11522" width="8.8203125" style="25"/>
    <col min="11523" max="11523" width="0.64453125" style="25" customWidth="1"/>
    <col min="11524" max="11524" width="37.46875" style="25" bestFit="1" customWidth="1"/>
    <col min="11525" max="11525" width="2.64453125" style="25" customWidth="1"/>
    <col min="11526" max="11528" width="7.64453125" style="25" bestFit="1" customWidth="1"/>
    <col min="11529" max="11531" width="7.46875" style="25" customWidth="1"/>
    <col min="11532" max="11532" width="1.46875" style="25" customWidth="1"/>
    <col min="11533" max="11778" width="8.8203125" style="25"/>
    <col min="11779" max="11779" width="0.64453125" style="25" customWidth="1"/>
    <col min="11780" max="11780" width="37.46875" style="25" bestFit="1" customWidth="1"/>
    <col min="11781" max="11781" width="2.64453125" style="25" customWidth="1"/>
    <col min="11782" max="11784" width="7.64453125" style="25" bestFit="1" customWidth="1"/>
    <col min="11785" max="11787" width="7.46875" style="25" customWidth="1"/>
    <col min="11788" max="11788" width="1.46875" style="25" customWidth="1"/>
    <col min="11789" max="12034" width="8.8203125" style="25"/>
    <col min="12035" max="12035" width="0.64453125" style="25" customWidth="1"/>
    <col min="12036" max="12036" width="37.46875" style="25" bestFit="1" customWidth="1"/>
    <col min="12037" max="12037" width="2.64453125" style="25" customWidth="1"/>
    <col min="12038" max="12040" width="7.64453125" style="25" bestFit="1" customWidth="1"/>
    <col min="12041" max="12043" width="7.46875" style="25" customWidth="1"/>
    <col min="12044" max="12044" width="1.46875" style="25" customWidth="1"/>
    <col min="12045" max="12290" width="8.8203125" style="25"/>
    <col min="12291" max="12291" width="0.64453125" style="25" customWidth="1"/>
    <col min="12292" max="12292" width="37.46875" style="25" bestFit="1" customWidth="1"/>
    <col min="12293" max="12293" width="2.64453125" style="25" customWidth="1"/>
    <col min="12294" max="12296" width="7.64453125" style="25" bestFit="1" customWidth="1"/>
    <col min="12297" max="12299" width="7.46875" style="25" customWidth="1"/>
    <col min="12300" max="12300" width="1.46875" style="25" customWidth="1"/>
    <col min="12301" max="12546" width="8.8203125" style="25"/>
    <col min="12547" max="12547" width="0.64453125" style="25" customWidth="1"/>
    <col min="12548" max="12548" width="37.46875" style="25" bestFit="1" customWidth="1"/>
    <col min="12549" max="12549" width="2.64453125" style="25" customWidth="1"/>
    <col min="12550" max="12552" width="7.64453125" style="25" bestFit="1" customWidth="1"/>
    <col min="12553" max="12555" width="7.46875" style="25" customWidth="1"/>
    <col min="12556" max="12556" width="1.46875" style="25" customWidth="1"/>
    <col min="12557" max="12802" width="8.8203125" style="25"/>
    <col min="12803" max="12803" width="0.64453125" style="25" customWidth="1"/>
    <col min="12804" max="12804" width="37.46875" style="25" bestFit="1" customWidth="1"/>
    <col min="12805" max="12805" width="2.64453125" style="25" customWidth="1"/>
    <col min="12806" max="12808" width="7.64453125" style="25" bestFit="1" customWidth="1"/>
    <col min="12809" max="12811" width="7.46875" style="25" customWidth="1"/>
    <col min="12812" max="12812" width="1.46875" style="25" customWidth="1"/>
    <col min="12813" max="13058" width="8.8203125" style="25"/>
    <col min="13059" max="13059" width="0.64453125" style="25" customWidth="1"/>
    <col min="13060" max="13060" width="37.46875" style="25" bestFit="1" customWidth="1"/>
    <col min="13061" max="13061" width="2.64453125" style="25" customWidth="1"/>
    <col min="13062" max="13064" width="7.64453125" style="25" bestFit="1" customWidth="1"/>
    <col min="13065" max="13067" width="7.46875" style="25" customWidth="1"/>
    <col min="13068" max="13068" width="1.46875" style="25" customWidth="1"/>
    <col min="13069" max="13314" width="8.8203125" style="25"/>
    <col min="13315" max="13315" width="0.64453125" style="25" customWidth="1"/>
    <col min="13316" max="13316" width="37.46875" style="25" bestFit="1" customWidth="1"/>
    <col min="13317" max="13317" width="2.64453125" style="25" customWidth="1"/>
    <col min="13318" max="13320" width="7.64453125" style="25" bestFit="1" customWidth="1"/>
    <col min="13321" max="13323" width="7.46875" style="25" customWidth="1"/>
    <col min="13324" max="13324" width="1.46875" style="25" customWidth="1"/>
    <col min="13325" max="13570" width="8.8203125" style="25"/>
    <col min="13571" max="13571" width="0.64453125" style="25" customWidth="1"/>
    <col min="13572" max="13572" width="37.46875" style="25" bestFit="1" customWidth="1"/>
    <col min="13573" max="13573" width="2.64453125" style="25" customWidth="1"/>
    <col min="13574" max="13576" width="7.64453125" style="25" bestFit="1" customWidth="1"/>
    <col min="13577" max="13579" width="7.46875" style="25" customWidth="1"/>
    <col min="13580" max="13580" width="1.46875" style="25" customWidth="1"/>
    <col min="13581" max="13826" width="8.8203125" style="25"/>
    <col min="13827" max="13827" width="0.64453125" style="25" customWidth="1"/>
    <col min="13828" max="13828" width="37.46875" style="25" bestFit="1" customWidth="1"/>
    <col min="13829" max="13829" width="2.64453125" style="25" customWidth="1"/>
    <col min="13830" max="13832" width="7.64453125" style="25" bestFit="1" customWidth="1"/>
    <col min="13833" max="13835" width="7.46875" style="25" customWidth="1"/>
    <col min="13836" max="13836" width="1.46875" style="25" customWidth="1"/>
    <col min="13837" max="14082" width="8.8203125" style="25"/>
    <col min="14083" max="14083" width="0.64453125" style="25" customWidth="1"/>
    <col min="14084" max="14084" width="37.46875" style="25" bestFit="1" customWidth="1"/>
    <col min="14085" max="14085" width="2.64453125" style="25" customWidth="1"/>
    <col min="14086" max="14088" width="7.64453125" style="25" bestFit="1" customWidth="1"/>
    <col min="14089" max="14091" width="7.46875" style="25" customWidth="1"/>
    <col min="14092" max="14092" width="1.46875" style="25" customWidth="1"/>
    <col min="14093" max="14338" width="8.8203125" style="25"/>
    <col min="14339" max="14339" width="0.64453125" style="25" customWidth="1"/>
    <col min="14340" max="14340" width="37.46875" style="25" bestFit="1" customWidth="1"/>
    <col min="14341" max="14341" width="2.64453125" style="25" customWidth="1"/>
    <col min="14342" max="14344" width="7.64453125" style="25" bestFit="1" customWidth="1"/>
    <col min="14345" max="14347" width="7.46875" style="25" customWidth="1"/>
    <col min="14348" max="14348" width="1.46875" style="25" customWidth="1"/>
    <col min="14349" max="14594" width="8.8203125" style="25"/>
    <col min="14595" max="14595" width="0.64453125" style="25" customWidth="1"/>
    <col min="14596" max="14596" width="37.46875" style="25" bestFit="1" customWidth="1"/>
    <col min="14597" max="14597" width="2.64453125" style="25" customWidth="1"/>
    <col min="14598" max="14600" width="7.64453125" style="25" bestFit="1" customWidth="1"/>
    <col min="14601" max="14603" width="7.46875" style="25" customWidth="1"/>
    <col min="14604" max="14604" width="1.46875" style="25" customWidth="1"/>
    <col min="14605" max="14850" width="8.8203125" style="25"/>
    <col min="14851" max="14851" width="0.64453125" style="25" customWidth="1"/>
    <col min="14852" max="14852" width="37.46875" style="25" bestFit="1" customWidth="1"/>
    <col min="14853" max="14853" width="2.64453125" style="25" customWidth="1"/>
    <col min="14854" max="14856" width="7.64453125" style="25" bestFit="1" customWidth="1"/>
    <col min="14857" max="14859" width="7.46875" style="25" customWidth="1"/>
    <col min="14860" max="14860" width="1.46875" style="25" customWidth="1"/>
    <col min="14861" max="15106" width="8.8203125" style="25"/>
    <col min="15107" max="15107" width="0.64453125" style="25" customWidth="1"/>
    <col min="15108" max="15108" width="37.46875" style="25" bestFit="1" customWidth="1"/>
    <col min="15109" max="15109" width="2.64453125" style="25" customWidth="1"/>
    <col min="15110" max="15112" width="7.64453125" style="25" bestFit="1" customWidth="1"/>
    <col min="15113" max="15115" width="7.46875" style="25" customWidth="1"/>
    <col min="15116" max="15116" width="1.46875" style="25" customWidth="1"/>
    <col min="15117" max="15362" width="8.8203125" style="25"/>
    <col min="15363" max="15363" width="0.64453125" style="25" customWidth="1"/>
    <col min="15364" max="15364" width="37.46875" style="25" bestFit="1" customWidth="1"/>
    <col min="15365" max="15365" width="2.64453125" style="25" customWidth="1"/>
    <col min="15366" max="15368" width="7.64453125" style="25" bestFit="1" customWidth="1"/>
    <col min="15369" max="15371" width="7.46875" style="25" customWidth="1"/>
    <col min="15372" max="15372" width="1.46875" style="25" customWidth="1"/>
    <col min="15373" max="15618" width="8.8203125" style="25"/>
    <col min="15619" max="15619" width="0.64453125" style="25" customWidth="1"/>
    <col min="15620" max="15620" width="37.46875" style="25" bestFit="1" customWidth="1"/>
    <col min="15621" max="15621" width="2.64453125" style="25" customWidth="1"/>
    <col min="15622" max="15624" width="7.64453125" style="25" bestFit="1" customWidth="1"/>
    <col min="15625" max="15627" width="7.46875" style="25" customWidth="1"/>
    <col min="15628" max="15628" width="1.46875" style="25" customWidth="1"/>
    <col min="15629" max="15874" width="8.8203125" style="25"/>
    <col min="15875" max="15875" width="0.64453125" style="25" customWidth="1"/>
    <col min="15876" max="15876" width="37.46875" style="25" bestFit="1" customWidth="1"/>
    <col min="15877" max="15877" width="2.64453125" style="25" customWidth="1"/>
    <col min="15878" max="15880" width="7.64453125" style="25" bestFit="1" customWidth="1"/>
    <col min="15881" max="15883" width="7.46875" style="25" customWidth="1"/>
    <col min="15884" max="15884" width="1.46875" style="25" customWidth="1"/>
    <col min="15885" max="16130" width="8.8203125" style="25"/>
    <col min="16131" max="16131" width="0.64453125" style="25" customWidth="1"/>
    <col min="16132" max="16132" width="37.46875" style="25" bestFit="1" customWidth="1"/>
    <col min="16133" max="16133" width="2.64453125" style="25" customWidth="1"/>
    <col min="16134" max="16136" width="7.64453125" style="25" bestFit="1" customWidth="1"/>
    <col min="16137" max="16139" width="7.46875" style="25" customWidth="1"/>
    <col min="16140" max="16140" width="1.46875" style="25" customWidth="1"/>
    <col min="16141" max="16384" width="8.8203125" style="25"/>
  </cols>
  <sheetData>
    <row r="1" spans="1:13" ht="13" thickBot="1"/>
    <row r="2" spans="1:13" ht="17.7">
      <c r="A2" s="62" t="s">
        <v>155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</row>
    <row r="3" spans="1:13">
      <c r="A3" s="33"/>
      <c r="M3" s="34"/>
    </row>
    <row r="4" spans="1:13">
      <c r="A4" s="38" t="s">
        <v>154</v>
      </c>
      <c r="B4" s="36">
        <v>2018</v>
      </c>
      <c r="C4" s="36">
        <v>2019</v>
      </c>
      <c r="D4" s="36">
        <v>2020</v>
      </c>
      <c r="E4" s="36">
        <v>2021</v>
      </c>
      <c r="F4" s="36">
        <v>2022</v>
      </c>
      <c r="G4" s="36">
        <v>2023</v>
      </c>
      <c r="H4" s="36">
        <v>2024</v>
      </c>
      <c r="I4" s="36">
        <v>2025</v>
      </c>
      <c r="J4" s="36">
        <v>2026</v>
      </c>
      <c r="K4" s="36">
        <v>2027</v>
      </c>
      <c r="L4" s="36"/>
      <c r="M4" s="35" t="s">
        <v>153</v>
      </c>
    </row>
    <row r="5" spans="1:13">
      <c r="A5" s="43" t="s">
        <v>152</v>
      </c>
      <c r="B5" s="45">
        <f>IS!B5/IS!B$3</f>
        <v>0.45890044100495064</v>
      </c>
      <c r="C5" s="45">
        <f>IS!C5/IS!C$3</f>
        <v>0.45358924311429188</v>
      </c>
      <c r="D5" s="45">
        <f>IS!D5/IS!D$3</f>
        <v>0.4541590943196937</v>
      </c>
      <c r="E5" s="45">
        <f>IS!E5/IS!E$3</f>
        <v>0.45128145336642689</v>
      </c>
      <c r="F5" s="45">
        <f>IS!F5/IS!F$3</f>
        <v>0.43177445611957971</v>
      </c>
      <c r="G5" s="45">
        <f>IS!G5/IS!G$3</f>
        <v>0.43999999999999995</v>
      </c>
      <c r="H5" s="45">
        <f>IS!H5/IS!H$3</f>
        <v>0.44500000000000001</v>
      </c>
      <c r="I5" s="45">
        <f>IS!I5/IS!I$3</f>
        <v>0.44999999999999996</v>
      </c>
      <c r="J5" s="45">
        <f>IS!J5/IS!J$3</f>
        <v>0.45499999999999996</v>
      </c>
      <c r="K5" s="45">
        <f>IS!K5/IS!K$3</f>
        <v>0.45499999999999996</v>
      </c>
      <c r="L5" s="45"/>
      <c r="M5" s="42" t="s">
        <v>151</v>
      </c>
    </row>
    <row r="6" spans="1:13">
      <c r="A6" s="43" t="s">
        <v>150</v>
      </c>
      <c r="B6" s="45">
        <f>IS!B12/IS!B3</f>
        <v>0.18098427828068267</v>
      </c>
      <c r="C6" s="45">
        <f>IS!C12/IS!C3</f>
        <v>0.17289512026417397</v>
      </c>
      <c r="D6" s="45">
        <f>IS!D12/IS!D3</f>
        <v>0.18344153951811099</v>
      </c>
      <c r="E6" s="45">
        <f>IS!E12/IS!E3</f>
        <v>0.20032956068866881</v>
      </c>
      <c r="F6" s="45">
        <f>IS!F12/IS!F3</f>
        <v>0.18399240869870837</v>
      </c>
      <c r="G6" s="45">
        <f>IS!G12/IS!G3</f>
        <v>0.1980507617432867</v>
      </c>
      <c r="H6" s="45">
        <f>IS!H12/IS!H3</f>
        <v>0.20306198923724178</v>
      </c>
      <c r="I6" s="45">
        <f>IS!I12/IS!I3</f>
        <v>0.20683556967011599</v>
      </c>
      <c r="J6" s="45">
        <f>IS!J12/IS!J3</f>
        <v>0.21103080248737557</v>
      </c>
      <c r="K6" s="45">
        <f>IS!K12/IS!K3</f>
        <v>0.21175115514166282</v>
      </c>
      <c r="L6" s="45"/>
      <c r="M6" s="42" t="s">
        <v>149</v>
      </c>
    </row>
    <row r="7" spans="1:13">
      <c r="A7" s="43" t="s">
        <v>148</v>
      </c>
      <c r="B7" s="45">
        <f>(IS!B9+'Historical CF'!B6)/IS!B3</f>
        <v>0.24628301969858052</v>
      </c>
      <c r="C7" s="45">
        <f>(IS!C9+'Historical CF'!C6)/IS!C3</f>
        <v>0.23634315571309295</v>
      </c>
      <c r="D7" s="45">
        <f>(IS!D9+'Historical CF'!D6)/IS!D3</f>
        <v>0.25492964849462907</v>
      </c>
      <c r="E7" s="45">
        <f>(IS!E9+'Historical CF'!E6)/IS!E3</f>
        <v>0.26291777914484765</v>
      </c>
      <c r="F7" s="45">
        <f>(IS!F9+'Historical CF'!F6)/IS!F3</f>
        <v>0.25335171461713241</v>
      </c>
      <c r="G7" s="45">
        <f>(IS!G9+'Historical CF'!G6)/IS!G3</f>
        <v>0.22491063865410085</v>
      </c>
      <c r="H7" s="45">
        <f>(IS!H9+'Historical CF'!H6)/IS!H3</f>
        <v>0.22995722411034417</v>
      </c>
      <c r="I7" s="45">
        <f>(IS!I9+'Historical CF'!I6)/IS!I3</f>
        <v>0.23499999999999996</v>
      </c>
      <c r="J7" s="45">
        <f>(IS!J9+'Historical CF'!J6)/IS!J3</f>
        <v>0.23999999999999996</v>
      </c>
      <c r="K7" s="45">
        <f>(IS!K9+'Historical CF'!K6)/IS!K3</f>
        <v>0.23999999999999994</v>
      </c>
      <c r="L7" s="45"/>
      <c r="M7" s="42" t="s">
        <v>147</v>
      </c>
    </row>
    <row r="8" spans="1:13">
      <c r="A8" s="43" t="s">
        <v>146</v>
      </c>
      <c r="B8" s="45">
        <f>IS!B16/IS!B3</f>
        <v>0.15114254539396327</v>
      </c>
      <c r="C8" s="45">
        <f>IS!C16/IS!C3</f>
        <v>0.14395889335823614</v>
      </c>
      <c r="D8" s="45">
        <f>IS!D16/IS!D3</f>
        <v>0.15690209686984299</v>
      </c>
      <c r="E8" s="45">
        <f>IS!E16/IS!E3</f>
        <v>0.16469250904296651</v>
      </c>
      <c r="F8" s="45">
        <f>IS!F16/IS!F3</f>
        <v>0.15786261525972872</v>
      </c>
      <c r="G8" s="45">
        <f>IS!G16/IS!G3</f>
        <v>0.16636263986436084</v>
      </c>
      <c r="H8" s="45">
        <f>IS!H16/IS!H3</f>
        <v>0.16854145106691065</v>
      </c>
      <c r="I8" s="45">
        <f>IS!I16/IS!I3</f>
        <v>0.16960516712949511</v>
      </c>
      <c r="J8" s="45">
        <f>IS!J16/IS!J3</f>
        <v>0.17304525803964796</v>
      </c>
      <c r="K8" s="45">
        <f>IS!K16/IS!K3</f>
        <v>0.17363594721616349</v>
      </c>
      <c r="L8" s="45"/>
      <c r="M8" s="42" t="s">
        <v>145</v>
      </c>
    </row>
    <row r="9" spans="1:13">
      <c r="A9" s="43" t="s">
        <v>144</v>
      </c>
      <c r="B9" s="45">
        <f>(IS!B9*(1-IS!B44))/BS!B13</f>
        <v>0.17505440535068803</v>
      </c>
      <c r="C9" s="45">
        <f>(IS!C9*(1-IS!C44))/BS!C13</f>
        <v>0.16282388270844661</v>
      </c>
      <c r="D9" s="45">
        <f>(IS!D9*(1-IS!D44))/BS!D13</f>
        <v>0.16654429638590754</v>
      </c>
      <c r="E9" s="45">
        <f>(IS!E9*(1-IS!E44))/BS!E13</f>
        <v>0.16194366292011203</v>
      </c>
      <c r="F9" s="45">
        <f>(IS!F9*(1-IS!F44))/BS!F13</f>
        <v>0.17716246718222081</v>
      </c>
      <c r="G9" s="45">
        <f>IS!G17/IS!G4</f>
        <v>0</v>
      </c>
      <c r="H9" s="45">
        <f>IS!H17/IS!H4</f>
        <v>0</v>
      </c>
      <c r="I9" s="45">
        <f>IS!I17/IS!I4</f>
        <v>0</v>
      </c>
      <c r="J9" s="45">
        <f>IS!J17/IS!J4</f>
        <v>0</v>
      </c>
      <c r="K9" s="45">
        <f>IS!K17/IS!K4</f>
        <v>0</v>
      </c>
      <c r="L9" s="45"/>
      <c r="M9" s="42" t="s">
        <v>143</v>
      </c>
    </row>
    <row r="10" spans="1:13">
      <c r="A10" s="43" t="s">
        <v>142</v>
      </c>
      <c r="B10" s="45">
        <f>IS!B16/BS!B35</f>
        <v>0.83677286312608989</v>
      </c>
      <c r="C10" s="45">
        <f>IS!C16/BS!C35</f>
        <v>0.65885154905976751</v>
      </c>
      <c r="D10" s="45">
        <f>IS!D16/BS!D35</f>
        <v>0.57139180198428607</v>
      </c>
      <c r="E10" s="45">
        <f>IS!E16/BS!E35</f>
        <v>0.5358684389290842</v>
      </c>
      <c r="F10" s="45">
        <f>IS!F16/BS!F35</f>
        <v>0.49849827733771696</v>
      </c>
      <c r="G10" s="45">
        <f>IS!G18/IS!G5</f>
        <v>0</v>
      </c>
      <c r="H10" s="45">
        <f>IS!H18/IS!H5</f>
        <v>0</v>
      </c>
      <c r="I10" s="45">
        <f>IS!I18/IS!I5</f>
        <v>0</v>
      </c>
      <c r="J10" s="45">
        <f>IS!J18/IS!J5</f>
        <v>0</v>
      </c>
      <c r="K10" s="45">
        <f>IS!K18/IS!K5</f>
        <v>0</v>
      </c>
      <c r="L10" s="45"/>
      <c r="M10" s="42" t="s">
        <v>141</v>
      </c>
    </row>
    <row r="11" spans="1:13">
      <c r="A11" s="33"/>
      <c r="M11" s="34"/>
    </row>
    <row r="12" spans="1:13">
      <c r="A12" s="38" t="s">
        <v>140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6"/>
      <c r="M12" s="35"/>
    </row>
    <row r="13" spans="1:13">
      <c r="A13" s="43" t="s">
        <v>139</v>
      </c>
      <c r="B13" s="44">
        <f>BS!B7/BS!B20</f>
        <v>0.92583001662968878</v>
      </c>
      <c r="C13" s="44">
        <f>BS!C7/BS!C20</f>
        <v>1.0539174519226222</v>
      </c>
      <c r="D13" s="44">
        <f>BS!D7/BS!D20</f>
        <v>1.5741577221031375</v>
      </c>
      <c r="E13" s="44">
        <f>BS!E7/BS!E20</f>
        <v>0.90089210620567894</v>
      </c>
      <c r="F13" s="44">
        <f>BS!F7/BS!F20</f>
        <v>0.80450786177135003</v>
      </c>
      <c r="G13" s="44">
        <f>BS!G7/BS!G20</f>
        <v>0.9340922677889717</v>
      </c>
      <c r="H13" s="44">
        <f>BS!H7/BS!H20</f>
        <v>1.1445131334392999</v>
      </c>
      <c r="I13" s="44">
        <f>BS!I7/BS!I20</f>
        <v>1.4059161453529752</v>
      </c>
      <c r="J13" s="44">
        <f>BS!J7/BS!J20</f>
        <v>1.6713557068365312</v>
      </c>
      <c r="K13" s="44">
        <f>BS!K7/BS!K20</f>
        <v>1.9359487301188125</v>
      </c>
      <c r="L13" s="45"/>
      <c r="M13" s="42" t="s">
        <v>138</v>
      </c>
    </row>
    <row r="14" spans="1:13">
      <c r="A14" s="43" t="s">
        <v>137</v>
      </c>
      <c r="B14" s="44">
        <f>(BS!B3+BS!B4)/BS!B20</f>
        <v>0.48877847451754469</v>
      </c>
      <c r="C14" s="44">
        <f>(BS!C3+BS!C4)/BS!C20</f>
        <v>0.52856167858012248</v>
      </c>
      <c r="D14" s="44">
        <f>(BS!D3+BS!D4)/BS!D20</f>
        <v>0.92994563220730064</v>
      </c>
      <c r="E14" s="44">
        <f>(BS!E3+BS!E4)/BS!E20</f>
        <v>0.40136557263368056</v>
      </c>
      <c r="F14" s="44">
        <f>(BS!F3+BS!F4)/BS!F20</f>
        <v>0.36077262542698318</v>
      </c>
      <c r="G14" s="44">
        <f>(BS!G3+BS!G4)/BS!G20</f>
        <v>0.4491146105017717</v>
      </c>
      <c r="H14" s="44">
        <f>(BS!H3+BS!H4)/BS!H20</f>
        <v>0.61325127644830202</v>
      </c>
      <c r="I14" s="44">
        <f>(BS!I3+BS!I4)/BS!I20</f>
        <v>0.87101260306547712</v>
      </c>
      <c r="J14" s="44">
        <f>(BS!J3+BS!J4)/BS!J20</f>
        <v>1.1330030006213374</v>
      </c>
      <c r="K14" s="44">
        <f>(BS!K3+BS!K4)/BS!K20</f>
        <v>1.3919253355902936</v>
      </c>
      <c r="L14" s="45"/>
      <c r="M14" s="42" t="s">
        <v>136</v>
      </c>
    </row>
    <row r="15" spans="1:13">
      <c r="A15" s="33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34"/>
    </row>
    <row r="16" spans="1:13">
      <c r="A16" s="38" t="s">
        <v>135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6"/>
      <c r="M16" s="35"/>
    </row>
    <row r="17" spans="1:13">
      <c r="A17" s="43" t="s">
        <v>134</v>
      </c>
      <c r="B17" s="47">
        <f>BS!B13/BS!B33</f>
        <v>5.5071883527880114</v>
      </c>
      <c r="C17" s="47">
        <f>BS!C13/BS!C33</f>
        <v>4.6804806976912667</v>
      </c>
      <c r="D17" s="47">
        <f>BS!D13/BS!D33</f>
        <v>4.0870216510200716</v>
      </c>
      <c r="E17" s="47">
        <f>BS!E13/BS!E33</f>
        <v>3.7763388532472275</v>
      </c>
      <c r="F17" s="47">
        <f>BS!F13/BS!F33</f>
        <v>3.3182827687704726</v>
      </c>
      <c r="G17" s="47">
        <f>BS!G13/BS!G33</f>
        <v>2.9494731387064159</v>
      </c>
      <c r="H17" s="47">
        <f>BS!H13/BS!H33</f>
        <v>2.6379352388123349</v>
      </c>
      <c r="I17" s="47">
        <f>BS!I13/BS!I33</f>
        <v>2.436532820233444</v>
      </c>
      <c r="J17" s="47">
        <f>BS!J13/BS!J33</f>
        <v>2.2735099502159644</v>
      </c>
      <c r="K17" s="47">
        <f>BS!K13/BS!K33</f>
        <v>2.1464884672914595</v>
      </c>
      <c r="L17" s="45"/>
      <c r="M17" s="42" t="s">
        <v>133</v>
      </c>
    </row>
    <row r="18" spans="1:13">
      <c r="A18" s="43" t="s">
        <v>132</v>
      </c>
      <c r="B18" s="47">
        <f>(BS!B18+BS!B19+BS!B21)/BS!B35</f>
        <v>3.1675575193318108</v>
      </c>
      <c r="C18" s="47">
        <f>(BS!C18+BS!C19+BS!C21)/BS!C35</f>
        <v>2.4449854841907768</v>
      </c>
      <c r="D18" s="47">
        <f>(BS!D18+BS!D19+BS!D21)/BS!D35</f>
        <v>2.0566870564725681</v>
      </c>
      <c r="E18" s="47">
        <f>(BS!E18+BS!E19+BS!E21)/BS!E35</f>
        <v>1.8238942068286674</v>
      </c>
      <c r="F18" s="47">
        <f>(BS!F18+BS!F19+BS!F21)/BS!F35</f>
        <v>1.4521233843221972</v>
      </c>
      <c r="G18" s="47">
        <f>(BS!G18+BS!G19+BS!G21)/BS!G35</f>
        <v>1.1895909628549013</v>
      </c>
      <c r="H18" s="47">
        <f>(BS!H18+BS!H19+BS!H21)/BS!H35</f>
        <v>0.97587736913787682</v>
      </c>
      <c r="I18" s="47">
        <f>(BS!I18+BS!I19+BS!I21)/BS!I35</f>
        <v>0.85275943213981398</v>
      </c>
      <c r="J18" s="47">
        <f>(BS!J18+BS!J19+BS!J21)/BS!J35</f>
        <v>0.75581605751495717</v>
      </c>
      <c r="K18" s="47">
        <f>(BS!K18+BS!K19+BS!K21)/BS!K35</f>
        <v>0.67936731367965142</v>
      </c>
      <c r="L18" s="45"/>
      <c r="M18" s="42" t="s">
        <v>131</v>
      </c>
    </row>
    <row r="19" spans="1:13">
      <c r="A19" s="43" t="s">
        <v>130</v>
      </c>
      <c r="B19" s="47">
        <f>BS!B21/(BS!B21+BS!B35)</f>
        <v>0.69811174232754536</v>
      </c>
      <c r="C19" s="47">
        <f>BS!C21/(BS!C21+BS!C35)</f>
        <v>0.66924605088851807</v>
      </c>
      <c r="D19" s="47">
        <f>BS!D21/(BS!D21+BS!D35)</f>
        <v>0.64633201203987967</v>
      </c>
      <c r="E19" s="47">
        <f>BS!E21/(BS!E21+BS!E35)</f>
        <v>0.59712346373155722</v>
      </c>
      <c r="F19" s="47">
        <f>BS!F21/(BS!F21+BS!F35)</f>
        <v>0.50334408516206997</v>
      </c>
      <c r="G19" s="47">
        <f>BS!G21/(BS!G21+BS!G35)</f>
        <v>0.4688556388331897</v>
      </c>
      <c r="H19" s="47">
        <f>BS!H21/(BS!H21+BS!H35)</f>
        <v>0.43569356538319592</v>
      </c>
      <c r="I19" s="47">
        <f>BS!I21/(BS!I21+BS!I35)</f>
        <v>0.40473362048303946</v>
      </c>
      <c r="J19" s="47">
        <f>BS!J21/(BS!J21+BS!J35)</f>
        <v>0.37778026960840977</v>
      </c>
      <c r="K19" s="47">
        <f>BS!K21/(BS!K21+BS!K35)</f>
        <v>0.35471265946649594</v>
      </c>
      <c r="L19" s="45"/>
      <c r="M19" s="42" t="s">
        <v>129</v>
      </c>
    </row>
    <row r="20" spans="1:13">
      <c r="A20" s="43" t="s">
        <v>128</v>
      </c>
      <c r="B20" s="47">
        <f>BS!B24/BS!B35</f>
        <v>4.4737483887196881</v>
      </c>
      <c r="C20" s="47">
        <f>BS!C24/BS!C35</f>
        <v>3.6649988481335751</v>
      </c>
      <c r="D20" s="47">
        <f>BS!D24/BS!D35</f>
        <v>3.0805730237014179</v>
      </c>
      <c r="E20" s="47">
        <f>BS!E24/BS!E35</f>
        <v>2.7763388532472275</v>
      </c>
      <c r="F20" s="47">
        <f>BS!F24/BS!F35</f>
        <v>2.3182827687704726</v>
      </c>
      <c r="G20" s="47">
        <f>BS!G24/BS!G35</f>
        <v>1.9494731387064155</v>
      </c>
      <c r="H20" s="47">
        <f>BS!H24/BS!H35</f>
        <v>1.6379352388123347</v>
      </c>
      <c r="I20" s="47">
        <f>BS!I24/BS!I35</f>
        <v>1.436532820233444</v>
      </c>
      <c r="J20" s="47">
        <f>BS!J24/BS!J35</f>
        <v>1.2735099502159637</v>
      </c>
      <c r="K20" s="47">
        <f>BS!K24/BS!K35</f>
        <v>1.146488467291459</v>
      </c>
      <c r="L20" s="45"/>
      <c r="M20" s="42" t="s">
        <v>127</v>
      </c>
    </row>
    <row r="21" spans="1:13">
      <c r="A21" s="43" t="s">
        <v>126</v>
      </c>
      <c r="B21" s="47">
        <f>(BS!B18+BS!B19+BS!B21)/(BS!B18+BS!B19+BS!B21+BS!B35)</f>
        <v>0.76005130214487571</v>
      </c>
      <c r="C21" s="47">
        <f>(BS!C18+BS!C19+BS!C21)/(BS!C18+BS!C19+BS!C21+BS!C35)</f>
        <v>0.70972301491862488</v>
      </c>
      <c r="D21" s="47">
        <f>(BS!D18+BS!D19+BS!D21)/(BS!D18+BS!D19+BS!D21+BS!D35)</f>
        <v>0.67284842002962353</v>
      </c>
      <c r="E21" s="47">
        <f>(BS!E18+BS!E19+BS!E21)/(BS!E18+BS!E19+BS!E21+BS!E35)</f>
        <v>0.64587908513646652</v>
      </c>
      <c r="F21" s="47">
        <f>(BS!F18+BS!F19+BS!F21)/(BS!F18+BS!F19+BS!F21+BS!F35)</f>
        <v>0.59219017835988108</v>
      </c>
      <c r="G21" s="47">
        <f>(BS!G18+BS!G19+BS!G21)/(BS!G18+BS!G19+BS!G21+BS!G35)</f>
        <v>0.54329369413538842</v>
      </c>
      <c r="H21" s="47">
        <f>(BS!H18+BS!H19+BS!H21)/(BS!H18+BS!H19+BS!H21+BS!H35)</f>
        <v>0.49389571659686338</v>
      </c>
      <c r="I21" s="47">
        <f>(BS!I18+BS!I19+BS!I21)/(BS!I18+BS!I19+BS!I21+BS!I35)</f>
        <v>0.4602645207720969</v>
      </c>
      <c r="J21" s="47">
        <f>(BS!J18+BS!J19+BS!J21)/(BS!J18+BS!J19+BS!J21+BS!J35)</f>
        <v>0.43046425864488291</v>
      </c>
      <c r="K21" s="47">
        <f>(BS!K18+BS!K19+BS!K21)/(BS!K18+BS!K19+BS!K21+BS!K35)</f>
        <v>0.40453765423782945</v>
      </c>
      <c r="L21" s="45"/>
      <c r="M21" s="42" t="s">
        <v>125</v>
      </c>
    </row>
    <row r="22" spans="1:13" ht="14.35">
      <c r="A22" s="41" t="s">
        <v>124</v>
      </c>
      <c r="B22" s="47">
        <f>(BS!B7-BS!B20)/(BS!B18+BS!B19+BS!B21+BS!B35)</f>
        <v>-3.0586397429300128E-2</v>
      </c>
      <c r="C22" s="47">
        <f>(BS!C7-BS!C20)/(BS!C18+BS!C19+BS!C21+BS!C35)</f>
        <v>1.8017030417972018E-2</v>
      </c>
      <c r="D22" s="47">
        <f>(BS!D7-BS!D20)/(BS!D18+BS!D19+BS!D21+BS!D35)</f>
        <v>0.15878352894258729</v>
      </c>
      <c r="E22" s="47">
        <f>(BS!E7-BS!E20)/(BS!E18+BS!E19+BS!E21+BS!E35)</f>
        <v>-3.1736847722544329E-2</v>
      </c>
      <c r="F22" s="47">
        <f>(BS!F7-BS!F20)/(BS!F18+BS!F19+BS!F21+BS!F35)</f>
        <v>-7.8699386433307886E-2</v>
      </c>
      <c r="G22" s="47">
        <f>(BS!G7-BS!G20)/(BS!G18+BS!G19+BS!G21+BS!G35)</f>
        <v>-2.3721521634735079E-2</v>
      </c>
      <c r="H22" s="47">
        <f>(BS!H7-BS!H20)/(BS!H18+BS!H19+BS!H21+BS!H35)</f>
        <v>4.5239247745071112E-2</v>
      </c>
      <c r="I22" s="47">
        <f>(BS!I7-BS!I20)/(BS!I18+BS!I19+BS!I21+BS!I35)</f>
        <v>0.11715929022421639</v>
      </c>
      <c r="J22" s="47">
        <f>(BS!J7-BS!J20)/(BS!J18+BS!J19+BS!J21+BS!J35)</f>
        <v>0.17913126471126181</v>
      </c>
      <c r="K22" s="47">
        <f>(BS!K7-BS!K20)/(BS!K18+BS!K19+BS!K21+BS!K35)</f>
        <v>0.23302503322706683</v>
      </c>
      <c r="L22" s="45"/>
      <c r="M22" s="40" t="s">
        <v>123</v>
      </c>
    </row>
    <row r="23" spans="1:13">
      <c r="A23" s="33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34"/>
    </row>
    <row r="24" spans="1:13">
      <c r="A24" s="38" t="s">
        <v>122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6"/>
      <c r="M24" s="35"/>
    </row>
    <row r="25" spans="1:13">
      <c r="A25" s="33" t="s">
        <v>121</v>
      </c>
      <c r="B25" s="39">
        <f>'Historical CF'!B20/BS!B24</f>
        <v>0.25413842408709109</v>
      </c>
      <c r="C25" s="39">
        <f>'Historical CF'!C20/BS!C24</f>
        <v>0.27580334681124763</v>
      </c>
      <c r="D25" s="39">
        <f>'Historical CF'!D20/BS!D24</f>
        <v>0.2465428443034644</v>
      </c>
      <c r="E25" s="39">
        <f>'Historical CF'!E20/BS!E24</f>
        <v>0.27209450761737225</v>
      </c>
      <c r="F25" s="39">
        <f>'Historical CF'!F20/BS!F24</f>
        <v>0.30432121941998169</v>
      </c>
      <c r="G25" s="39"/>
      <c r="H25" s="39"/>
      <c r="I25" s="39"/>
      <c r="J25" s="39"/>
      <c r="K25" s="39"/>
      <c r="L25" s="45"/>
      <c r="M25" s="34" t="s">
        <v>120</v>
      </c>
    </row>
    <row r="26" spans="1:13">
      <c r="A26" s="33" t="s">
        <v>119</v>
      </c>
      <c r="B26" s="39">
        <f>'Historical CF'!B20/(BS!B18+BS!B19+BS!B21)</f>
        <v>0.35893629660471699</v>
      </c>
      <c r="C26" s="39">
        <f>'Historical CF'!C20/(BS!C18+BS!C19+BS!C21)</f>
        <v>0.41342533725068764</v>
      </c>
      <c r="D26" s="39">
        <f>'Historical CF'!D20/(BS!D18+BS!D19+BS!D21)</f>
        <v>0.36927992178376468</v>
      </c>
      <c r="E26" s="39">
        <f>'Historical CF'!E20/(BS!E18+BS!E19+BS!E21)</f>
        <v>0.41418331744514797</v>
      </c>
      <c r="F26" s="39">
        <f>'Historical CF'!F20/(BS!F18+BS!F19+BS!F21)</f>
        <v>0.4858420756593399</v>
      </c>
      <c r="G26" s="39"/>
      <c r="H26" s="39"/>
      <c r="I26" s="39"/>
      <c r="J26" s="39"/>
      <c r="K26" s="39"/>
      <c r="L26" s="45"/>
      <c r="M26" s="34" t="s">
        <v>118</v>
      </c>
    </row>
    <row r="27" spans="1:13">
      <c r="A27" s="33" t="s">
        <v>117</v>
      </c>
      <c r="B27" s="39">
        <f>'Historical CF'!B20/-'Historical CF'!B22</f>
        <v>4.8691056935310604</v>
      </c>
      <c r="C27" s="39">
        <f>'Historical CF'!C20/-'Historical CF'!C22</f>
        <v>5.5434234675918939</v>
      </c>
      <c r="D27" s="39">
        <f>'Historical CF'!D20/-'Historical CF'!D22</f>
        <v>3.8486343648245347</v>
      </c>
      <c r="E27" s="39">
        <f>'Historical CF'!E20/-'Historical CF'!E22</f>
        <v>4.2004045358022255</v>
      </c>
      <c r="F27" s="39">
        <f>'Historical CF'!F20/-'Historical CF'!F22</f>
        <v>4.4810820799990756</v>
      </c>
      <c r="G27" s="39"/>
      <c r="H27" s="39"/>
      <c r="I27" s="39"/>
      <c r="J27" s="39"/>
      <c r="K27" s="39"/>
      <c r="L27" s="45"/>
      <c r="M27" s="34" t="s">
        <v>116</v>
      </c>
    </row>
    <row r="28" spans="1:13">
      <c r="A28" s="33" t="s">
        <v>115</v>
      </c>
      <c r="B28" s="39">
        <f>IS!B9/'Historical CF'!B46</f>
        <v>12.255362830789668</v>
      </c>
      <c r="C28" s="39">
        <f>IS!C9/'Historical CF'!C46</f>
        <v>11.440188094965018</v>
      </c>
      <c r="D28" s="39">
        <f>IS!D9/'Historical CF'!D46</f>
        <v>11.811422513748095</v>
      </c>
      <c r="E28" s="39">
        <f>IS!E9/'Historical CF'!E46</f>
        <v>16.000829901507917</v>
      </c>
      <c r="F28" s="39">
        <f>IS!F9/'Historical CF'!F46</f>
        <v>17.158761963311246</v>
      </c>
      <c r="G28" s="39"/>
      <c r="H28" s="39"/>
      <c r="I28" s="39"/>
      <c r="J28" s="39"/>
      <c r="K28" s="39"/>
      <c r="L28" s="45"/>
      <c r="M28" s="34" t="s">
        <v>114</v>
      </c>
    </row>
    <row r="29" spans="1:13">
      <c r="A29" s="33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34"/>
    </row>
    <row r="30" spans="1:13">
      <c r="A30" s="38" t="s">
        <v>113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6"/>
      <c r="M30" s="35"/>
    </row>
    <row r="31" spans="1:13">
      <c r="A31" s="33" t="s">
        <v>113</v>
      </c>
      <c r="B31" s="27"/>
      <c r="C31" s="61">
        <f>IS!C71/IS!C65</f>
        <v>-0.68128177373869414</v>
      </c>
      <c r="D31" s="61">
        <f>IS!D71/IS!D65</f>
        <v>5.7166868162614035</v>
      </c>
      <c r="E31" s="61">
        <f>IS!E71/IS!E65</f>
        <v>1.4523635898979657</v>
      </c>
      <c r="F31" s="61">
        <f>IS!F71/IS!F65</f>
        <v>0.65806605417075037</v>
      </c>
      <c r="G31" s="61">
        <f>IS!G71/IS!G65</f>
        <v>1.5302856262327318</v>
      </c>
      <c r="H31" s="61">
        <f>IS!H71/IS!H65</f>
        <v>1.5263344118050879</v>
      </c>
      <c r="I31" s="61">
        <f>IS!I71/IS!I65</f>
        <v>1.645315232189106</v>
      </c>
      <c r="J31" s="61">
        <f>IS!J71/IS!J65</f>
        <v>1.6477295318554948</v>
      </c>
      <c r="K31" s="61">
        <f>IS!K71/IS!K65</f>
        <v>0.99999999999999345</v>
      </c>
      <c r="L31" s="45"/>
      <c r="M31" s="34" t="s">
        <v>112</v>
      </c>
    </row>
    <row r="32" spans="1:13">
      <c r="A32" s="33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34"/>
    </row>
    <row r="33" spans="1:14">
      <c r="A33" s="38" t="s">
        <v>111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6"/>
      <c r="M33" s="35"/>
    </row>
    <row r="34" spans="1:14">
      <c r="A34" s="33" t="s">
        <v>110</v>
      </c>
      <c r="B34" s="27"/>
      <c r="C34" s="27">
        <f>IS!C3/AVERAGE(BS!B13:C13)</f>
        <v>1.0081478014683072</v>
      </c>
      <c r="D34" s="27">
        <f>IS!D3/AVERAGE(BS!C13:D13)</f>
        <v>0.943678295345595</v>
      </c>
      <c r="E34" s="27">
        <f>IS!E3/AVERAGE(BS!D13:E13)</f>
        <v>0.9180620255467693</v>
      </c>
      <c r="F34" s="27">
        <f>IS!F3/AVERAGE(BS!E13:F13)</f>
        <v>0.97554132519041314</v>
      </c>
      <c r="G34" s="27">
        <f>IS!G3/AVERAGE(BS!F13:G13)</f>
        <v>0.97463920940935189</v>
      </c>
      <c r="H34" s="27">
        <f>IS!H3/AVERAGE(BS!G13:H13)</f>
        <v>0.93664463903266204</v>
      </c>
      <c r="I34" s="27">
        <f>IS!I3/AVERAGE(BS!H13:I13)</f>
        <v>0.89492334139847773</v>
      </c>
      <c r="J34" s="27">
        <f>IS!J3/AVERAGE(BS!I13:J13)</f>
        <v>0.85138303139195304</v>
      </c>
      <c r="K34" s="27">
        <f>IS!K3/AVERAGE(BS!J13:K13)</f>
        <v>0.81243346965806396</v>
      </c>
      <c r="L34" s="45"/>
      <c r="M34" s="34" t="s">
        <v>109</v>
      </c>
    </row>
    <row r="35" spans="1:14">
      <c r="A35" s="33" t="s">
        <v>108</v>
      </c>
      <c r="B35" s="27"/>
      <c r="C35" s="27">
        <f>IS!C3/AVERAGE(BS!B4:C4)</f>
        <v>13.737968475573988</v>
      </c>
      <c r="D35" s="27">
        <f>IS!D3/AVERAGE(BS!C4:D4)</f>
        <v>13.769417660267187</v>
      </c>
      <c r="E35" s="27">
        <f>IS!E3/AVERAGE(BS!D4:E4)</f>
        <v>13.944754670291452</v>
      </c>
      <c r="F35" s="27">
        <f>IS!F3/AVERAGE(BS!E4:F4)</f>
        <v>15.071299163139065</v>
      </c>
      <c r="G35" s="27">
        <f>IS!G3/AVERAGE(BS!F4:G4)</f>
        <v>14.975209593931254</v>
      </c>
      <c r="H35" s="27">
        <f>IS!H3/AVERAGE(BS!G4:H4)</f>
        <v>14.596853771417679</v>
      </c>
      <c r="I35" s="27">
        <f>IS!I3/AVERAGE(BS!H4:I4)</f>
        <v>14.532639360778091</v>
      </c>
      <c r="J35" s="27">
        <f>IS!J3/AVERAGE(BS!I4:J4)</f>
        <v>14.524260471541409</v>
      </c>
      <c r="K35" s="27">
        <f>IS!K3/AVERAGE(BS!J4:K4)</f>
        <v>14.524556335720233</v>
      </c>
      <c r="L35" s="45"/>
      <c r="M35" s="34" t="s">
        <v>107</v>
      </c>
    </row>
    <row r="36" spans="1:14">
      <c r="A36" s="33" t="s">
        <v>106</v>
      </c>
      <c r="B36" s="27"/>
      <c r="C36" s="27">
        <f>IS!C4/AVERAGE(BS!B5:C5)</f>
        <v>5.4542743402098584</v>
      </c>
      <c r="D36" s="27">
        <f>IS!D4/AVERAGE(BS!C5:D5)</f>
        <v>4.9997808321410231</v>
      </c>
      <c r="E36" s="27">
        <f>IS!E4/AVERAGE(BS!D5:E5)</f>
        <v>5.0419353946652823</v>
      </c>
      <c r="F36" s="27">
        <f>IS!F4/AVERAGE(BS!E5:F5)</f>
        <v>5.4778190532144722</v>
      </c>
      <c r="G36" s="27">
        <f>IS!G4/AVERAGE(BS!F5:G5)</f>
        <v>5.1653013399852865</v>
      </c>
      <c r="H36" s="27">
        <f>IS!H4/AVERAGE(BS!G5:H5)</f>
        <v>5.0864857421444087</v>
      </c>
      <c r="I36" s="27">
        <f>IS!I4/AVERAGE(BS!H5:I5)</f>
        <v>5.0638043321196848</v>
      </c>
      <c r="J36" s="27">
        <f>IS!J4/AVERAGE(BS!I5:J5)</f>
        <v>5.060664740354424</v>
      </c>
      <c r="K36" s="27">
        <f>IS!K4/AVERAGE(BS!J5:K5)</f>
        <v>5.0835947175020815</v>
      </c>
      <c r="L36" s="45"/>
      <c r="M36" s="34" t="s">
        <v>105</v>
      </c>
    </row>
    <row r="37" spans="1:14">
      <c r="A37" s="33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45"/>
      <c r="M37" s="34"/>
    </row>
    <row r="38" spans="1:14">
      <c r="A38" s="33" t="s">
        <v>104</v>
      </c>
      <c r="B38" s="27"/>
      <c r="C38" s="27">
        <f t="shared" ref="C38:F39" si="0">365/C35</f>
        <v>26.568702690573751</v>
      </c>
      <c r="D38" s="27">
        <f t="shared" si="0"/>
        <v>26.508020092471899</v>
      </c>
      <c r="E38" s="27">
        <f t="shared" si="0"/>
        <v>26.174716488746324</v>
      </c>
      <c r="F38" s="27">
        <f t="shared" si="0"/>
        <v>24.218217424328365</v>
      </c>
      <c r="G38" s="27">
        <f t="shared" ref="G38:K38" si="1">365/G35</f>
        <v>24.373615454966139</v>
      </c>
      <c r="H38" s="27">
        <f t="shared" si="1"/>
        <v>25.00538853891323</v>
      </c>
      <c r="I38" s="27">
        <f t="shared" si="1"/>
        <v>25.11587819244264</v>
      </c>
      <c r="J38" s="27">
        <f t="shared" si="1"/>
        <v>25.130367271722704</v>
      </c>
      <c r="K38" s="27">
        <f t="shared" si="1"/>
        <v>25.129855367929945</v>
      </c>
      <c r="L38" s="45"/>
      <c r="M38" s="32" t="s">
        <v>103</v>
      </c>
      <c r="N38" s="28"/>
    </row>
    <row r="39" spans="1:14" ht="13" thickBot="1">
      <c r="A39" s="31" t="s">
        <v>102</v>
      </c>
      <c r="B39" s="30"/>
      <c r="C39" s="30">
        <f t="shared" si="0"/>
        <v>66.919992877724638</v>
      </c>
      <c r="D39" s="30">
        <f t="shared" si="0"/>
        <v>73.003199991008103</v>
      </c>
      <c r="E39" s="30">
        <f t="shared" si="0"/>
        <v>72.392835573854313</v>
      </c>
      <c r="F39" s="30">
        <f t="shared" si="0"/>
        <v>66.632357961114494</v>
      </c>
      <c r="G39" s="30">
        <f t="shared" ref="G39:K39" si="2">365/G36</f>
        <v>70.663834687530482</v>
      </c>
      <c r="H39" s="30">
        <f t="shared" si="2"/>
        <v>71.758777769839938</v>
      </c>
      <c r="I39" s="30">
        <f t="shared" si="2"/>
        <v>72.080194269120327</v>
      </c>
      <c r="J39" s="30">
        <f t="shared" si="2"/>
        <v>72.124912185832173</v>
      </c>
      <c r="K39" s="30">
        <f t="shared" si="2"/>
        <v>71.799586765514135</v>
      </c>
      <c r="L39" s="60"/>
      <c r="M39" s="29" t="s">
        <v>101</v>
      </c>
      <c r="N39" s="28"/>
    </row>
    <row r="40" spans="1:14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1" spans="1:14"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</row>
    <row r="42" spans="1:14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</row>
    <row r="59" spans="2:3" ht="14.35">
      <c r="B59" s="26"/>
      <c r="C59" s="26"/>
    </row>
    <row r="115" spans="2:2" ht="14.35">
      <c r="B115" s="26"/>
    </row>
  </sheetData>
  <pageMargins left="0.28999999999999998" right="0.25" top="0.75" bottom="1" header="0.5" footer="0.5"/>
  <pageSetup scale="82" orientation="landscape"/>
  <headerFooter alignWithMargins="0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73FA28A8-C2B9-4246-BD7F-BE84A1DB129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Ratios!B13:K13</xm:f>
              <xm:sqref>L13</xm:sqref>
            </x14:sparkline>
            <x14:sparkline>
              <xm:f>Ratios!B14:K14</xm:f>
              <xm:sqref>L14</xm:sqref>
            </x14:sparkline>
          </x14:sparklines>
        </x14:sparklineGroup>
        <x14:sparklineGroup type="column" displayEmptyCellsAs="gap" xr2:uid="{5CBF1902-4725-104E-AD0B-0629B40FBD5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Ratios!B17:K17</xm:f>
              <xm:sqref>L17</xm:sqref>
            </x14:sparkline>
            <x14:sparkline>
              <xm:f>Ratios!B18:K18</xm:f>
              <xm:sqref>L18</xm:sqref>
            </x14:sparkline>
            <x14:sparkline>
              <xm:f>Ratios!B19:K19</xm:f>
              <xm:sqref>L19</xm:sqref>
            </x14:sparkline>
            <x14:sparkline>
              <xm:f>Ratios!B20:K20</xm:f>
              <xm:sqref>L20</xm:sqref>
            </x14:sparkline>
            <x14:sparkline>
              <xm:f>Ratios!B21:K21</xm:f>
              <xm:sqref>L21</xm:sqref>
            </x14:sparkline>
            <x14:sparkline>
              <xm:f>Ratios!B22:K22</xm:f>
              <xm:sqref>L22</xm:sqref>
            </x14:sparkline>
          </x14:sparklines>
        </x14:sparklineGroup>
        <x14:sparklineGroup type="column" displayEmptyCellsAs="gap" xr2:uid="{DF67FE14-6327-D84F-9C42-251CE572A66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Ratios!B25:F25</xm:f>
              <xm:sqref>L25</xm:sqref>
            </x14:sparkline>
            <x14:sparkline>
              <xm:f>Ratios!B26:F26</xm:f>
              <xm:sqref>L26</xm:sqref>
            </x14:sparkline>
            <x14:sparkline>
              <xm:f>Ratios!B27:F27</xm:f>
              <xm:sqref>L27</xm:sqref>
            </x14:sparkline>
            <x14:sparkline>
              <xm:f>Ratios!B28:F28</xm:f>
              <xm:sqref>L28</xm:sqref>
            </x14:sparkline>
          </x14:sparklines>
        </x14:sparklineGroup>
        <x14:sparklineGroup type="column" displayEmptyCellsAs="gap" xr2:uid="{9B2F29D6-A2BB-AD43-BCEF-9BB32896D0C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Ratios!B31:K31</xm:f>
              <xm:sqref>L31</xm:sqref>
            </x14:sparkline>
          </x14:sparklines>
        </x14:sparklineGroup>
        <x14:sparklineGroup type="column" displayEmptyCellsAs="gap" xr2:uid="{15CFE841-0535-4C45-85C6-27FF5F4BD91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Ratios!B34:K34</xm:f>
              <xm:sqref>L34</xm:sqref>
            </x14:sparkline>
            <x14:sparkline>
              <xm:f>Ratios!B35:K35</xm:f>
              <xm:sqref>L35</xm:sqref>
            </x14:sparkline>
            <x14:sparkline>
              <xm:f>Ratios!B36:K36</xm:f>
              <xm:sqref>L36</xm:sqref>
            </x14:sparkline>
            <x14:sparkline>
              <xm:f>Ratios!B37:K37</xm:f>
              <xm:sqref>L37</xm:sqref>
            </x14:sparkline>
            <x14:sparkline>
              <xm:f>Ratios!B38:K38</xm:f>
              <xm:sqref>L38</xm:sqref>
            </x14:sparkline>
            <x14:sparkline>
              <xm:f>Ratios!B39:K39</xm:f>
              <xm:sqref>L39</xm:sqref>
            </x14:sparkline>
          </x14:sparklines>
        </x14:sparklineGroup>
        <x14:sparklineGroup type="column" displayEmptyCellsAs="gap" xr2:uid="{15469824-2993-6B41-83FD-1D2F24FEF4B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Ratios!B5:K5</xm:f>
              <xm:sqref>L5</xm:sqref>
            </x14:sparkline>
            <x14:sparkline>
              <xm:f>Ratios!B6:K6</xm:f>
              <xm:sqref>L6</xm:sqref>
            </x14:sparkline>
            <x14:sparkline>
              <xm:f>Ratios!B7:K7</xm:f>
              <xm:sqref>L7</xm:sqref>
            </x14:sparkline>
            <x14:sparkline>
              <xm:f>Ratios!B8:K8</xm:f>
              <xm:sqref>L8</xm:sqref>
            </x14:sparkline>
            <x14:sparkline>
              <xm:f>Ratios!B9:K9</xm:f>
              <xm:sqref>L9</xm:sqref>
            </x14:sparkline>
            <x14:sparkline>
              <xm:f>Ratios!B10:K10</xm:f>
              <xm:sqref>L10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Group</vt:lpstr>
      <vt:lpstr>@Risk</vt:lpstr>
      <vt:lpstr>Scenarios</vt:lpstr>
      <vt:lpstr>Ke</vt:lpstr>
      <vt:lpstr>DCF FCFE</vt:lpstr>
      <vt:lpstr>Revenue Model</vt:lpstr>
      <vt:lpstr>IS</vt:lpstr>
      <vt:lpstr>BS</vt:lpstr>
      <vt:lpstr>Derived CF</vt:lpstr>
      <vt:lpstr>Schedules</vt:lpstr>
      <vt:lpstr>Debt</vt:lpstr>
      <vt:lpstr>Historical CF</vt:lpstr>
      <vt:lpstr>Ratios</vt:lpstr>
      <vt:lpstr>Ratios!Print_Area</vt:lpstr>
      <vt:lpstr>Debt!Print_Titles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</cp:lastModifiedBy>
  <dcterms:created xsi:type="dcterms:W3CDTF">2019-02-22T15:15:10Z</dcterms:created>
  <dcterms:modified xsi:type="dcterms:W3CDTF">2023-05-01T16:02:14Z</dcterms:modified>
</cp:coreProperties>
</file>