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mingham/Work/Repositories/pysyndna/"/>
    </mc:Choice>
  </mc:AlternateContent>
  <xr:revisionPtr revIDLastSave="0" documentId="13_ncr:1_{687F4B58-EE97-5E40-B5B9-6B0F51C3F6DB}" xr6:coauthVersionLast="47" xr6:coauthVersionMax="47" xr10:uidLastSave="{00000000-0000-0000-0000-000000000000}"/>
  <bookViews>
    <workbookView xWindow="6520" yWindow="1140" windowWidth="31480" windowHeight="18180" xr2:uid="{E184B90C-6432-8947-B7A0-BE1974B73180}"/>
  </bookViews>
  <sheets>
    <sheet name="full_calcs" sheetId="1" r:id="rId1"/>
    <sheet name="linear regressions" sheetId="2" r:id="rId2"/>
    <sheet name="syndna_saliva_analysis_ex1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2" l="1"/>
  <c r="J99" i="2" s="1"/>
  <c r="G99" i="2"/>
  <c r="H99" i="2" s="1"/>
  <c r="K99" i="2" s="1"/>
  <c r="I98" i="2"/>
  <c r="J98" i="2" s="1"/>
  <c r="G98" i="2"/>
  <c r="H98" i="2" s="1"/>
  <c r="K98" i="2" s="1"/>
  <c r="I97" i="2"/>
  <c r="J97" i="2" s="1"/>
  <c r="G97" i="2"/>
  <c r="H97" i="2" s="1"/>
  <c r="K97" i="2" s="1"/>
  <c r="I96" i="2"/>
  <c r="J96" i="2" s="1"/>
  <c r="G96" i="2"/>
  <c r="H96" i="2" s="1"/>
  <c r="K96" i="2" s="1"/>
  <c r="I95" i="2"/>
  <c r="J95" i="2" s="1"/>
  <c r="G95" i="2"/>
  <c r="H95" i="2" s="1"/>
  <c r="K95" i="2" s="1"/>
  <c r="I94" i="2"/>
  <c r="J94" i="2" s="1"/>
  <c r="G94" i="2"/>
  <c r="H94" i="2" s="1"/>
  <c r="K94" i="2" s="1"/>
  <c r="I93" i="2"/>
  <c r="J93" i="2" s="1"/>
  <c r="G93" i="2"/>
  <c r="H93" i="2" s="1"/>
  <c r="K93" i="2" s="1"/>
  <c r="I92" i="2"/>
  <c r="J92" i="2" s="1"/>
  <c r="G92" i="2"/>
  <c r="H92" i="2" s="1"/>
  <c r="K92" i="2" s="1"/>
  <c r="I91" i="2"/>
  <c r="J91" i="2" s="1"/>
  <c r="G91" i="2"/>
  <c r="H91" i="2" s="1"/>
  <c r="K91" i="2" s="1"/>
  <c r="I90" i="2"/>
  <c r="J90" i="2" s="1"/>
  <c r="G90" i="2"/>
  <c r="H90" i="2" s="1"/>
  <c r="K90" i="2" s="1"/>
  <c r="I89" i="2"/>
  <c r="J89" i="2" s="1"/>
  <c r="G89" i="2"/>
  <c r="H89" i="2" s="1"/>
  <c r="K89" i="2" s="1"/>
  <c r="I88" i="2"/>
  <c r="J88" i="2" s="1"/>
  <c r="G88" i="2"/>
  <c r="H88" i="2" s="1"/>
  <c r="K88" i="2" s="1"/>
  <c r="I87" i="2"/>
  <c r="J87" i="2" s="1"/>
  <c r="G87" i="2"/>
  <c r="H87" i="2" s="1"/>
  <c r="K87" i="2" s="1"/>
  <c r="I86" i="2"/>
  <c r="J86" i="2" s="1"/>
  <c r="G86" i="2"/>
  <c r="H86" i="2" s="1"/>
  <c r="K86" i="2" s="1"/>
  <c r="I85" i="2"/>
  <c r="J85" i="2" s="1"/>
  <c r="G85" i="2"/>
  <c r="H85" i="2" s="1"/>
  <c r="K85" i="2" s="1"/>
  <c r="I84" i="2"/>
  <c r="J84" i="2" s="1"/>
  <c r="G84" i="2"/>
  <c r="H84" i="2" s="1"/>
  <c r="K84" i="2" s="1"/>
  <c r="I83" i="2"/>
  <c r="J83" i="2" s="1"/>
  <c r="G83" i="2"/>
  <c r="H83" i="2" s="1"/>
  <c r="K83" i="2" s="1"/>
  <c r="I82" i="2"/>
  <c r="J82" i="2" s="1"/>
  <c r="G82" i="2"/>
  <c r="H82" i="2" s="1"/>
  <c r="K82" i="2" s="1"/>
  <c r="I30" i="2"/>
  <c r="J30" i="2" s="1"/>
  <c r="G30" i="2"/>
  <c r="H30" i="2" s="1"/>
  <c r="K30" i="2" s="1"/>
  <c r="I20" i="2"/>
  <c r="J20" i="2" s="1"/>
  <c r="G20" i="2"/>
  <c r="H20" i="2" s="1"/>
  <c r="K20" i="2" s="1"/>
  <c r="I35" i="2"/>
  <c r="J35" i="2" s="1"/>
  <c r="I34" i="2"/>
  <c r="J34" i="2" s="1"/>
  <c r="I33" i="2"/>
  <c r="J33" i="2" s="1"/>
  <c r="I32" i="2"/>
  <c r="J32" i="2" s="1"/>
  <c r="I31" i="2"/>
  <c r="J31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19" i="2"/>
  <c r="J19" i="2" s="1"/>
  <c r="I18" i="2"/>
  <c r="J18" i="2" s="1"/>
  <c r="I17" i="2"/>
  <c r="J17" i="2" s="1"/>
  <c r="I16" i="2"/>
  <c r="J16" i="2" s="1"/>
  <c r="G35" i="2"/>
  <c r="H35" i="2" s="1"/>
  <c r="K35" i="2" s="1"/>
  <c r="G34" i="2"/>
  <c r="H34" i="2" s="1"/>
  <c r="K34" i="2" s="1"/>
  <c r="G33" i="2"/>
  <c r="H33" i="2" s="1"/>
  <c r="K33" i="2" s="1"/>
  <c r="G32" i="2"/>
  <c r="H32" i="2" s="1"/>
  <c r="K32" i="2" s="1"/>
  <c r="G31" i="2"/>
  <c r="H31" i="2" s="1"/>
  <c r="K31" i="2" s="1"/>
  <c r="G29" i="2"/>
  <c r="H29" i="2" s="1"/>
  <c r="K29" i="2" s="1"/>
  <c r="G28" i="2"/>
  <c r="H28" i="2" s="1"/>
  <c r="K28" i="2" s="1"/>
  <c r="G27" i="2"/>
  <c r="H27" i="2" s="1"/>
  <c r="K27" i="2" s="1"/>
  <c r="G26" i="2"/>
  <c r="H26" i="2" s="1"/>
  <c r="K26" i="2" s="1"/>
  <c r="G25" i="2"/>
  <c r="H25" i="2" s="1"/>
  <c r="K25" i="2" s="1"/>
  <c r="G24" i="2"/>
  <c r="H24" i="2" s="1"/>
  <c r="K24" i="2" s="1"/>
  <c r="G23" i="2"/>
  <c r="H23" i="2" s="1"/>
  <c r="K23" i="2" s="1"/>
  <c r="G22" i="2"/>
  <c r="H22" i="2" s="1"/>
  <c r="K22" i="2" s="1"/>
  <c r="G21" i="2"/>
  <c r="H21" i="2" s="1"/>
  <c r="K21" i="2" s="1"/>
  <c r="G19" i="2"/>
  <c r="H19" i="2" s="1"/>
  <c r="K19" i="2" s="1"/>
  <c r="G18" i="2"/>
  <c r="H18" i="2" s="1"/>
  <c r="K18" i="2" s="1"/>
  <c r="G17" i="2"/>
  <c r="H17" i="2" s="1"/>
  <c r="K17" i="2" s="1"/>
  <c r="G16" i="2"/>
  <c r="H16" i="2" s="1"/>
  <c r="K16" i="2" s="1"/>
  <c r="I71" i="1"/>
  <c r="I65" i="1"/>
  <c r="I59" i="1"/>
  <c r="J71" i="1"/>
  <c r="J65" i="1"/>
  <c r="J59" i="1"/>
  <c r="J51" i="1"/>
  <c r="J45" i="1"/>
  <c r="J39" i="1"/>
  <c r="J30" i="1"/>
  <c r="J33" i="1" s="1"/>
  <c r="J19" i="1"/>
  <c r="J15" i="1"/>
  <c r="J13" i="1"/>
  <c r="J14" i="1" s="1"/>
  <c r="J12" i="1"/>
  <c r="J8" i="1"/>
  <c r="J16" i="1" s="1"/>
  <c r="J17" i="1" s="1"/>
  <c r="J6" i="1"/>
  <c r="H71" i="1"/>
  <c r="H65" i="1"/>
  <c r="H59" i="1"/>
  <c r="I51" i="1"/>
  <c r="I45" i="1"/>
  <c r="H51" i="1"/>
  <c r="H45" i="1"/>
  <c r="G71" i="1"/>
  <c r="G65" i="1"/>
  <c r="G59" i="1"/>
  <c r="G51" i="1"/>
  <c r="G45" i="1"/>
  <c r="G39" i="1"/>
  <c r="I30" i="1"/>
  <c r="I33" i="1" s="1"/>
  <c r="H30" i="1"/>
  <c r="H33" i="1" s="1"/>
  <c r="G30" i="1"/>
  <c r="I39" i="1"/>
  <c r="H39" i="1"/>
  <c r="I19" i="1"/>
  <c r="I15" i="1"/>
  <c r="I13" i="1"/>
  <c r="I14" i="1" s="1"/>
  <c r="I12" i="1"/>
  <c r="I8" i="1"/>
  <c r="I9" i="1" s="1"/>
  <c r="I6" i="1"/>
  <c r="H19" i="1"/>
  <c r="H15" i="1"/>
  <c r="H13" i="1"/>
  <c r="H14" i="1" s="1"/>
  <c r="H12" i="1"/>
  <c r="H8" i="1"/>
  <c r="H9" i="1" s="1"/>
  <c r="H6" i="1"/>
  <c r="J40" i="1" l="1"/>
  <c r="J41" i="1" s="1"/>
  <c r="H46" i="1"/>
  <c r="H47" i="1" s="1"/>
  <c r="J52" i="1"/>
  <c r="J53" i="1" s="1"/>
  <c r="H52" i="1"/>
  <c r="H53" i="1" s="1"/>
  <c r="J60" i="1"/>
  <c r="J61" i="1" s="1"/>
  <c r="I46" i="1"/>
  <c r="I47" i="1" s="1"/>
  <c r="J66" i="1"/>
  <c r="J67" i="1" s="1"/>
  <c r="I52" i="1"/>
  <c r="I53" i="1" s="1"/>
  <c r="J72" i="1"/>
  <c r="J73" i="1" s="1"/>
  <c r="H60" i="1"/>
  <c r="H61" i="1" s="1"/>
  <c r="I60" i="1"/>
  <c r="I61" i="1" s="1"/>
  <c r="I66" i="1"/>
  <c r="I67" i="1" s="1"/>
  <c r="I72" i="1"/>
  <c r="I73" i="1" s="1"/>
  <c r="J21" i="1"/>
  <c r="J20" i="1"/>
  <c r="J46" i="1"/>
  <c r="J47" i="1" s="1"/>
  <c r="J9" i="1"/>
  <c r="H66" i="1"/>
  <c r="H67" i="1" s="1"/>
  <c r="G52" i="1"/>
  <c r="G53" i="1" s="1"/>
  <c r="H72" i="1"/>
  <c r="H73" i="1" s="1"/>
  <c r="G40" i="1"/>
  <c r="I40" i="1"/>
  <c r="I41" i="1" s="1"/>
  <c r="G46" i="1"/>
  <c r="G47" i="1" s="1"/>
  <c r="G60" i="1"/>
  <c r="G61" i="1" s="1"/>
  <c r="G66" i="1"/>
  <c r="G67" i="1" s="1"/>
  <c r="G72" i="1"/>
  <c r="G73" i="1" s="1"/>
  <c r="G41" i="1"/>
  <c r="H40" i="1"/>
  <c r="H41" i="1" s="1"/>
  <c r="I16" i="1"/>
  <c r="I17" i="1" s="1"/>
  <c r="I21" i="1" s="1"/>
  <c r="I27" i="1" s="1"/>
  <c r="I48" i="1" s="1"/>
  <c r="H16" i="1"/>
  <c r="H17" i="1" s="1"/>
  <c r="J23" i="1" l="1"/>
  <c r="I68" i="1"/>
  <c r="I74" i="1"/>
  <c r="I62" i="1"/>
  <c r="J25" i="1"/>
  <c r="J22" i="1"/>
  <c r="J27" i="1"/>
  <c r="I54" i="1"/>
  <c r="I22" i="1"/>
  <c r="I42" i="1"/>
  <c r="I25" i="1"/>
  <c r="I20" i="1"/>
  <c r="I23" i="1" s="1"/>
  <c r="H21" i="1"/>
  <c r="H27" i="1" s="1"/>
  <c r="H20" i="1"/>
  <c r="H23" i="1" l="1"/>
  <c r="J54" i="1"/>
  <c r="J62" i="1"/>
  <c r="J42" i="1"/>
  <c r="J68" i="1"/>
  <c r="J74" i="1"/>
  <c r="J48" i="1"/>
  <c r="H48" i="1"/>
  <c r="H54" i="1"/>
  <c r="H62" i="1"/>
  <c r="H74" i="1"/>
  <c r="H68" i="1"/>
  <c r="H22" i="1"/>
  <c r="H42" i="1"/>
  <c r="H25" i="1"/>
  <c r="G6" i="1"/>
  <c r="G12" i="1"/>
  <c r="G13" i="1"/>
  <c r="G14" i="1" s="1"/>
  <c r="G33" i="1"/>
  <c r="G19" i="1"/>
  <c r="G8" i="1"/>
  <c r="G9" i="1" s="1"/>
  <c r="G15" i="1"/>
  <c r="G16" i="1" l="1"/>
  <c r="G17" i="1" s="1"/>
  <c r="G21" i="1" l="1"/>
  <c r="G20" i="1"/>
  <c r="G23" i="1" l="1"/>
  <c r="G22" i="1"/>
  <c r="G27" i="1"/>
  <c r="G25" i="1"/>
  <c r="G54" i="1" l="1"/>
  <c r="G42" i="1"/>
  <c r="G74" i="1"/>
  <c r="G68" i="1"/>
  <c r="G62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Birmingham, Amanda</author>
  </authors>
  <commentList>
    <comment ref="I19" authorId="0" shapeId="0" xr:uid="{50F599BF-0111-5548-891C-069FC61D6F2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also be 70 if vol_elute_ul is 70?  I don't know if these move in lockstep.</t>
        </r>
      </text>
    </comment>
    <comment ref="E30" authorId="0" shapeId="0" xr:uid="{DB9104BA-2C26-9A40-A56A-F44128EB7A8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Hmm, this actually*isn't* a fixed known, is it?  bc sometimes a sample doesn't have enough gdna ... if its concentration is &lt; 5ng-per-3.4 ul (i.e., 1.47 ng/ul), then you can't get 5 ng of it in the 3.4 ul that you are allowed to move into the normalized plate ...</t>
        </r>
      </text>
    </comment>
    <comment ref="G38" authorId="0" shapeId="0" xr:uid="{AA475370-3B78-D741-A72C-689482C719D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Lactobacillus gasseri
</t>
        </r>
      </text>
    </comment>
    <comment ref="H38" authorId="0" shapeId="0" xr:uid="{A3419703-6246-A14D-9FC6-A4BC4A33CFE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Lactobacillus gasseri</t>
        </r>
      </text>
    </comment>
    <comment ref="I38" authorId="0" shapeId="0" xr:uid="{7F9AE615-13EF-8D40-9662-2AD544054A9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J38" authorId="0" shapeId="0" xr:uid="{96C49864-C4AE-4341-8004-501231293ED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Lactobacillus gasseri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39" authorId="0" shapeId="0" xr:uid="{874008C1-BCB6-F14F-BE70-53339D4C231E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Livia gets 263469.8016</t>
        </r>
      </text>
    </comment>
    <comment ref="I39" authorId="0" shapeId="0" xr:uid="{A7E8CE4F-7E3C-E249-BE1D-3FA34F7BACE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263469.8016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44" authorId="0" shapeId="0" xr:uid="{2090EE33-8BCF-0E41-914E-7D6637A9B4B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H44" authorId="0" shapeId="0" xr:uid="{EDB8955D-843A-3244-8439-0DEB2EF67B90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I44" authorId="0" shapeId="0" xr:uid="{0B1483C4-DDB6-9546-99BD-CCCF992FADF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J44" authorId="0" shapeId="0" xr:uid="{B976D1D4-318B-4D41-8AA7-20F9B49B672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G45" authorId="0" shapeId="0" xr:uid="{C5069586-B034-EE43-863C-BB8398D91B1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  <scheme val="minor"/>
          </rPr>
          <t>138550.8742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I45" authorId="0" shapeId="0" xr:uid="{81F3CFC6-0610-BF46-863D-BF0BDFEFECD5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138550.8742
</t>
        </r>
      </text>
    </comment>
    <comment ref="G50" authorId="0" shapeId="0" xr:uid="{D8D6993D-BBE7-E146-8A5F-5F2BEADA073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H50" authorId="0" shapeId="0" xr:uid="{885C51D8-90E1-6649-A5DF-7F623805A48D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I50" authorId="0" shapeId="0" xr:uid="{74D2C221-B1EC-AF4E-9A70-ACEB831797F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J50" authorId="0" shapeId="0" xr:uid="{3EECE223-BE27-504A-9588-71FC037B41A4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G51" authorId="0" shapeId="0" xr:uid="{DB7BA20E-9B5A-F94B-90BE-EBFFDF82A8D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  <scheme val="minor"/>
          </rPr>
          <t>56114.06446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I51" authorId="0" shapeId="0" xr:uid="{38DC108E-B429-F94F-A3CF-3AE64633465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Livia gets </t>
        </r>
        <r>
          <rPr>
            <sz val="10"/>
            <color rgb="FF000000"/>
            <rFont val="Calibri"/>
            <family val="2"/>
          </rPr>
          <t xml:space="preserve">56114.06446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58" authorId="0" shapeId="0" xr:uid="{045B5BF2-F59F-F543-BFA8-38CF034123C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H58" authorId="0" shapeId="0" xr:uid="{9F182E9C-2DC4-934D-8D3D-922B1D1FF6CF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I58" authorId="0" shapeId="0" xr:uid="{FB6FFE58-8E82-C946-A91E-9A63C5F51AB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J58" authorId="0" shapeId="0" xr:uid="{04867C78-F0B1-B846-93E5-CA4DB4591C15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Lactobacillus gasseri
</t>
        </r>
      </text>
    </comment>
    <comment ref="G64" authorId="0" shapeId="0" xr:uid="{D63204C2-3236-6D4B-939B-31CFBD1DC2C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H64" authorId="0" shapeId="0" xr:uid="{55235FD0-FC6E-044E-8BAE-EBE2697353C7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I64" authorId="0" shapeId="0" xr:uid="{99B111DB-056A-864E-B4F5-0685149067A8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J64" authorId="0" shapeId="0" xr:uid="{96746696-0CC3-F749-9404-DF71B1E57929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Ruminococcus albus
</t>
        </r>
      </text>
    </comment>
    <comment ref="G70" authorId="0" shapeId="0" xr:uid="{C7A36AE2-6DE4-9B46-A9AD-91CD5AB13F36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  <comment ref="H70" authorId="0" shapeId="0" xr:uid="{0DF16FD0-6E38-BB47-9CD3-683F56A471E1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Leptolyngbya valderiana
</t>
        </r>
      </text>
    </comment>
    <comment ref="I70" authorId="0" shapeId="0" xr:uid="{E0CC71BB-7DF3-2846-B2B4-5D02F9798812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  <comment ref="J70" authorId="0" shapeId="0" xr:uid="{74691669-EBAD-6641-81AE-5D184F3E0B82}">
      <text>
        <r>
          <rPr>
            <b/>
            <sz val="10"/>
            <color rgb="FF000000"/>
            <rFont val="Tahoma"/>
            <family val="2"/>
          </rPr>
          <t>Birmingham, Amanda: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Leptolyngbya valderiana
</t>
        </r>
      </text>
    </comment>
  </commentList>
</comments>
</file>

<file path=xl/sharedStrings.xml><?xml version="1.0" encoding="utf-8"?>
<sst xmlns="http://schemas.openxmlformats.org/spreadsheetml/2006/main" count="591" uniqueCount="212">
  <si>
    <t>variable name</t>
  </si>
  <si>
    <t>variable type</t>
  </si>
  <si>
    <t>is_real_value</t>
  </si>
  <si>
    <t>stage number</t>
  </si>
  <si>
    <t>stage description</t>
  </si>
  <si>
    <t xml:space="preserve">before sample collection </t>
  </si>
  <si>
    <t>mass_storage_tube_only_g</t>
  </si>
  <si>
    <t>variable_units</t>
  </si>
  <si>
    <t>known</t>
  </si>
  <si>
    <t>g</t>
  </si>
  <si>
    <t>mass_storage_tube_and_storage_liquid_before_sample_g</t>
  </si>
  <si>
    <t>density_storage_liquid_g_ml</t>
  </si>
  <si>
    <t>g/ml</t>
  </si>
  <si>
    <t>calculated</t>
  </si>
  <si>
    <t>after sample collection</t>
  </si>
  <si>
    <t>mass_storage_tube_and_storage_liquid_after_sample_g</t>
  </si>
  <si>
    <t>note</t>
  </si>
  <si>
    <t>definition says this includes sample weight</t>
  </si>
  <si>
    <t>measured</t>
  </si>
  <si>
    <t>density_sample_g_ml</t>
  </si>
  <si>
    <t>i.e. density of poop, from Brown et al 1996</t>
  </si>
  <si>
    <t>calc_vol_storage_liquid_only_ml</t>
  </si>
  <si>
    <t>ml</t>
  </si>
  <si>
    <t>formula description</t>
  </si>
  <si>
    <t>calc_vol_sample_in_storage_tube_ml</t>
  </si>
  <si>
    <t>definition says this is the volume of the sample only</t>
  </si>
  <si>
    <t>mass of sample only/density of sample = (mass_storage_tube_and_storage_liquid_after_sample_g - mass_storage_tube_and_storage_liquid_before_sample_g)/density_sample_g_ml</t>
  </si>
  <si>
    <t>calc_vol_homogenate_in_storage_tube_ml</t>
  </si>
  <si>
    <t>after homogenization</t>
  </si>
  <si>
    <t>calc_vol_storage_liquid_only_ml + calc_vol_sample_in_storage_tube_ml</t>
  </si>
  <si>
    <t>calc_density_homogenate_g_ml</t>
  </si>
  <si>
    <t>mass of homogenate/ volume of homogenate = (mass_storage_tube_and_storage_liquid_after_sample_g - mass_storage_tube_only_g)/calc_vol_homogenate_in_storage_tube_ml</t>
  </si>
  <si>
    <t>after aliquotting</t>
  </si>
  <si>
    <t>vol_homogenate_aliquot_input_ml</t>
  </si>
  <si>
    <t>vol_homogenate_aliquot_input_ul</t>
  </si>
  <si>
    <t>ul</t>
  </si>
  <si>
    <t>calc_mass_sample_aliquot_input_g</t>
  </si>
  <si>
    <t>[(vol_homogenate_aliquot_input_ml*density_sample_g_ml*density_storage_liquid_g_ml) - (vol_homogenate_aliquot_input_ml*density_sample_g_ml*calc_density_homogenate_g_ml)]/(density_storage_liquid_g_ml-density_sample_g_ml)</t>
  </si>
  <si>
    <t>mass of storage liquid/density of storage liquid = (mass_storage_tube_and_storage_liquid_before_sample_g - mass_storage_tube_only_g)/density_storage_liquid_g_ml</t>
  </si>
  <si>
    <t>vol_elute_ul</t>
  </si>
  <si>
    <t>after extraction into 96-well plate</t>
  </si>
  <si>
    <t>after quantitation</t>
  </si>
  <si>
    <t>ng/ul</t>
  </si>
  <si>
    <t>ASK MacKenzie: need a realistic value</t>
  </si>
  <si>
    <t>ng</t>
  </si>
  <si>
    <t>density_sample_in_elute_ng_ul</t>
  </si>
  <si>
    <t>NA</t>
  </si>
  <si>
    <t>calc_gdna_mass_to_sample_mass_ratio</t>
  </si>
  <si>
    <t>after input normalization</t>
  </si>
  <si>
    <t>density_syndna_pool_ng_ul</t>
  </si>
  <si>
    <t>NB: value is specific to pool 1</t>
  </si>
  <si>
    <t>after syndna addition</t>
  </si>
  <si>
    <t>vol_max_normalized_ul</t>
  </si>
  <si>
    <t>mass_target_normalized_gdna_ng</t>
  </si>
  <si>
    <t>calc_mass_normalized_gdna_ng</t>
  </si>
  <si>
    <t>calc_mass_syndna_pool_ng</t>
  </si>
  <si>
    <t>calc_mass_normalized_gdna_ng / 20</t>
  </si>
  <si>
    <t>syndna_pool_number</t>
  </si>
  <si>
    <t>density_gdna_at_quantitation_ng_ul</t>
  </si>
  <si>
    <t>needed for pysyndna calc</t>
  </si>
  <si>
    <t>calc_mass_sample_aliquot_input_mg</t>
  </si>
  <si>
    <t>calc_mass_sample_aliquot_input_g * 1000 ng/g</t>
  </si>
  <si>
    <t>calc_mass_storage_liquid_only_g</t>
  </si>
  <si>
    <t>calc_vol_storage_liquid_only_ml * density_storage_liquid_g_ml</t>
  </si>
  <si>
    <t>calc_mass_sample_in_storage_tube_g</t>
  </si>
  <si>
    <t>calc_mass_sample_in_storage_tube_g - mass_storage_tube_and_storage_liquid_before_sample_g</t>
  </si>
  <si>
    <t>calc_mass_sample_in_storage_tube_mg</t>
  </si>
  <si>
    <t>mg</t>
  </si>
  <si>
    <t>calc_mass_sample_in_storage_tube_g * 1000 mg/g</t>
  </si>
  <si>
    <t>calc_mass_homogenate_aliquot_input_g</t>
  </si>
  <si>
    <t>calc_density_homogenate_g_ml * vol_homogenate_aliquot_input_ml</t>
  </si>
  <si>
    <t>calc_mass_storage_liquid_aliquot_input_g</t>
  </si>
  <si>
    <t>calc_mass_homogenate_aliquot_input_g - calc_mass_sample_aliquot_input_g</t>
  </si>
  <si>
    <t>mass_storage_tube_and_storage_liquid_after_sample_mg</t>
  </si>
  <si>
    <t>mass_storage_tube_and_storage_liquid_after_sample_g * 1000 mg/g</t>
  </si>
  <si>
    <t>mass_storage_tube_and_storage_liquid_before_sample_mg</t>
  </si>
  <si>
    <t>mass_storage_tube_and_storage_liquid_before_sample_g * 1000 mg/g</t>
  </si>
  <si>
    <t>calculated??</t>
  </si>
  <si>
    <t>example1</t>
  </si>
  <si>
    <t>example2</t>
  </si>
  <si>
    <t>(calc_mass_sample_aliquot_input_g * 10^9 ng/g)/vol_elute_ul</t>
  </si>
  <si>
    <t>g of gdna/g of sample</t>
  </si>
  <si>
    <t>after sequencing</t>
  </si>
  <si>
    <t>ogu_gdna_mass_ng</t>
  </si>
  <si>
    <t>bp</t>
  </si>
  <si>
    <t>ogu_len_in_bp</t>
  </si>
  <si>
    <t>ogu_cells_in_sample</t>
  </si>
  <si>
    <t>cells/sample</t>
  </si>
  <si>
    <t>avogadros_num</t>
  </si>
  <si>
    <t>particles/mol</t>
  </si>
  <si>
    <t>note this is a truncated avogadro's number to match Livia's paper</t>
  </si>
  <si>
    <t>bp_g_per_mol</t>
  </si>
  <si>
    <t>Livia gets 263469.8016. this is a value for one specific OGU (Lactobacillus gasseri); there are of course others</t>
  </si>
  <si>
    <t>g/mol * bp</t>
  </si>
  <si>
    <t>(ogu_gdna_mass_ng * avogadros_num)/(ogu_len_in_bp * bp_g_per_mol * 10^9 ng/g)</t>
  </si>
  <si>
    <t>ogu_cells_per_ng_gdna</t>
  </si>
  <si>
    <t>cells/ng of gdna</t>
  </si>
  <si>
    <t>ogu_cells_in_sample/calc_mass_normalized_gdna_ng</t>
  </si>
  <si>
    <t>ogu_cells_per_g_gdna</t>
  </si>
  <si>
    <t>cells/g of gdna</t>
  </si>
  <si>
    <t>ogu_cells_per_ng_gdna * 10^9 ng/g</t>
  </si>
  <si>
    <t>ogu_cells_per_g_of_sample</t>
  </si>
  <si>
    <t>cells/g of sample material</t>
  </si>
  <si>
    <t>ogu_cells_per_g_gdna * calc_gdna_mass_to_sample_mass_ratio</t>
  </si>
  <si>
    <t>this is a value for one specific OGU</t>
  </si>
  <si>
    <t>mass_target_normalized_gdna_ng if density_gdna_at_quantitation_ng_ul(which is the density of gdna in the elute) &gt;= mass_target_normalized_gdna_ng/vol_max_normalized_ul else density_gdna_at_quantitation_ng_ul*vol_max_normalized_ul</t>
  </si>
  <si>
    <t>(density_gdna_at_quantitation_ng_ul * vol_elute_ul/ calc_mass_sample_aliquot_input_g) * (1/10^9 ng/g)</t>
  </si>
  <si>
    <t>p126</t>
  </si>
  <si>
    <t>A</t>
  </si>
  <si>
    <t>p136</t>
  </si>
  <si>
    <t>p146</t>
  </si>
  <si>
    <t>p156</t>
  </si>
  <si>
    <t>p226</t>
  </si>
  <si>
    <t>p236</t>
  </si>
  <si>
    <t>p246</t>
  </si>
  <si>
    <t>p256</t>
  </si>
  <si>
    <t>p266</t>
  </si>
  <si>
    <t>B</t>
  </si>
  <si>
    <t>syndna_id</t>
  </si>
  <si>
    <t>sample_name</t>
  </si>
  <si>
    <t>read_count</t>
  </si>
  <si>
    <t>raw_reads_r1r2</t>
  </si>
  <si>
    <t>mass_syndna_input_ng</t>
  </si>
  <si>
    <t>syndna_indiv_ng_ul</t>
  </si>
  <si>
    <t>syndna_fraction_of_pool</t>
  </si>
  <si>
    <t>syndna_ng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</si>
  <si>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</si>
  <si>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</si>
  <si>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</si>
  <si>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</si>
  <si>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</si>
  <si>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</si>
  <si>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</si>
  <si>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</si>
  <si>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</si>
  <si>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</si>
  <si>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</si>
  <si>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</si>
  <si>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</si>
  <si>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</si>
  <si>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</si>
  <si>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</si>
  <si>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</si>
  <si>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</si>
  <si>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</si>
  <si>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</si>
  <si>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</si>
  <si>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</si>
  <si>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</si>
  <si>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</si>
  <si>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CPM</t>
  </si>
  <si>
    <t>log10_CPM</t>
  </si>
  <si>
    <t>log10_syndna_ng</t>
  </si>
  <si>
    <t>p166</t>
  </si>
  <si>
    <t>Although not all the info below is actually per-sample (e.g. the various "known" values), the intention is that all these values be provided individually for *each* sample</t>
  </si>
  <si>
    <t>full data</t>
  </si>
  <si>
    <t>and "A1_pool2_S22_L001_R1_001.fastq_output_forward_paired.fq.sam.bam.f13_r1.fq_synDNA"</t>
  </si>
  <si>
    <t>The below read count values for A and B come from the "A1_pool1_S21_L001_R1_001.fastq_output_forward_paired.fq.sam.bam.f13_r1.fq_synDNA"</t>
  </si>
  <si>
    <t>columns, respectively, of https://github.com/lzaramela/SynDNA/blob/main/data/synDNA_Fwd_Rev_sam.biom.tsv ,</t>
  </si>
  <si>
    <t>while the syndna ids are inferred from the contents of the "OTUID" column pf that file and a knowledge of the Zaramela naming scheme.</t>
  </si>
  <si>
    <t>come from the "TotalReads" column of https://github.com/lzaramela/SynDNA/blob/main/data/synDNA_metadata_updated.tsv</t>
  </si>
  <si>
    <t xml:space="preserve">The raw_reads_r1r2 values for A and B </t>
  </si>
  <si>
    <t>The mass_syndna_input_ng values are plausible values for our experimental system.</t>
  </si>
  <si>
    <t>The syndna_indiv_ng_ul values come from the</t>
  </si>
  <si>
    <t>table in Fig. 1A of https://www.ncbi.nlm.nih.gov/pmc/articles/PMC9765022/ .</t>
  </si>
  <si>
    <t>The remaining values are calculated here, as shown in the spreadsheet formulas.</t>
  </si>
  <si>
    <t>X Variable 1</t>
  </si>
  <si>
    <t>sample A regression for full data</t>
  </si>
  <si>
    <t>sample B regression for full data</t>
  </si>
  <si>
    <t>A1_pool1_Fwd</t>
  </si>
  <si>
    <t>known from adding up concentrations of all the indiv syndnas in pool1</t>
  </si>
  <si>
    <t>data having syndnas with &lt;200 total reads across all samples removed</t>
  </si>
  <si>
    <t>sample A regression for data without syndnas having &lt;200 total reads across all samples removed</t>
  </si>
  <si>
    <t>sample B regression for data without syndnas having &lt;200 total reads across all samples removed</t>
  </si>
  <si>
    <t>for the record with "ID" of "A1_pool1_Fwd" and "C1_pool1_Fwd".  Note that this means that sample A is essentially identical to Zaramela's first sample,</t>
  </si>
  <si>
    <t>while sample B is a made-up chimera composed of reads for "A1_pool_Rev" but the total read count from "C1_pool1_Fwd".</t>
  </si>
  <si>
    <t xml:space="preserve">values from test_calc_counts.py TestCalcCellCounts.test__calc_long_format_ogu_cell_counts_df; values for example1 (which uses data from Zaramela's "A1_pool_Fwd" sample) match the values from the Zaramela </t>
  </si>
  <si>
    <t>example3 (same as example1 except for lower vol_elute_ul and higher density_gdna_at_quantitation_ng_ul)</t>
  </si>
  <si>
    <t>example4 (same as example 2 with 70 uL elute vol)</t>
  </si>
  <si>
    <t>SampleID</t>
  </si>
  <si>
    <t>AlignedReads</t>
  </si>
  <si>
    <t>Species</t>
  </si>
  <si>
    <t>RawCounts</t>
  </si>
  <si>
    <t>GenomeLenght</t>
  </si>
  <si>
    <t>TotalReads</t>
  </si>
  <si>
    <t>Cov</t>
  </si>
  <si>
    <t>Relab</t>
  </si>
  <si>
    <t>Norm</t>
  </si>
  <si>
    <t>reads2weigth</t>
  </si>
  <si>
    <t>CellNumber</t>
  </si>
  <si>
    <t>Predicted</t>
  </si>
  <si>
    <t>FC_cells_per_ul_r1</t>
  </si>
  <si>
    <t>CellFlow</t>
  </si>
  <si>
    <t>PercFlow</t>
  </si>
  <si>
    <t>Prevotella sp. oral taxon 299</t>
  </si>
  <si>
    <t>Lactobacillus gasseri</t>
  </si>
  <si>
    <t>Ruminococcus albus</t>
  </si>
  <si>
    <t>Escherichia coli</t>
  </si>
  <si>
    <t>Tyzzerella nexilis</t>
  </si>
  <si>
    <t>Streptococcus mitis</t>
  </si>
  <si>
    <t>Leptolyngbya valderiana</t>
  </si>
  <si>
    <t>Neisseria subflava</t>
  </si>
  <si>
    <t>Neisseria flavescens</t>
  </si>
  <si>
    <t>Fusobacterium periodonticum</t>
  </si>
  <si>
    <t>Streptococcus pneumoniae</t>
  </si>
  <si>
    <t>Haemophilus influenzae</t>
  </si>
  <si>
    <t>Veillonella dispar</t>
  </si>
  <si>
    <t>https://github.com/lzaramela/SynDNA/blob/main/SynDNA_saliva_samples_analysis.ipynb</t>
  </si>
  <si>
    <t>These values are taken from cell directly under the</t>
  </si>
  <si>
    <t>header "Applying the linear models to sequencing data" of the</t>
  </si>
  <si>
    <t>notebook by capturing the value of the dataframe when i=1, with an</t>
  </si>
  <si>
    <t>added column holding the "reads2weigth" [sic]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</si>
</sst>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E+00"/>
    <numFmt numFmtId="166" formatCode="0.000E+00"/>
    <numFmt numFmtId="167" formatCode="0.0000000000E+00"/>
    <numFmt numFmtId="168" formatCode="0.000000000000000E+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quotePrefix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3" borderId="1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1" fillId="3" borderId="0" xfId="0" applyFont="1" applyFill="1"/>
    <xf numFmtId="0" fontId="0" fillId="3" borderId="3" xfId="0" applyFill="1" applyBorder="1"/>
    <xf numFmtId="0" fontId="0" fillId="3" borderId="5" xfId="0" applyFill="1" applyBorder="1"/>
    <xf numFmtId="165" fontId="0" fillId="2" borderId="0" xfId="0" applyNumberFormat="1" applyFill="1"/>
    <xf numFmtId="166" fontId="0" fillId="0" borderId="0" xfId="0" applyNumberFormat="1"/>
    <xf numFmtId="168" fontId="0" fillId="0" borderId="0" xfId="0" applyNumberFormat="1"/>
    <xf numFmtId="168" fontId="0" fillId="0" borderId="5" xfId="0" applyNumberFormat="1" applyBorder="1"/>
    <xf numFmtId="167" fontId="0" fillId="0" borderId="0" xfId="0" applyNumberFormat="1"/>
    <xf numFmtId="0" fontId="0" fillId="0" borderId="9" xfId="0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Continuous"/>
    </xf>
    <xf numFmtId="168" fontId="0" fillId="3" borderId="0" xfId="0" applyNumberFormat="1" applyFill="1"/>
    <xf numFmtId="0" fontId="0" fillId="4" borderId="0" xfId="0" applyFill="1"/>
    <xf numFmtId="0" fontId="0" fillId="5" borderId="0" xfId="0" applyFill="1"/>
    <xf numFmtId="1" fontId="0" fillId="0" borderId="7" xfId="0" applyNumberFormat="1" applyBorder="1"/>
    <xf numFmtId="1" fontId="0" fillId="0" borderId="8" xfId="0" applyNumberFormat="1" applyBorder="1"/>
    <xf numFmtId="1" fontId="0" fillId="3" borderId="7" xfId="0" applyNumberFormat="1" applyFill="1" applyBorder="1"/>
    <xf numFmtId="1" fontId="0" fillId="3" borderId="0" xfId="0" applyNumberFormat="1" applyFill="1"/>
    <xf numFmtId="1" fontId="0" fillId="3" borderId="8" xfId="0" applyNumberFormat="1" applyFill="1" applyBorder="1"/>
    <xf numFmtId="168" fontId="0" fillId="3" borderId="5" xfId="0" applyNumberFormat="1" applyFill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zaramela/SynDNA/blob/main/SynDNA_saliva_samples_analysis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FB9F-0C2A-0F43-B368-C0466A3B1D76}">
  <dimension ref="A1:M76"/>
  <sheetViews>
    <sheetView tabSelected="1" workbookViewId="0">
      <pane ySplit="2" topLeftCell="A3" activePane="bottomLeft" state="frozen"/>
      <selection pane="bottomLeft" activeCell="G27" sqref="G27"/>
    </sheetView>
  </sheetViews>
  <sheetFormatPr baseColWidth="10" defaultRowHeight="16" x14ac:dyDescent="0.2"/>
  <cols>
    <col min="1" max="1" width="12.5" bestFit="1" customWidth="1"/>
    <col min="2" max="2" width="22.1640625" bestFit="1" customWidth="1"/>
    <col min="3" max="3" width="22.1640625" customWidth="1"/>
    <col min="4" max="4" width="50.5" bestFit="1" customWidth="1"/>
    <col min="5" max="5" width="11.6640625" bestFit="1" customWidth="1"/>
    <col min="6" max="6" width="12.6640625" bestFit="1" customWidth="1"/>
    <col min="7" max="9" width="22" customWidth="1"/>
    <col min="10" max="10" width="22" bestFit="1" customWidth="1"/>
    <col min="12" max="12" width="64.5" customWidth="1"/>
  </cols>
  <sheetData>
    <row r="1" spans="1:13" x14ac:dyDescent="0.2">
      <c r="A1" t="s">
        <v>154</v>
      </c>
    </row>
    <row r="3" spans="1:13" x14ac:dyDescent="0.2">
      <c r="A3" t="s">
        <v>3</v>
      </c>
      <c r="B3" t="s">
        <v>4</v>
      </c>
      <c r="C3" t="s">
        <v>59</v>
      </c>
      <c r="D3" t="s">
        <v>0</v>
      </c>
      <c r="E3" t="s">
        <v>1</v>
      </c>
      <c r="F3" t="s">
        <v>7</v>
      </c>
      <c r="G3" t="s">
        <v>78</v>
      </c>
      <c r="H3" t="s">
        <v>79</v>
      </c>
      <c r="I3" t="s">
        <v>177</v>
      </c>
      <c r="J3" t="s">
        <v>178</v>
      </c>
      <c r="K3" t="s">
        <v>2</v>
      </c>
      <c r="L3" t="s">
        <v>23</v>
      </c>
      <c r="M3" t="s">
        <v>16</v>
      </c>
    </row>
    <row r="4" spans="1:13" x14ac:dyDescent="0.2">
      <c r="A4">
        <v>1</v>
      </c>
      <c r="B4" t="s">
        <v>5</v>
      </c>
      <c r="C4" t="b">
        <v>1</v>
      </c>
      <c r="D4" t="s">
        <v>6</v>
      </c>
      <c r="E4" t="s">
        <v>8</v>
      </c>
      <c r="F4" t="s">
        <v>9</v>
      </c>
      <c r="G4">
        <v>7</v>
      </c>
      <c r="H4">
        <v>7.18</v>
      </c>
      <c r="I4">
        <v>7</v>
      </c>
      <c r="J4">
        <v>7.18</v>
      </c>
      <c r="K4" t="b">
        <v>0</v>
      </c>
    </row>
    <row r="5" spans="1:13" x14ac:dyDescent="0.2">
      <c r="A5">
        <v>1</v>
      </c>
      <c r="B5" t="s">
        <v>5</v>
      </c>
      <c r="C5" t="b">
        <v>1</v>
      </c>
      <c r="D5" t="s">
        <v>10</v>
      </c>
      <c r="E5" t="s">
        <v>8</v>
      </c>
      <c r="F5" t="s">
        <v>9</v>
      </c>
      <c r="G5">
        <v>17.041599999999999</v>
      </c>
      <c r="H5">
        <v>16.899999999999999</v>
      </c>
      <c r="I5">
        <v>17.041599999999999</v>
      </c>
      <c r="J5">
        <v>16.899999999999999</v>
      </c>
      <c r="K5" t="b">
        <v>0</v>
      </c>
    </row>
    <row r="6" spans="1:13" x14ac:dyDescent="0.2">
      <c r="A6">
        <v>1</v>
      </c>
      <c r="B6" t="s">
        <v>5</v>
      </c>
      <c r="C6" t="b">
        <v>0</v>
      </c>
      <c r="D6" t="s">
        <v>75</v>
      </c>
      <c r="E6" t="s">
        <v>77</v>
      </c>
      <c r="F6" t="s">
        <v>67</v>
      </c>
      <c r="G6">
        <f>G5 *1000</f>
        <v>17041.599999999999</v>
      </c>
      <c r="H6">
        <f>H5 *1000</f>
        <v>16900</v>
      </c>
      <c r="I6">
        <f>I5 *1000</f>
        <v>17041.599999999999</v>
      </c>
      <c r="J6">
        <f>J5 *1000</f>
        <v>16900</v>
      </c>
      <c r="K6" t="b">
        <v>0</v>
      </c>
      <c r="L6" t="s">
        <v>76</v>
      </c>
    </row>
    <row r="7" spans="1:13" x14ac:dyDescent="0.2">
      <c r="A7">
        <v>1</v>
      </c>
      <c r="B7" t="s">
        <v>5</v>
      </c>
      <c r="C7" t="b">
        <v>1</v>
      </c>
      <c r="D7" t="s">
        <v>11</v>
      </c>
      <c r="E7" t="s">
        <v>8</v>
      </c>
      <c r="F7" t="s">
        <v>12</v>
      </c>
      <c r="G7">
        <v>1.1027</v>
      </c>
      <c r="H7">
        <v>1.1100000000000001</v>
      </c>
      <c r="I7">
        <v>1.1027</v>
      </c>
      <c r="J7">
        <v>1.1100000000000001</v>
      </c>
      <c r="K7" t="b">
        <v>0</v>
      </c>
    </row>
    <row r="8" spans="1:13" x14ac:dyDescent="0.2">
      <c r="A8">
        <v>1</v>
      </c>
      <c r="B8" t="s">
        <v>5</v>
      </c>
      <c r="C8" t="b">
        <v>1</v>
      </c>
      <c r="D8" t="s">
        <v>21</v>
      </c>
      <c r="E8" t="s">
        <v>13</v>
      </c>
      <c r="F8" t="s">
        <v>22</v>
      </c>
      <c r="G8">
        <f>(G5-G4)/G7</f>
        <v>9.1063752607236772</v>
      </c>
      <c r="H8">
        <f>(H5-H4)/H7</f>
        <v>8.7567567567567544</v>
      </c>
      <c r="I8">
        <f>(I5-I4)/I7</f>
        <v>9.1063752607236772</v>
      </c>
      <c r="J8">
        <f>(J5-J4)/J7</f>
        <v>8.7567567567567544</v>
      </c>
      <c r="K8" t="b">
        <v>0</v>
      </c>
      <c r="L8" t="s">
        <v>38</v>
      </c>
    </row>
    <row r="9" spans="1:13" x14ac:dyDescent="0.2">
      <c r="A9">
        <v>1</v>
      </c>
      <c r="B9" t="s">
        <v>5</v>
      </c>
      <c r="C9" t="b">
        <v>0</v>
      </c>
      <c r="D9" t="s">
        <v>62</v>
      </c>
      <c r="E9" t="s">
        <v>13</v>
      </c>
      <c r="F9" t="s">
        <v>9</v>
      </c>
      <c r="G9">
        <f>G8*G7</f>
        <v>10.041599999999999</v>
      </c>
      <c r="H9">
        <f>H8*H7</f>
        <v>9.7199999999999989</v>
      </c>
      <c r="I9">
        <f>I8*I7</f>
        <v>10.041599999999999</v>
      </c>
      <c r="J9">
        <f>J8*J7</f>
        <v>9.7199999999999989</v>
      </c>
      <c r="K9" t="b">
        <v>0</v>
      </c>
      <c r="L9" t="s">
        <v>63</v>
      </c>
    </row>
    <row r="10" spans="1:13" x14ac:dyDescent="0.2">
      <c r="A10">
        <v>2</v>
      </c>
      <c r="B10" t="s">
        <v>14</v>
      </c>
      <c r="C10" t="b">
        <v>1</v>
      </c>
      <c r="D10" t="s">
        <v>19</v>
      </c>
      <c r="E10" t="s">
        <v>8</v>
      </c>
      <c r="F10" t="s">
        <v>12</v>
      </c>
      <c r="G10">
        <v>1.06</v>
      </c>
      <c r="H10">
        <v>1.06</v>
      </c>
      <c r="I10">
        <v>1.06</v>
      </c>
      <c r="J10">
        <v>1.06</v>
      </c>
      <c r="K10" t="b">
        <v>0</v>
      </c>
      <c r="M10" t="s">
        <v>20</v>
      </c>
    </row>
    <row r="11" spans="1:13" x14ac:dyDescent="0.2">
      <c r="A11">
        <v>2</v>
      </c>
      <c r="B11" t="s">
        <v>14</v>
      </c>
      <c r="C11" t="b">
        <v>1</v>
      </c>
      <c r="D11" t="s">
        <v>15</v>
      </c>
      <c r="E11" t="s">
        <v>18</v>
      </c>
      <c r="F11" t="s">
        <v>9</v>
      </c>
      <c r="G11">
        <v>20.478000000000002</v>
      </c>
      <c r="H11">
        <v>20.478000000000002</v>
      </c>
      <c r="I11">
        <v>20.478000000000002</v>
      </c>
      <c r="J11">
        <v>20.478000000000002</v>
      </c>
      <c r="K11" t="b">
        <v>0</v>
      </c>
      <c r="M11" t="s">
        <v>17</v>
      </c>
    </row>
    <row r="12" spans="1:13" x14ac:dyDescent="0.2">
      <c r="A12">
        <v>2</v>
      </c>
      <c r="B12" t="s">
        <v>14</v>
      </c>
      <c r="C12" t="b">
        <v>0</v>
      </c>
      <c r="D12" t="s">
        <v>73</v>
      </c>
      <c r="E12" t="s">
        <v>13</v>
      </c>
      <c r="F12" t="s">
        <v>67</v>
      </c>
      <c r="G12">
        <f>G11*1000</f>
        <v>20478</v>
      </c>
      <c r="H12">
        <f>H11*1000</f>
        <v>20478</v>
      </c>
      <c r="I12">
        <f>I11*1000</f>
        <v>20478</v>
      </c>
      <c r="J12">
        <f>J11*1000</f>
        <v>20478</v>
      </c>
      <c r="K12" t="b">
        <v>0</v>
      </c>
      <c r="L12" t="s">
        <v>74</v>
      </c>
    </row>
    <row r="13" spans="1:13" x14ac:dyDescent="0.2">
      <c r="A13">
        <v>2</v>
      </c>
      <c r="B13" t="s">
        <v>14</v>
      </c>
      <c r="C13" t="b">
        <v>0</v>
      </c>
      <c r="D13" t="s">
        <v>64</v>
      </c>
      <c r="E13" t="s">
        <v>13</v>
      </c>
      <c r="F13" t="s">
        <v>9</v>
      </c>
      <c r="G13">
        <f>G11-G5</f>
        <v>3.4364000000000026</v>
      </c>
      <c r="H13">
        <f>H11-H5</f>
        <v>3.578000000000003</v>
      </c>
      <c r="I13">
        <f>I11-I5</f>
        <v>3.4364000000000026</v>
      </c>
      <c r="J13">
        <f>J11-J5</f>
        <v>3.578000000000003</v>
      </c>
      <c r="K13" t="b">
        <v>0</v>
      </c>
      <c r="L13" t="s">
        <v>65</v>
      </c>
    </row>
    <row r="14" spans="1:13" x14ac:dyDescent="0.2">
      <c r="A14">
        <v>2</v>
      </c>
      <c r="B14" t="s">
        <v>14</v>
      </c>
      <c r="C14" t="b">
        <v>0</v>
      </c>
      <c r="D14" t="s">
        <v>66</v>
      </c>
      <c r="E14" t="s">
        <v>13</v>
      </c>
      <c r="F14" t="s">
        <v>67</v>
      </c>
      <c r="G14">
        <f>G13*1000</f>
        <v>3436.4000000000024</v>
      </c>
      <c r="H14">
        <f>H13*1000</f>
        <v>3578.0000000000027</v>
      </c>
      <c r="I14">
        <f>I13*1000</f>
        <v>3436.4000000000024</v>
      </c>
      <c r="J14">
        <f>J13*1000</f>
        <v>3578.0000000000027</v>
      </c>
      <c r="K14" t="b">
        <v>0</v>
      </c>
      <c r="L14" t="s">
        <v>68</v>
      </c>
    </row>
    <row r="15" spans="1:13" x14ac:dyDescent="0.2">
      <c r="A15">
        <v>2</v>
      </c>
      <c r="B15" t="s">
        <v>14</v>
      </c>
      <c r="C15" t="b">
        <v>1</v>
      </c>
      <c r="D15" t="s">
        <v>24</v>
      </c>
      <c r="E15" t="s">
        <v>13</v>
      </c>
      <c r="F15" t="s">
        <v>22</v>
      </c>
      <c r="G15">
        <f>(G11-G5)/G10</f>
        <v>3.2418867924528323</v>
      </c>
      <c r="H15">
        <f>(H11-H5)/H10</f>
        <v>3.37547169811321</v>
      </c>
      <c r="I15">
        <f>(I11-I5)/I10</f>
        <v>3.2418867924528323</v>
      </c>
      <c r="J15">
        <f>(J11-J5)/J10</f>
        <v>3.37547169811321</v>
      </c>
      <c r="K15" t="b">
        <v>0</v>
      </c>
      <c r="L15" t="s">
        <v>26</v>
      </c>
      <c r="M15" t="s">
        <v>25</v>
      </c>
    </row>
    <row r="16" spans="1:13" x14ac:dyDescent="0.2">
      <c r="A16">
        <v>3</v>
      </c>
      <c r="B16" t="s">
        <v>28</v>
      </c>
      <c r="C16" t="b">
        <v>1</v>
      </c>
      <c r="D16" t="s">
        <v>27</v>
      </c>
      <c r="E16" t="s">
        <v>13</v>
      </c>
      <c r="F16" t="s">
        <v>22</v>
      </c>
      <c r="G16">
        <f>G8+G15</f>
        <v>12.348262053176509</v>
      </c>
      <c r="H16">
        <f>H8+H15</f>
        <v>12.132228454869963</v>
      </c>
      <c r="I16">
        <f>I8+I15</f>
        <v>12.348262053176509</v>
      </c>
      <c r="J16">
        <f>J8+J15</f>
        <v>12.132228454869963</v>
      </c>
      <c r="K16" t="b">
        <v>0</v>
      </c>
      <c r="L16" t="s">
        <v>29</v>
      </c>
    </row>
    <row r="17" spans="1:13" x14ac:dyDescent="0.2">
      <c r="A17">
        <v>3</v>
      </c>
      <c r="B17" t="s">
        <v>28</v>
      </c>
      <c r="C17" t="b">
        <v>1</v>
      </c>
      <c r="D17" t="s">
        <v>30</v>
      </c>
      <c r="E17" t="s">
        <v>13</v>
      </c>
      <c r="F17" t="s">
        <v>12</v>
      </c>
      <c r="G17">
        <f>(G11-G4)/G16</f>
        <v>1.0914896316549159</v>
      </c>
      <c r="H17">
        <f>(H11-H4)/H16</f>
        <v>1.0960888223846534</v>
      </c>
      <c r="I17">
        <f>(I11-I4)/I16</f>
        <v>1.0914896316549159</v>
      </c>
      <c r="J17">
        <f>(J11-J4)/J16</f>
        <v>1.0960888223846534</v>
      </c>
      <c r="K17" t="b">
        <v>0</v>
      </c>
      <c r="L17" t="s">
        <v>31</v>
      </c>
    </row>
    <row r="18" spans="1:13" x14ac:dyDescent="0.2">
      <c r="A18">
        <v>4</v>
      </c>
      <c r="B18" t="s">
        <v>32</v>
      </c>
      <c r="C18" t="b">
        <v>1</v>
      </c>
      <c r="D18" t="s">
        <v>33</v>
      </c>
      <c r="E18" t="s">
        <v>8</v>
      </c>
      <c r="F18" t="s">
        <v>22</v>
      </c>
      <c r="G18">
        <v>0.1</v>
      </c>
      <c r="H18">
        <v>0.1</v>
      </c>
      <c r="I18">
        <v>0.1</v>
      </c>
      <c r="J18">
        <v>0.1</v>
      </c>
      <c r="K18" t="b">
        <v>0</v>
      </c>
    </row>
    <row r="19" spans="1:13" x14ac:dyDescent="0.2">
      <c r="A19">
        <v>4</v>
      </c>
      <c r="B19" t="s">
        <v>32</v>
      </c>
      <c r="C19" t="b">
        <v>1</v>
      </c>
      <c r="D19" t="s">
        <v>34</v>
      </c>
      <c r="E19" t="s">
        <v>8</v>
      </c>
      <c r="F19" t="s">
        <v>35</v>
      </c>
      <c r="G19">
        <f>G18*1000</f>
        <v>100</v>
      </c>
      <c r="H19">
        <f>H18*1000</f>
        <v>100</v>
      </c>
      <c r="I19">
        <f>I18*1000</f>
        <v>100</v>
      </c>
      <c r="J19">
        <f>J18*1000</f>
        <v>100</v>
      </c>
      <c r="K19" t="b">
        <v>0</v>
      </c>
    </row>
    <row r="20" spans="1:13" x14ac:dyDescent="0.2">
      <c r="A20">
        <v>4</v>
      </c>
      <c r="B20" t="s">
        <v>32</v>
      </c>
      <c r="C20" t="b">
        <v>0</v>
      </c>
      <c r="D20" t="s">
        <v>69</v>
      </c>
      <c r="E20" t="s">
        <v>13</v>
      </c>
      <c r="F20" t="s">
        <v>9</v>
      </c>
      <c r="G20">
        <f>G17*G18</f>
        <v>0.10914896316549159</v>
      </c>
      <c r="H20">
        <f>H17*H18</f>
        <v>0.10960888223846535</v>
      </c>
      <c r="I20">
        <f>I17*I18</f>
        <v>0.10914896316549159</v>
      </c>
      <c r="J20">
        <f>J17*J18</f>
        <v>0.10960888223846535</v>
      </c>
      <c r="K20" t="b">
        <v>0</v>
      </c>
      <c r="L20" t="s">
        <v>70</v>
      </c>
    </row>
    <row r="21" spans="1:13" x14ac:dyDescent="0.2">
      <c r="A21">
        <v>4</v>
      </c>
      <c r="B21" t="s">
        <v>32</v>
      </c>
      <c r="C21" t="b">
        <v>1</v>
      </c>
      <c r="D21" t="s">
        <v>36</v>
      </c>
      <c r="E21" t="s">
        <v>13</v>
      </c>
      <c r="F21" t="s">
        <v>9</v>
      </c>
      <c r="G21">
        <f>((G18*G10*G7)-(G18*G10*G17))/(G7-G10)</f>
        <v>2.7829017437445314E-2</v>
      </c>
      <c r="H21">
        <f>((H18*H10*H7)-(H18*H10*H17))/(H7-H10)</f>
        <v>2.9491696544534901E-2</v>
      </c>
      <c r="I21">
        <f>((I18*I10*I7)-(I18*I10*I17))/(I7-I10)</f>
        <v>2.7829017437445314E-2</v>
      </c>
      <c r="J21">
        <f>((J18*J10*J7)-(J18*J10*J17))/(J7-J10)</f>
        <v>2.9491696544534901E-2</v>
      </c>
      <c r="K21" t="b">
        <v>0</v>
      </c>
      <c r="L21" t="s">
        <v>37</v>
      </c>
    </row>
    <row r="22" spans="1:13" x14ac:dyDescent="0.2">
      <c r="A22">
        <v>4</v>
      </c>
      <c r="B22" t="s">
        <v>32</v>
      </c>
      <c r="C22" t="b">
        <v>0</v>
      </c>
      <c r="D22" t="s">
        <v>60</v>
      </c>
      <c r="E22" t="s">
        <v>13</v>
      </c>
      <c r="F22" t="s">
        <v>67</v>
      </c>
      <c r="G22">
        <f>G21*1000</f>
        <v>27.829017437445312</v>
      </c>
      <c r="H22">
        <f>H21*1000</f>
        <v>29.4916965445349</v>
      </c>
      <c r="I22">
        <f>I21*1000</f>
        <v>27.829017437445312</v>
      </c>
      <c r="J22">
        <f>J21*1000</f>
        <v>29.4916965445349</v>
      </c>
      <c r="K22" t="b">
        <v>0</v>
      </c>
      <c r="L22" t="s">
        <v>61</v>
      </c>
    </row>
    <row r="23" spans="1:13" x14ac:dyDescent="0.2">
      <c r="A23">
        <v>4</v>
      </c>
      <c r="B23" t="s">
        <v>32</v>
      </c>
      <c r="C23" t="b">
        <v>0</v>
      </c>
      <c r="D23" t="s">
        <v>71</v>
      </c>
      <c r="E23" t="s">
        <v>13</v>
      </c>
      <c r="F23" t="s">
        <v>9</v>
      </c>
      <c r="G23">
        <f>G20-G21</f>
        <v>8.1319945728046281E-2</v>
      </c>
      <c r="H23">
        <f>H20-H21</f>
        <v>8.0117185693930448E-2</v>
      </c>
      <c r="I23">
        <f>I20-I21</f>
        <v>8.1319945728046281E-2</v>
      </c>
      <c r="J23">
        <f>J20-J21</f>
        <v>8.0117185693930448E-2</v>
      </c>
      <c r="K23" t="b">
        <v>0</v>
      </c>
      <c r="L23" t="s">
        <v>72</v>
      </c>
    </row>
    <row r="24" spans="1:13" x14ac:dyDescent="0.2">
      <c r="A24">
        <v>5</v>
      </c>
      <c r="B24" t="s">
        <v>40</v>
      </c>
      <c r="C24" t="b">
        <v>1</v>
      </c>
      <c r="D24" t="s">
        <v>39</v>
      </c>
      <c r="E24" t="s">
        <v>8</v>
      </c>
      <c r="F24" t="s">
        <v>35</v>
      </c>
      <c r="G24">
        <v>100</v>
      </c>
      <c r="H24">
        <v>100</v>
      </c>
      <c r="I24" s="15">
        <v>70</v>
      </c>
      <c r="J24" s="15">
        <v>70</v>
      </c>
      <c r="K24" t="b">
        <v>0</v>
      </c>
      <c r="M24" s="1"/>
    </row>
    <row r="25" spans="1:13" x14ac:dyDescent="0.2">
      <c r="A25">
        <v>5</v>
      </c>
      <c r="B25" t="s">
        <v>40</v>
      </c>
      <c r="C25" t="b">
        <v>1</v>
      </c>
      <c r="D25" t="s">
        <v>45</v>
      </c>
      <c r="E25" t="s">
        <v>13</v>
      </c>
      <c r="F25" t="s">
        <v>42</v>
      </c>
      <c r="G25">
        <f>(G21*10^9)/G24</f>
        <v>278290.17437445314</v>
      </c>
      <c r="H25">
        <f>(H21*10^9)/H24</f>
        <v>294916.96544534899</v>
      </c>
      <c r="I25">
        <f>(I21*10^9)/I24</f>
        <v>397557.39196350449</v>
      </c>
      <c r="J25">
        <f>(J21*10^9)/J24</f>
        <v>421309.95063621283</v>
      </c>
      <c r="K25" t="b">
        <v>0</v>
      </c>
      <c r="L25" t="s">
        <v>80</v>
      </c>
    </row>
    <row r="26" spans="1:13" x14ac:dyDescent="0.2">
      <c r="A26">
        <v>7</v>
      </c>
      <c r="B26" t="s">
        <v>41</v>
      </c>
      <c r="C26" t="b">
        <v>1</v>
      </c>
      <c r="D26" t="s">
        <v>58</v>
      </c>
      <c r="E26" t="s">
        <v>18</v>
      </c>
      <c r="F26" t="s">
        <v>42</v>
      </c>
      <c r="G26">
        <v>2</v>
      </c>
      <c r="H26" s="35">
        <v>1.4</v>
      </c>
      <c r="I26" s="36">
        <v>6</v>
      </c>
      <c r="J26" s="35">
        <v>1.4</v>
      </c>
      <c r="K26" t="b">
        <v>0</v>
      </c>
      <c r="L26" t="s">
        <v>43</v>
      </c>
    </row>
    <row r="27" spans="1:13" x14ac:dyDescent="0.2">
      <c r="A27" s="2">
        <v>7</v>
      </c>
      <c r="B27" s="2" t="s">
        <v>41</v>
      </c>
      <c r="C27" t="b">
        <v>1</v>
      </c>
      <c r="D27" t="s">
        <v>47</v>
      </c>
      <c r="E27" t="s">
        <v>13</v>
      </c>
      <c r="F27" t="s">
        <v>81</v>
      </c>
      <c r="G27" s="30">
        <f>(G26* G24/G21) * (1/(10^9))</f>
        <v>7.186743134196688E-6</v>
      </c>
      <c r="H27" s="30">
        <f t="shared" ref="H27:J27" si="0">(H26* H24/H21) * (1/(10^9))</f>
        <v>4.7470988923471535E-6</v>
      </c>
      <c r="I27" s="30">
        <f t="shared" si="0"/>
        <v>1.5092160581813043E-5</v>
      </c>
      <c r="J27" s="30">
        <f t="shared" si="0"/>
        <v>3.3229692246430076E-6</v>
      </c>
      <c r="K27" t="b">
        <v>0</v>
      </c>
      <c r="L27" t="s">
        <v>106</v>
      </c>
    </row>
    <row r="28" spans="1:13" x14ac:dyDescent="0.2">
      <c r="A28" s="2">
        <v>8</v>
      </c>
      <c r="B28" s="2" t="s">
        <v>48</v>
      </c>
      <c r="C28" t="b">
        <v>1</v>
      </c>
      <c r="D28" t="s">
        <v>52</v>
      </c>
      <c r="E28" t="s">
        <v>8</v>
      </c>
      <c r="F28" t="s">
        <v>35</v>
      </c>
      <c r="G28">
        <v>3.4</v>
      </c>
      <c r="H28">
        <v>3.4</v>
      </c>
      <c r="I28">
        <v>3.4</v>
      </c>
      <c r="J28">
        <v>3.4</v>
      </c>
      <c r="K28" t="b">
        <v>1</v>
      </c>
    </row>
    <row r="29" spans="1:13" x14ac:dyDescent="0.2">
      <c r="A29" s="2">
        <v>8</v>
      </c>
      <c r="B29" s="2" t="s">
        <v>48</v>
      </c>
      <c r="C29" t="b">
        <v>1</v>
      </c>
      <c r="D29" t="s">
        <v>53</v>
      </c>
      <c r="E29" t="s">
        <v>8</v>
      </c>
      <c r="F29" t="s">
        <v>44</v>
      </c>
      <c r="G29">
        <v>5</v>
      </c>
      <c r="H29">
        <v>5</v>
      </c>
      <c r="I29">
        <v>5</v>
      </c>
      <c r="J29">
        <v>5</v>
      </c>
      <c r="K29" t="b">
        <v>1</v>
      </c>
    </row>
    <row r="30" spans="1:13" x14ac:dyDescent="0.2">
      <c r="A30">
        <v>8</v>
      </c>
      <c r="B30" t="s">
        <v>48</v>
      </c>
      <c r="C30" t="b">
        <v>1</v>
      </c>
      <c r="D30" t="s">
        <v>54</v>
      </c>
      <c r="E30" t="s">
        <v>13</v>
      </c>
      <c r="F30" t="s">
        <v>44</v>
      </c>
      <c r="G30">
        <f>IF(G26&gt;=(G29/G28),G29,G26*G28)</f>
        <v>5</v>
      </c>
      <c r="H30">
        <f t="shared" ref="H30:J30" si="1">IF(H26&gt;=(H29/H28),H29,H26*H28)</f>
        <v>4.76</v>
      </c>
      <c r="I30">
        <f t="shared" si="1"/>
        <v>5</v>
      </c>
      <c r="J30">
        <f t="shared" si="1"/>
        <v>4.76</v>
      </c>
      <c r="K30" t="b">
        <v>0</v>
      </c>
      <c r="L30" t="s">
        <v>105</v>
      </c>
    </row>
    <row r="31" spans="1:13" x14ac:dyDescent="0.2">
      <c r="A31" s="2">
        <v>9</v>
      </c>
      <c r="B31" s="2" t="s">
        <v>51</v>
      </c>
      <c r="C31" t="b">
        <v>1</v>
      </c>
      <c r="D31" t="s">
        <v>57</v>
      </c>
      <c r="E31" t="s">
        <v>8</v>
      </c>
      <c r="F31" t="s">
        <v>46</v>
      </c>
      <c r="G31">
        <v>1</v>
      </c>
      <c r="H31">
        <v>1</v>
      </c>
      <c r="I31">
        <v>1</v>
      </c>
      <c r="J31">
        <v>1</v>
      </c>
      <c r="K31" t="b">
        <v>1</v>
      </c>
    </row>
    <row r="32" spans="1:13" x14ac:dyDescent="0.2">
      <c r="A32">
        <v>9</v>
      </c>
      <c r="B32" t="s">
        <v>51</v>
      </c>
      <c r="C32" t="b">
        <v>0</v>
      </c>
      <c r="D32" t="s">
        <v>49</v>
      </c>
      <c r="E32" t="s">
        <v>8</v>
      </c>
      <c r="F32" t="s">
        <v>42</v>
      </c>
      <c r="G32">
        <v>2.2222</v>
      </c>
      <c r="H32">
        <v>2.2222</v>
      </c>
      <c r="I32">
        <v>2.2222</v>
      </c>
      <c r="J32">
        <v>2.2222</v>
      </c>
      <c r="K32" t="b">
        <v>1</v>
      </c>
      <c r="L32" t="s">
        <v>170</v>
      </c>
      <c r="M32" t="s">
        <v>50</v>
      </c>
    </row>
    <row r="33" spans="1:13" x14ac:dyDescent="0.2">
      <c r="A33" s="2">
        <v>9</v>
      </c>
      <c r="B33" s="2" t="s">
        <v>51</v>
      </c>
      <c r="C33" t="b">
        <v>1</v>
      </c>
      <c r="D33" t="s">
        <v>55</v>
      </c>
      <c r="E33" t="s">
        <v>13</v>
      </c>
      <c r="F33" t="s">
        <v>44</v>
      </c>
      <c r="G33">
        <f>G30/20</f>
        <v>0.25</v>
      </c>
      <c r="H33">
        <f>H30/20</f>
        <v>0.23799999999999999</v>
      </c>
      <c r="I33">
        <f>I30/20</f>
        <v>0.25</v>
      </c>
      <c r="J33">
        <f>J30/20</f>
        <v>0.23799999999999999</v>
      </c>
      <c r="K33" t="b">
        <v>0</v>
      </c>
      <c r="L33" t="s">
        <v>56</v>
      </c>
    </row>
    <row r="35" spans="1:13" x14ac:dyDescent="0.2">
      <c r="B35" s="2" t="s">
        <v>82</v>
      </c>
      <c r="C35" t="b">
        <v>1</v>
      </c>
      <c r="D35" t="s">
        <v>88</v>
      </c>
      <c r="E35" t="s">
        <v>8</v>
      </c>
      <c r="F35" t="s">
        <v>89</v>
      </c>
      <c r="G35" s="27">
        <v>6.0220000000000003E+23</v>
      </c>
      <c r="H35" s="27">
        <v>6.0220000000000003E+23</v>
      </c>
      <c r="I35" s="27">
        <v>6.0220000000000003E+23</v>
      </c>
      <c r="J35" s="27">
        <v>6.0220000000000003E+23</v>
      </c>
      <c r="M35" t="s">
        <v>90</v>
      </c>
    </row>
    <row r="36" spans="1:13" x14ac:dyDescent="0.2">
      <c r="B36" s="2" t="s">
        <v>82</v>
      </c>
      <c r="C36" t="b">
        <v>1</v>
      </c>
      <c r="D36" t="s">
        <v>91</v>
      </c>
      <c r="E36" t="s">
        <v>8</v>
      </c>
      <c r="F36" t="s">
        <v>93</v>
      </c>
      <c r="G36" s="4">
        <v>650</v>
      </c>
      <c r="H36" s="4">
        <v>650</v>
      </c>
      <c r="I36" s="4">
        <v>650</v>
      </c>
      <c r="J36" s="4">
        <v>650</v>
      </c>
    </row>
    <row r="37" spans="1:13" x14ac:dyDescent="0.2">
      <c r="B37" s="6" t="s">
        <v>82</v>
      </c>
      <c r="C37" s="7" t="b">
        <v>1</v>
      </c>
      <c r="D37" s="7" t="s">
        <v>83</v>
      </c>
      <c r="E37" s="7" t="s">
        <v>13</v>
      </c>
      <c r="F37" s="7" t="s">
        <v>44</v>
      </c>
      <c r="G37" s="7">
        <v>0.54168919427718798</v>
      </c>
      <c r="H37" s="7">
        <v>0.167212256132342</v>
      </c>
      <c r="I37" s="7">
        <v>0.54168919427718798</v>
      </c>
      <c r="J37" s="7">
        <v>0.167212256132342</v>
      </c>
      <c r="K37" t="b">
        <v>1</v>
      </c>
      <c r="L37" t="s">
        <v>176</v>
      </c>
      <c r="M37" t="s">
        <v>104</v>
      </c>
    </row>
    <row r="38" spans="1:13" x14ac:dyDescent="0.2">
      <c r="B38" s="9" t="s">
        <v>82</v>
      </c>
      <c r="C38" t="b">
        <v>1</v>
      </c>
      <c r="D38" t="s">
        <v>85</v>
      </c>
      <c r="E38" t="s">
        <v>8</v>
      </c>
      <c r="F38" t="s">
        <v>84</v>
      </c>
      <c r="G38">
        <v>1904788.3330000001</v>
      </c>
      <c r="H38">
        <v>4373730</v>
      </c>
      <c r="I38">
        <v>1904788.3330000001</v>
      </c>
      <c r="J38">
        <v>4373730</v>
      </c>
      <c r="K38" t="b">
        <v>1</v>
      </c>
      <c r="M38" t="s">
        <v>104</v>
      </c>
    </row>
    <row r="39" spans="1:13" x14ac:dyDescent="0.2">
      <c r="B39" s="9" t="s">
        <v>82</v>
      </c>
      <c r="C39" t="b">
        <v>1</v>
      </c>
      <c r="D39" t="s">
        <v>86</v>
      </c>
      <c r="E39" t="s">
        <v>13</v>
      </c>
      <c r="F39" t="s">
        <v>87</v>
      </c>
      <c r="G39" s="5">
        <f>(G37*G$35)/(G38*G$36*10^9)</f>
        <v>263469.80165907741</v>
      </c>
      <c r="H39" s="5">
        <f t="shared" ref="H39:J39" si="2">(H37*H35)/(H38*H36*10^9)</f>
        <v>35419.590158970583</v>
      </c>
      <c r="I39" s="11">
        <f t="shared" si="2"/>
        <v>263469.80165907741</v>
      </c>
      <c r="J39" s="5">
        <f t="shared" si="2"/>
        <v>35419.590158970583</v>
      </c>
      <c r="K39" t="b">
        <v>1</v>
      </c>
      <c r="L39" t="s">
        <v>94</v>
      </c>
      <c r="M39" t="s">
        <v>92</v>
      </c>
    </row>
    <row r="40" spans="1:13" x14ac:dyDescent="0.2">
      <c r="B40" s="9" t="s">
        <v>82</v>
      </c>
      <c r="C40" t="b">
        <v>1</v>
      </c>
      <c r="D40" t="s">
        <v>95</v>
      </c>
      <c r="E40" t="s">
        <v>13</v>
      </c>
      <c r="F40" t="s">
        <v>96</v>
      </c>
      <c r="G40">
        <f>G39/G$30</f>
        <v>52693.960331815484</v>
      </c>
      <c r="H40">
        <f t="shared" ref="H40:J40" si="3">H39/H30</f>
        <v>7441.0903695316356</v>
      </c>
      <c r="I40" s="10">
        <f t="shared" si="3"/>
        <v>52693.960331815484</v>
      </c>
      <c r="J40">
        <f t="shared" si="3"/>
        <v>7441.0903695316356</v>
      </c>
      <c r="L40" t="s">
        <v>97</v>
      </c>
      <c r="M40" t="s">
        <v>104</v>
      </c>
    </row>
    <row r="41" spans="1:13" x14ac:dyDescent="0.2">
      <c r="B41" s="9" t="s">
        <v>82</v>
      </c>
      <c r="C41" t="b">
        <v>1</v>
      </c>
      <c r="D41" t="s">
        <v>98</v>
      </c>
      <c r="E41" t="s">
        <v>13</v>
      </c>
      <c r="F41" t="s">
        <v>99</v>
      </c>
      <c r="G41" s="28">
        <f>G40*10^9</f>
        <v>52693960331815.484</v>
      </c>
      <c r="H41" s="28">
        <f t="shared" ref="H41:J41" si="4">H40*10^9</f>
        <v>7441090369531.6357</v>
      </c>
      <c r="I41" s="29">
        <f t="shared" si="4"/>
        <v>52693960331815.484</v>
      </c>
      <c r="J41" s="28">
        <f t="shared" si="4"/>
        <v>7441090369531.6357</v>
      </c>
      <c r="L41" t="s">
        <v>100</v>
      </c>
      <c r="M41" t="s">
        <v>104</v>
      </c>
    </row>
    <row r="42" spans="1:13" x14ac:dyDescent="0.2">
      <c r="B42" s="12" t="s">
        <v>82</v>
      </c>
      <c r="C42" s="13" t="b">
        <v>1</v>
      </c>
      <c r="D42" s="13" t="s">
        <v>101</v>
      </c>
      <c r="E42" s="13" t="s">
        <v>13</v>
      </c>
      <c r="F42" s="13" t="s">
        <v>102</v>
      </c>
      <c r="G42" s="37">
        <f>G41*G$27</f>
        <v>378697957.62830758</v>
      </c>
      <c r="H42" s="37">
        <f t="shared" ref="H42:J42" si="5">H41*H27</f>
        <v>35323591.851058699</v>
      </c>
      <c r="I42" s="14">
        <f t="shared" si="5"/>
        <v>795265711.01944578</v>
      </c>
      <c r="J42" s="37">
        <f t="shared" si="5"/>
        <v>24726514.295741092</v>
      </c>
      <c r="L42" t="s">
        <v>103</v>
      </c>
      <c r="M42" t="s">
        <v>104</v>
      </c>
    </row>
    <row r="43" spans="1:13" x14ac:dyDescent="0.2">
      <c r="B43" s="2" t="s">
        <v>82</v>
      </c>
      <c r="C43" t="b">
        <v>1</v>
      </c>
      <c r="D43" t="s">
        <v>83</v>
      </c>
      <c r="E43" t="s">
        <v>13</v>
      </c>
      <c r="F43" t="s">
        <v>44</v>
      </c>
      <c r="G43">
        <v>0.65408448128256302</v>
      </c>
      <c r="H43">
        <v>0.20196161687112801</v>
      </c>
      <c r="I43">
        <v>0.65408448128256302</v>
      </c>
      <c r="J43">
        <v>0.20196161687112801</v>
      </c>
    </row>
    <row r="44" spans="1:13" x14ac:dyDescent="0.2">
      <c r="B44" t="s">
        <v>82</v>
      </c>
      <c r="C44" t="b">
        <v>1</v>
      </c>
      <c r="D44" t="s">
        <v>85</v>
      </c>
      <c r="E44" t="s">
        <v>8</v>
      </c>
      <c r="F44" t="s">
        <v>84</v>
      </c>
      <c r="G44">
        <v>4373730</v>
      </c>
      <c r="H44">
        <v>4373730</v>
      </c>
      <c r="I44">
        <v>4373730</v>
      </c>
      <c r="J44">
        <v>4373730</v>
      </c>
    </row>
    <row r="45" spans="1:13" x14ac:dyDescent="0.2">
      <c r="B45" t="s">
        <v>82</v>
      </c>
      <c r="C45" t="b">
        <v>1</v>
      </c>
      <c r="D45" t="s">
        <v>86</v>
      </c>
      <c r="E45" t="s">
        <v>13</v>
      </c>
      <c r="F45" t="s">
        <v>87</v>
      </c>
      <c r="G45" s="5">
        <f>(G43*G$35)/(G44*G$36*10^9)</f>
        <v>138550.87415383683</v>
      </c>
      <c r="H45" s="5">
        <f>(H43*H$35)/(H44*H$36*10^9)</f>
        <v>42780.343157123338</v>
      </c>
      <c r="I45" s="5">
        <f>(I43*I$35)/(I44*I$36*10^9)</f>
        <v>138550.87415383683</v>
      </c>
      <c r="J45" s="5">
        <f>(J43*J$35)/(J44*J$36*10^9)</f>
        <v>42780.343157123338</v>
      </c>
    </row>
    <row r="46" spans="1:13" x14ac:dyDescent="0.2">
      <c r="B46" t="s">
        <v>82</v>
      </c>
      <c r="C46" t="b">
        <v>1</v>
      </c>
      <c r="D46" t="s">
        <v>95</v>
      </c>
      <c r="E46" t="s">
        <v>13</v>
      </c>
      <c r="F46" t="s">
        <v>96</v>
      </c>
      <c r="G46">
        <f>G45/G$30</f>
        <v>27710.174830767366</v>
      </c>
      <c r="H46">
        <f>H45/H$30</f>
        <v>8987.4670498158284</v>
      </c>
      <c r="I46">
        <f>I45/I$30</f>
        <v>27710.174830767366</v>
      </c>
      <c r="J46">
        <f>J45/J$30</f>
        <v>8987.4670498158284</v>
      </c>
    </row>
    <row r="47" spans="1:13" x14ac:dyDescent="0.2">
      <c r="B47" t="s">
        <v>82</v>
      </c>
      <c r="C47" t="b">
        <v>1</v>
      </c>
      <c r="D47" t="s">
        <v>98</v>
      </c>
      <c r="E47" t="s">
        <v>13</v>
      </c>
      <c r="F47" t="s">
        <v>99</v>
      </c>
      <c r="G47" s="28">
        <f>G46*10^9</f>
        <v>27710174830767.367</v>
      </c>
      <c r="H47" s="28">
        <f>H46*10^9</f>
        <v>8987467049815.8281</v>
      </c>
      <c r="I47" s="28">
        <f>I46*10^9</f>
        <v>27710174830767.367</v>
      </c>
      <c r="J47" s="28">
        <f>J46*10^9</f>
        <v>8987467049815.8281</v>
      </c>
    </row>
    <row r="48" spans="1:13" x14ac:dyDescent="0.2">
      <c r="B48" t="s">
        <v>82</v>
      </c>
      <c r="C48" t="b">
        <v>1</v>
      </c>
      <c r="D48" t="s">
        <v>101</v>
      </c>
      <c r="E48" t="s">
        <v>13</v>
      </c>
      <c r="F48" t="s">
        <v>102</v>
      </c>
      <c r="G48" s="4">
        <f>G47*G$27</f>
        <v>199145908.71240723</v>
      </c>
      <c r="H48" s="4">
        <f>H47*H$27</f>
        <v>42664394.877187259</v>
      </c>
      <c r="I48" s="4">
        <f>I47*I$27</f>
        <v>418206408.2960552</v>
      </c>
      <c r="J48" s="4">
        <f>J47*J$27</f>
        <v>29865076.414031081</v>
      </c>
    </row>
    <row r="49" spans="2:10" x14ac:dyDescent="0.2">
      <c r="B49" s="6" t="s">
        <v>82</v>
      </c>
      <c r="C49" s="7" t="b">
        <v>1</v>
      </c>
      <c r="D49" s="7" t="s">
        <v>83</v>
      </c>
      <c r="E49" s="7" t="s">
        <v>13</v>
      </c>
      <c r="F49" s="7" t="s">
        <v>44</v>
      </c>
      <c r="G49" s="8">
        <v>5.4065556339343897E-3</v>
      </c>
      <c r="H49" s="8">
        <v>1.65731861018518E-3</v>
      </c>
      <c r="I49" s="8">
        <v>5.4065556339343897E-3</v>
      </c>
      <c r="J49" s="8">
        <v>1.65731861018518E-3</v>
      </c>
    </row>
    <row r="50" spans="2:10" x14ac:dyDescent="0.2">
      <c r="B50" s="9" t="s">
        <v>82</v>
      </c>
      <c r="C50" t="b">
        <v>1</v>
      </c>
      <c r="D50" t="s">
        <v>85</v>
      </c>
      <c r="E50" t="s">
        <v>8</v>
      </c>
      <c r="F50" t="s">
        <v>84</v>
      </c>
      <c r="G50" s="10">
        <v>89264</v>
      </c>
      <c r="H50" s="10">
        <v>89264</v>
      </c>
      <c r="I50" s="10">
        <v>89264</v>
      </c>
      <c r="J50" s="10">
        <v>89264</v>
      </c>
    </row>
    <row r="51" spans="2:10" x14ac:dyDescent="0.2">
      <c r="B51" s="9" t="s">
        <v>82</v>
      </c>
      <c r="C51" t="b">
        <v>1</v>
      </c>
      <c r="D51" t="s">
        <v>86</v>
      </c>
      <c r="E51" t="s">
        <v>13</v>
      </c>
      <c r="F51" t="s">
        <v>87</v>
      </c>
      <c r="G51" s="11">
        <f>(G49*G$35)/(G50*G$36*10^9)</f>
        <v>56114.064464876697</v>
      </c>
      <c r="H51" s="11">
        <f>(H49*H$35)/(H50*H$36*10^9)</f>
        <v>17201.133147888297</v>
      </c>
      <c r="I51" s="11">
        <f>(I49*I$35)/(I50*I$36*10^9)</f>
        <v>56114.064464876697</v>
      </c>
      <c r="J51" s="11">
        <f>(J49*J$35)/(J50*J$36*10^9)</f>
        <v>17201.133147888297</v>
      </c>
    </row>
    <row r="52" spans="2:10" x14ac:dyDescent="0.2">
      <c r="B52" s="9" t="s">
        <v>82</v>
      </c>
      <c r="C52" t="b">
        <v>1</v>
      </c>
      <c r="D52" t="s">
        <v>95</v>
      </c>
      <c r="E52" t="s">
        <v>13</v>
      </c>
      <c r="F52" t="s">
        <v>96</v>
      </c>
      <c r="G52" s="10">
        <f>G51/G$30</f>
        <v>11222.81289297534</v>
      </c>
      <c r="H52" s="10">
        <f>H51/H$30</f>
        <v>3613.6834344303147</v>
      </c>
      <c r="I52" s="10">
        <f>I51/I$30</f>
        <v>11222.81289297534</v>
      </c>
      <c r="J52" s="10">
        <f>J51/J$30</f>
        <v>3613.6834344303147</v>
      </c>
    </row>
    <row r="53" spans="2:10" x14ac:dyDescent="0.2">
      <c r="B53" s="9" t="s">
        <v>82</v>
      </c>
      <c r="C53" t="b">
        <v>1</v>
      </c>
      <c r="D53" t="s">
        <v>98</v>
      </c>
      <c r="E53" t="s">
        <v>13</v>
      </c>
      <c r="F53" t="s">
        <v>99</v>
      </c>
      <c r="G53" s="29">
        <f>G52*10^9</f>
        <v>11222812892975.34</v>
      </c>
      <c r="H53" s="29">
        <f>H52*10^9</f>
        <v>3613683434430.3149</v>
      </c>
      <c r="I53" s="29">
        <f>I52*10^9</f>
        <v>11222812892975.34</v>
      </c>
      <c r="J53" s="29">
        <f>J52*10^9</f>
        <v>3613683434430.3149</v>
      </c>
    </row>
    <row r="54" spans="2:10" x14ac:dyDescent="0.2">
      <c r="B54" s="12" t="s">
        <v>82</v>
      </c>
      <c r="C54" s="13" t="b">
        <v>1</v>
      </c>
      <c r="D54" s="13" t="s">
        <v>101</v>
      </c>
      <c r="E54" s="13" t="s">
        <v>13</v>
      </c>
      <c r="F54" s="13" t="s">
        <v>102</v>
      </c>
      <c r="G54" s="38">
        <f>G53*G$27</f>
        <v>80655473.50496459</v>
      </c>
      <c r="H54" s="38">
        <f>H53*H$27</f>
        <v>17154512.628877405</v>
      </c>
      <c r="I54" s="38">
        <f>I53*I$27</f>
        <v>169376494.36042562</v>
      </c>
      <c r="J54" s="38">
        <f>J53*J$27</f>
        <v>12008158.840214185</v>
      </c>
    </row>
    <row r="56" spans="2:10" x14ac:dyDescent="0.2">
      <c r="B56" s="23" t="s">
        <v>82</v>
      </c>
      <c r="C56" s="19" t="b">
        <v>1</v>
      </c>
      <c r="D56" s="19" t="s">
        <v>88</v>
      </c>
      <c r="E56" s="19" t="s">
        <v>8</v>
      </c>
      <c r="F56" s="19" t="s">
        <v>89</v>
      </c>
      <c r="G56" s="26">
        <v>6.0221407599999999E+23</v>
      </c>
      <c r="H56" s="26">
        <v>6.0221407599999999E+23</v>
      </c>
      <c r="I56" s="26">
        <v>6.0221407599999999E+23</v>
      </c>
      <c r="J56" s="26">
        <v>6.0221407599999999E+23</v>
      </c>
    </row>
    <row r="57" spans="2:10" x14ac:dyDescent="0.2">
      <c r="B57" s="16" t="s">
        <v>82</v>
      </c>
      <c r="C57" s="17" t="b">
        <v>1</v>
      </c>
      <c r="D57" s="17" t="s">
        <v>83</v>
      </c>
      <c r="E57" s="17" t="s">
        <v>13</v>
      </c>
      <c r="F57" s="17" t="s">
        <v>44</v>
      </c>
      <c r="G57" s="17">
        <v>0.54168919427718798</v>
      </c>
      <c r="H57" s="17">
        <v>0.167212256132342</v>
      </c>
      <c r="I57" s="17">
        <v>0.54168919427718798</v>
      </c>
      <c r="J57" s="17">
        <v>0.167212256132342</v>
      </c>
    </row>
    <row r="58" spans="2:10" x14ac:dyDescent="0.2">
      <c r="B58" s="18" t="s">
        <v>82</v>
      </c>
      <c r="C58" s="19" t="b">
        <v>1</v>
      </c>
      <c r="D58" s="19" t="s">
        <v>85</v>
      </c>
      <c r="E58" s="19" t="s">
        <v>8</v>
      </c>
      <c r="F58" s="19" t="s">
        <v>84</v>
      </c>
      <c r="G58" s="19">
        <v>1904788.3330000001</v>
      </c>
      <c r="H58" s="19">
        <v>1904788.3330000001</v>
      </c>
      <c r="I58" s="19">
        <v>1904788.3330000001</v>
      </c>
      <c r="J58" s="19">
        <v>1904788.3330000001</v>
      </c>
    </row>
    <row r="59" spans="2:10" x14ac:dyDescent="0.2">
      <c r="B59" s="18" t="s">
        <v>82</v>
      </c>
      <c r="C59" s="19" t="b">
        <v>1</v>
      </c>
      <c r="D59" s="19" t="s">
        <v>86</v>
      </c>
      <c r="E59" s="19" t="s">
        <v>13</v>
      </c>
      <c r="F59" s="19" t="s">
        <v>87</v>
      </c>
      <c r="G59" s="20">
        <f>(G57*G$56)/(G58*G$36*10^9)</f>
        <v>263475.96007974859</v>
      </c>
      <c r="H59" s="20">
        <f>(H57*H$56)/(H58*H$36*10^9)</f>
        <v>81331.527722935352</v>
      </c>
      <c r="I59" s="20">
        <f>(I57*I$56)/(I58*I$36*10^9)</f>
        <v>263475.96007974859</v>
      </c>
      <c r="J59" s="20">
        <f>(J57*J$56)/(J58*J$36*10^9)</f>
        <v>81331.527722935352</v>
      </c>
    </row>
    <row r="60" spans="2:10" x14ac:dyDescent="0.2">
      <c r="B60" s="18" t="s">
        <v>82</v>
      </c>
      <c r="C60" s="19" t="b">
        <v>1</v>
      </c>
      <c r="D60" s="19" t="s">
        <v>95</v>
      </c>
      <c r="E60" s="19" t="s">
        <v>13</v>
      </c>
      <c r="F60" s="19" t="s">
        <v>96</v>
      </c>
      <c r="G60" s="19">
        <f>G59/G$30</f>
        <v>52695.192015949717</v>
      </c>
      <c r="H60" s="19">
        <f>H59/H$30</f>
        <v>17086.455403978016</v>
      </c>
      <c r="I60" s="19">
        <f>I59/I$30</f>
        <v>52695.192015949717</v>
      </c>
      <c r="J60" s="19">
        <f>J59/J$30</f>
        <v>17086.455403978016</v>
      </c>
    </row>
    <row r="61" spans="2:10" x14ac:dyDescent="0.2">
      <c r="B61" s="18" t="s">
        <v>82</v>
      </c>
      <c r="C61" s="19" t="b">
        <v>1</v>
      </c>
      <c r="D61" s="19" t="s">
        <v>98</v>
      </c>
      <c r="E61" s="19" t="s">
        <v>13</v>
      </c>
      <c r="F61" s="19" t="s">
        <v>99</v>
      </c>
      <c r="G61" s="34">
        <f>G60*10^9</f>
        <v>52695192015949.719</v>
      </c>
      <c r="H61" s="34">
        <f>H60*10^9</f>
        <v>17086455403978.016</v>
      </c>
      <c r="I61" s="34">
        <f>I60*10^9</f>
        <v>52695192015949.719</v>
      </c>
      <c r="J61" s="34">
        <f>J60*10^9</f>
        <v>17086455403978.016</v>
      </c>
    </row>
    <row r="62" spans="2:10" x14ac:dyDescent="0.2">
      <c r="B62" s="21" t="s">
        <v>82</v>
      </c>
      <c r="C62" s="22" t="b">
        <v>1</v>
      </c>
      <c r="D62" s="22" t="s">
        <v>101</v>
      </c>
      <c r="E62" s="22" t="s">
        <v>13</v>
      </c>
      <c r="F62" s="22" t="s">
        <v>102</v>
      </c>
      <c r="G62" s="39">
        <f>G61*G$27</f>
        <v>378706809.42580277</v>
      </c>
      <c r="H62" s="39">
        <f>H61*H$27</f>
        <v>81111093.522363067</v>
      </c>
      <c r="I62" s="39">
        <f>I61*I$27</f>
        <v>795284299.79418576</v>
      </c>
      <c r="J62" s="39">
        <f>J61*J$27</f>
        <v>56777765.465654157</v>
      </c>
    </row>
    <row r="63" spans="2:10" x14ac:dyDescent="0.2">
      <c r="B63" s="23" t="s">
        <v>82</v>
      </c>
      <c r="C63" s="19" t="b">
        <v>1</v>
      </c>
      <c r="D63" s="19" t="s">
        <v>83</v>
      </c>
      <c r="E63" s="19" t="s">
        <v>13</v>
      </c>
      <c r="F63" s="19" t="s">
        <v>44</v>
      </c>
      <c r="G63" s="19">
        <v>0.65408448128256302</v>
      </c>
      <c r="H63" s="19">
        <v>0.20196161687112801</v>
      </c>
      <c r="I63" s="19">
        <v>0.65408448128256302</v>
      </c>
      <c r="J63" s="19">
        <v>0.20196161687112801</v>
      </c>
    </row>
    <row r="64" spans="2:10" x14ac:dyDescent="0.2">
      <c r="B64" s="19" t="s">
        <v>82</v>
      </c>
      <c r="C64" s="19" t="b">
        <v>1</v>
      </c>
      <c r="D64" s="19" t="s">
        <v>85</v>
      </c>
      <c r="E64" s="19" t="s">
        <v>8</v>
      </c>
      <c r="F64" s="19" t="s">
        <v>84</v>
      </c>
      <c r="G64" s="19">
        <v>4373730</v>
      </c>
      <c r="H64" s="19">
        <v>4373730</v>
      </c>
      <c r="I64" s="19">
        <v>4373730</v>
      </c>
      <c r="J64" s="19">
        <v>4373730</v>
      </c>
    </row>
    <row r="65" spans="2:10" x14ac:dyDescent="0.2">
      <c r="B65" s="19" t="s">
        <v>82</v>
      </c>
      <c r="C65" s="19" t="b">
        <v>1</v>
      </c>
      <c r="D65" s="19" t="s">
        <v>86</v>
      </c>
      <c r="E65" s="19" t="s">
        <v>13</v>
      </c>
      <c r="F65" s="19" t="s">
        <v>87</v>
      </c>
      <c r="G65" s="20">
        <f>(G63*G$56)/(G64*G$36*10^9)</f>
        <v>138554.11268273849</v>
      </c>
      <c r="H65" s="20">
        <f>(H63*H$56)/(H64*H$36*10^9)</f>
        <v>42781.343117452598</v>
      </c>
      <c r="I65" s="20">
        <f>(I63*I$56)/(I64*I$36*10^9)</f>
        <v>138554.11268273849</v>
      </c>
      <c r="J65" s="20">
        <f>(J63*J$56)/(J64*J$36*10^9)</f>
        <v>42781.343117452598</v>
      </c>
    </row>
    <row r="66" spans="2:10" x14ac:dyDescent="0.2">
      <c r="B66" s="19" t="s">
        <v>82</v>
      </c>
      <c r="C66" s="19" t="b">
        <v>1</v>
      </c>
      <c r="D66" s="19" t="s">
        <v>95</v>
      </c>
      <c r="E66" s="19" t="s">
        <v>13</v>
      </c>
      <c r="F66" s="19" t="s">
        <v>96</v>
      </c>
      <c r="G66" s="19">
        <f>G65/G$30</f>
        <v>27710.822536547697</v>
      </c>
      <c r="H66" s="19">
        <f>H65/H$30</f>
        <v>8987.6771255152526</v>
      </c>
      <c r="I66" s="19">
        <f>I65/I$30</f>
        <v>27710.822536547697</v>
      </c>
      <c r="J66" s="19">
        <f>J65/J$30</f>
        <v>8987.6771255152526</v>
      </c>
    </row>
    <row r="67" spans="2:10" x14ac:dyDescent="0.2">
      <c r="B67" s="19" t="s">
        <v>82</v>
      </c>
      <c r="C67" s="19" t="b">
        <v>1</v>
      </c>
      <c r="D67" s="19" t="s">
        <v>98</v>
      </c>
      <c r="E67" s="19" t="s">
        <v>13</v>
      </c>
      <c r="F67" s="19" t="s">
        <v>99</v>
      </c>
      <c r="G67" s="34">
        <f>G66*10^9</f>
        <v>27710822536547.699</v>
      </c>
      <c r="H67" s="34">
        <f>H66*10^9</f>
        <v>8987677125515.252</v>
      </c>
      <c r="I67" s="34">
        <f>I66*10^9</f>
        <v>27710822536547.699</v>
      </c>
      <c r="J67" s="34">
        <f>J66*10^9</f>
        <v>8987677125515.252</v>
      </c>
    </row>
    <row r="68" spans="2:10" x14ac:dyDescent="0.2">
      <c r="B68" s="19" t="s">
        <v>82</v>
      </c>
      <c r="C68" s="19" t="b">
        <v>1</v>
      </c>
      <c r="D68" s="19" t="s">
        <v>101</v>
      </c>
      <c r="E68" s="19" t="s">
        <v>13</v>
      </c>
      <c r="F68" s="19" t="s">
        <v>102</v>
      </c>
      <c r="G68" s="40">
        <f>G67*G$27</f>
        <v>199150563.60747704</v>
      </c>
      <c r="H68" s="40">
        <f>H67*H$27</f>
        <v>42665392.127307303</v>
      </c>
      <c r="I68" s="40">
        <f>I67*I$27</f>
        <v>418216183.57570171</v>
      </c>
      <c r="J68" s="40">
        <f>J67*J$27</f>
        <v>29865774.489115112</v>
      </c>
    </row>
    <row r="69" spans="2:10" x14ac:dyDescent="0.2">
      <c r="B69" s="16" t="s">
        <v>82</v>
      </c>
      <c r="C69" s="17" t="b">
        <v>1</v>
      </c>
      <c r="D69" s="17" t="s">
        <v>83</v>
      </c>
      <c r="E69" s="17" t="s">
        <v>13</v>
      </c>
      <c r="F69" s="17" t="s">
        <v>44</v>
      </c>
      <c r="G69" s="24">
        <v>5.4065556339343897E-3</v>
      </c>
      <c r="H69" s="24">
        <v>1.65731861018518E-3</v>
      </c>
      <c r="I69" s="24">
        <v>5.4065556339343897E-3</v>
      </c>
      <c r="J69" s="24">
        <v>1.65731861018518E-3</v>
      </c>
    </row>
    <row r="70" spans="2:10" x14ac:dyDescent="0.2">
      <c r="B70" s="18" t="s">
        <v>82</v>
      </c>
      <c r="C70" s="19" t="b">
        <v>1</v>
      </c>
      <c r="D70" s="19" t="s">
        <v>85</v>
      </c>
      <c r="E70" s="19" t="s">
        <v>8</v>
      </c>
      <c r="F70" s="19" t="s">
        <v>84</v>
      </c>
      <c r="G70" s="25">
        <v>89264</v>
      </c>
      <c r="H70" s="25">
        <v>89264</v>
      </c>
      <c r="I70" s="25">
        <v>89264</v>
      </c>
      <c r="J70" s="25">
        <v>89264</v>
      </c>
    </row>
    <row r="71" spans="2:10" x14ac:dyDescent="0.2">
      <c r="B71" s="18" t="s">
        <v>82</v>
      </c>
      <c r="C71" s="19" t="b">
        <v>1</v>
      </c>
      <c r="D71" s="19" t="s">
        <v>86</v>
      </c>
      <c r="E71" s="19" t="s">
        <v>13</v>
      </c>
      <c r="F71" s="19" t="s">
        <v>87</v>
      </c>
      <c r="G71" s="20">
        <f>(G69*G$56)/(G70*G$36*10^9)</f>
        <v>56115.376091531296</v>
      </c>
      <c r="H71" s="20">
        <f>(H69*H$56)/(H70*H$36*10^9)</f>
        <v>17201.535212236002</v>
      </c>
      <c r="I71" s="20">
        <f>(I69*I$56)/(I70*I$36*10^9)</f>
        <v>56115.376091531296</v>
      </c>
      <c r="J71" s="20">
        <f>(J69*J$56)/(J70*J$36*10^9)</f>
        <v>17201.535212236002</v>
      </c>
    </row>
    <row r="72" spans="2:10" x14ac:dyDescent="0.2">
      <c r="B72" s="18" t="s">
        <v>82</v>
      </c>
      <c r="C72" s="19" t="b">
        <v>1</v>
      </c>
      <c r="D72" s="19" t="s">
        <v>95</v>
      </c>
      <c r="E72" s="19" t="s">
        <v>13</v>
      </c>
      <c r="F72" s="19" t="s">
        <v>96</v>
      </c>
      <c r="G72" s="25">
        <f>G71/G$30</f>
        <v>11223.07521830626</v>
      </c>
      <c r="H72" s="25">
        <f>H71/H$30</f>
        <v>3613.7679017302526</v>
      </c>
      <c r="I72" s="25">
        <f>I71/I$30</f>
        <v>11223.07521830626</v>
      </c>
      <c r="J72" s="25">
        <f>J71/J$30</f>
        <v>3613.7679017302526</v>
      </c>
    </row>
    <row r="73" spans="2:10" x14ac:dyDescent="0.2">
      <c r="B73" s="18" t="s">
        <v>82</v>
      </c>
      <c r="C73" s="19" t="b">
        <v>1</v>
      </c>
      <c r="D73" s="19" t="s">
        <v>98</v>
      </c>
      <c r="E73" s="19" t="s">
        <v>13</v>
      </c>
      <c r="F73" s="19" t="s">
        <v>99</v>
      </c>
      <c r="G73" s="42">
        <f>G72*10^9</f>
        <v>11223075218306.26</v>
      </c>
      <c r="H73" s="42">
        <f>H72*10^9</f>
        <v>3613767901730.2524</v>
      </c>
      <c r="I73" s="42">
        <f>I72*10^9</f>
        <v>11223075218306.26</v>
      </c>
      <c r="J73" s="42">
        <f>J72*10^9</f>
        <v>3613767901730.2524</v>
      </c>
    </row>
    <row r="74" spans="2:10" x14ac:dyDescent="0.2">
      <c r="B74" s="21" t="s">
        <v>82</v>
      </c>
      <c r="C74" s="22" t="b">
        <v>1</v>
      </c>
      <c r="D74" s="22" t="s">
        <v>101</v>
      </c>
      <c r="E74" s="22" t="s">
        <v>13</v>
      </c>
      <c r="F74" s="22" t="s">
        <v>102</v>
      </c>
      <c r="G74" s="41">
        <f>G73*G$27</f>
        <v>80657358.7697355</v>
      </c>
      <c r="H74" s="41">
        <f>H73*H$27</f>
        <v>17154913.60350338</v>
      </c>
      <c r="I74" s="41">
        <f>I73*I$27</f>
        <v>169380453.41644454</v>
      </c>
      <c r="J74" s="41">
        <f>J73*J$27</f>
        <v>12008439.522452366</v>
      </c>
    </row>
    <row r="76" spans="2:10" x14ac:dyDescent="0.2">
      <c r="G76" s="3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1CB-FE77-E747-9C39-6C6F06A92839}">
  <dimension ref="A1:M140"/>
  <sheetViews>
    <sheetView workbookViewId="0">
      <selection activeCell="H27" sqref="H27"/>
    </sheetView>
  </sheetViews>
  <sheetFormatPr baseColWidth="10" defaultRowHeight="16" x14ac:dyDescent="0.2"/>
  <sheetData>
    <row r="1" spans="1:13" x14ac:dyDescent="0.2">
      <c r="A1" t="s">
        <v>157</v>
      </c>
    </row>
    <row r="2" spans="1:13" x14ac:dyDescent="0.2">
      <c r="A2" t="s">
        <v>156</v>
      </c>
    </row>
    <row r="3" spans="1:13" x14ac:dyDescent="0.2">
      <c r="A3" t="s">
        <v>158</v>
      </c>
    </row>
    <row r="4" spans="1:13" x14ac:dyDescent="0.2">
      <c r="A4" t="s">
        <v>159</v>
      </c>
    </row>
    <row r="5" spans="1:13" x14ac:dyDescent="0.2">
      <c r="A5" t="s">
        <v>161</v>
      </c>
    </row>
    <row r="6" spans="1:13" x14ac:dyDescent="0.2">
      <c r="A6" t="s">
        <v>160</v>
      </c>
    </row>
    <row r="7" spans="1:13" x14ac:dyDescent="0.2">
      <c r="A7" t="s">
        <v>174</v>
      </c>
    </row>
    <row r="8" spans="1:13" x14ac:dyDescent="0.2">
      <c r="A8" t="s">
        <v>175</v>
      </c>
    </row>
    <row r="9" spans="1:13" x14ac:dyDescent="0.2">
      <c r="A9" t="s">
        <v>162</v>
      </c>
    </row>
    <row r="10" spans="1:13" x14ac:dyDescent="0.2">
      <c r="A10" t="s">
        <v>163</v>
      </c>
    </row>
    <row r="11" spans="1:13" x14ac:dyDescent="0.2">
      <c r="A11" t="s">
        <v>164</v>
      </c>
    </row>
    <row r="12" spans="1:13" x14ac:dyDescent="0.2">
      <c r="A12" t="s">
        <v>165</v>
      </c>
    </row>
    <row r="14" spans="1:13" x14ac:dyDescent="0.2">
      <c r="A14" t="s">
        <v>155</v>
      </c>
    </row>
    <row r="15" spans="1:13" x14ac:dyDescent="0.2">
      <c r="A15" t="s">
        <v>118</v>
      </c>
      <c r="B15" t="s">
        <v>119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150</v>
      </c>
      <c r="J15" t="s">
        <v>151</v>
      </c>
      <c r="K15" t="s">
        <v>152</v>
      </c>
    </row>
    <row r="16" spans="1:13" x14ac:dyDescent="0.2">
      <c r="A16" t="s">
        <v>107</v>
      </c>
      <c r="B16" t="s">
        <v>108</v>
      </c>
      <c r="C16">
        <v>93135</v>
      </c>
      <c r="D16">
        <v>3216923</v>
      </c>
      <c r="E16">
        <v>0.25</v>
      </c>
      <c r="F16">
        <v>1</v>
      </c>
      <c r="G16">
        <f>F16/(2*(1+0.1+0.01+0.001+0.0001))</f>
        <v>0.45000450004500048</v>
      </c>
      <c r="H16">
        <f>E16*G16</f>
        <v>0.11250112501125012</v>
      </c>
      <c r="I16">
        <f>C16/D16*1000000</f>
        <v>28951.578884542774</v>
      </c>
      <c r="J16">
        <f>LOG10(I16)</f>
        <v>4.4616722531116997</v>
      </c>
      <c r="K16" s="2">
        <f>LOG10(H16)</f>
        <v>-0.94884313458608482</v>
      </c>
      <c r="L16" s="2"/>
      <c r="M16" s="2"/>
    </row>
    <row r="17" spans="1:11" x14ac:dyDescent="0.2">
      <c r="A17" t="s">
        <v>109</v>
      </c>
      <c r="B17" t="s">
        <v>108</v>
      </c>
      <c r="C17">
        <v>15190</v>
      </c>
      <c r="D17">
        <v>3216923</v>
      </c>
      <c r="E17">
        <v>0.25</v>
      </c>
      <c r="F17">
        <v>0.1</v>
      </c>
      <c r="G17">
        <f t="shared" ref="G17:G35" si="0">F17/(2*(1+0.1+0.01+0.001+0.0001))</f>
        <v>4.5000450004500051E-2</v>
      </c>
      <c r="H17">
        <f t="shared" ref="H17:H35" si="1">E17*G17</f>
        <v>1.1250112501125013E-2</v>
      </c>
      <c r="I17">
        <f t="shared" ref="I17:I35" si="2">C17/D17*1000000</f>
        <v>4721.9035084147181</v>
      </c>
      <c r="J17">
        <f t="shared" ref="J17:J35" si="3">LOG10(I17)</f>
        <v>3.6741171080728217</v>
      </c>
      <c r="K17" s="2">
        <f t="shared" ref="K17:K35" si="4">LOG10(H17)</f>
        <v>-1.9488431345860848</v>
      </c>
    </row>
    <row r="18" spans="1:11" x14ac:dyDescent="0.2">
      <c r="A18" t="s">
        <v>110</v>
      </c>
      <c r="B18" t="s">
        <v>108</v>
      </c>
      <c r="C18">
        <v>2447</v>
      </c>
      <c r="D18">
        <v>3216923</v>
      </c>
      <c r="E18">
        <v>0.25</v>
      </c>
      <c r="F18">
        <v>0.01</v>
      </c>
      <c r="G18">
        <f t="shared" si="0"/>
        <v>4.5000450004500049E-3</v>
      </c>
      <c r="H18">
        <f t="shared" si="1"/>
        <v>1.1250112501125012E-3</v>
      </c>
      <c r="I18">
        <f t="shared" si="2"/>
        <v>760.66477189537954</v>
      </c>
      <c r="J18">
        <f t="shared" si="3"/>
        <v>2.8811933035618242</v>
      </c>
      <c r="K18" s="2">
        <f t="shared" si="4"/>
        <v>-2.9488431345860846</v>
      </c>
    </row>
    <row r="19" spans="1:11" x14ac:dyDescent="0.2">
      <c r="A19" t="s">
        <v>111</v>
      </c>
      <c r="B19" t="s">
        <v>108</v>
      </c>
      <c r="C19">
        <v>308</v>
      </c>
      <c r="D19">
        <v>3216923</v>
      </c>
      <c r="E19">
        <v>0.25</v>
      </c>
      <c r="F19">
        <v>1E-3</v>
      </c>
      <c r="G19">
        <f t="shared" si="0"/>
        <v>4.5000450004500047E-4</v>
      </c>
      <c r="H19">
        <f t="shared" si="1"/>
        <v>1.1250112501125012E-4</v>
      </c>
      <c r="I19">
        <f t="shared" si="2"/>
        <v>95.743665608409032</v>
      </c>
      <c r="J19">
        <f t="shared" si="3"/>
        <v>1.9811100507104795</v>
      </c>
      <c r="K19" s="2">
        <f t="shared" si="4"/>
        <v>-3.9488431345860846</v>
      </c>
    </row>
    <row r="20" spans="1:11" x14ac:dyDescent="0.2">
      <c r="A20" t="s">
        <v>153</v>
      </c>
      <c r="B20" t="s">
        <v>108</v>
      </c>
      <c r="C20">
        <v>77</v>
      </c>
      <c r="D20">
        <v>3216923</v>
      </c>
      <c r="E20">
        <v>0.25</v>
      </c>
      <c r="F20">
        <v>1E-4</v>
      </c>
      <c r="G20">
        <f t="shared" si="0"/>
        <v>4.5000450004500049E-5</v>
      </c>
      <c r="H20">
        <f t="shared" ref="H20" si="5">E20*G20</f>
        <v>1.1250112501125012E-5</v>
      </c>
      <c r="I20">
        <f t="shared" ref="I20" si="6">C20/D20*1000000</f>
        <v>23.935916402102258</v>
      </c>
      <c r="J20">
        <f t="shared" si="3"/>
        <v>1.379050059382517</v>
      </c>
      <c r="K20" s="2">
        <f t="shared" ref="K20" si="7">LOG10(H20)</f>
        <v>-4.9488431345860846</v>
      </c>
    </row>
    <row r="21" spans="1:11" x14ac:dyDescent="0.2">
      <c r="A21" t="s">
        <v>112</v>
      </c>
      <c r="B21" t="s">
        <v>108</v>
      </c>
      <c r="C21">
        <v>149</v>
      </c>
      <c r="D21">
        <v>3216923</v>
      </c>
      <c r="E21">
        <v>0.25</v>
      </c>
      <c r="F21">
        <v>1E-4</v>
      </c>
      <c r="G21">
        <f t="shared" si="0"/>
        <v>4.5000450004500049E-5</v>
      </c>
      <c r="H21">
        <f t="shared" si="1"/>
        <v>1.1250112501125012E-5</v>
      </c>
      <c r="I21">
        <f t="shared" si="2"/>
        <v>46.317552518353722</v>
      </c>
      <c r="J21">
        <f t="shared" si="3"/>
        <v>1.6657456026223092</v>
      </c>
      <c r="K21" s="2">
        <f t="shared" si="4"/>
        <v>-4.9488431345860846</v>
      </c>
    </row>
    <row r="22" spans="1:11" x14ac:dyDescent="0.2">
      <c r="A22" t="s">
        <v>113</v>
      </c>
      <c r="B22" t="s">
        <v>108</v>
      </c>
      <c r="C22">
        <v>1075</v>
      </c>
      <c r="D22">
        <v>3216923</v>
      </c>
      <c r="E22">
        <v>0.25</v>
      </c>
      <c r="F22">
        <v>1E-3</v>
      </c>
      <c r="G22">
        <f t="shared" si="0"/>
        <v>4.5000450004500047E-4</v>
      </c>
      <c r="H22">
        <f t="shared" si="1"/>
        <v>1.1250112501125012E-4</v>
      </c>
      <c r="I22">
        <f t="shared" si="2"/>
        <v>334.17026145792113</v>
      </c>
      <c r="J22">
        <f t="shared" si="3"/>
        <v>2.5239677984616593</v>
      </c>
      <c r="K22" s="2">
        <f t="shared" si="4"/>
        <v>-3.9488431345860846</v>
      </c>
    </row>
    <row r="23" spans="1:11" x14ac:dyDescent="0.2">
      <c r="A23" t="s">
        <v>114</v>
      </c>
      <c r="B23" t="s">
        <v>108</v>
      </c>
      <c r="C23">
        <v>3189</v>
      </c>
      <c r="D23">
        <v>3216923</v>
      </c>
      <c r="E23">
        <v>0.25</v>
      </c>
      <c r="F23">
        <v>0.01</v>
      </c>
      <c r="G23">
        <f t="shared" si="0"/>
        <v>4.5000450004500049E-3</v>
      </c>
      <c r="H23">
        <f t="shared" si="1"/>
        <v>1.1250112501125012E-3</v>
      </c>
      <c r="I23">
        <f t="shared" si="2"/>
        <v>991.31996631563754</v>
      </c>
      <c r="J23">
        <f t="shared" si="3"/>
        <v>2.9962138534529945</v>
      </c>
      <c r="K23" s="2">
        <f t="shared" si="4"/>
        <v>-2.9488431345860846</v>
      </c>
    </row>
    <row r="24" spans="1:11" x14ac:dyDescent="0.2">
      <c r="A24" t="s">
        <v>115</v>
      </c>
      <c r="B24" t="s">
        <v>108</v>
      </c>
      <c r="C24">
        <v>25347</v>
      </c>
      <c r="D24">
        <v>3216923</v>
      </c>
      <c r="E24">
        <v>0.25</v>
      </c>
      <c r="F24">
        <v>0.1</v>
      </c>
      <c r="G24">
        <f t="shared" si="0"/>
        <v>4.5000450004500051E-2</v>
      </c>
      <c r="H24">
        <f t="shared" si="1"/>
        <v>1.1250112501125013E-2</v>
      </c>
      <c r="I24">
        <f t="shared" si="2"/>
        <v>7879.2684810920255</v>
      </c>
      <c r="J24">
        <f t="shared" si="3"/>
        <v>3.8964858990413038</v>
      </c>
      <c r="K24" s="2">
        <f t="shared" si="4"/>
        <v>-1.9488431345860848</v>
      </c>
    </row>
    <row r="25" spans="1:11" x14ac:dyDescent="0.2">
      <c r="A25" t="s">
        <v>116</v>
      </c>
      <c r="B25" t="s">
        <v>108</v>
      </c>
      <c r="C25">
        <v>237329</v>
      </c>
      <c r="D25">
        <v>3216923</v>
      </c>
      <c r="E25">
        <v>0.25</v>
      </c>
      <c r="F25">
        <v>1</v>
      </c>
      <c r="G25">
        <f t="shared" si="0"/>
        <v>0.45000450004500048</v>
      </c>
      <c r="H25">
        <f t="shared" si="1"/>
        <v>0.11250112501125012</v>
      </c>
      <c r="I25">
        <f t="shared" si="2"/>
        <v>73775.157192136699</v>
      </c>
      <c r="J25">
        <f t="shared" si="3"/>
        <v>4.8679101435207581</v>
      </c>
      <c r="K25" s="2">
        <f t="shared" si="4"/>
        <v>-0.94884313458608482</v>
      </c>
    </row>
    <row r="26" spans="1:11" x14ac:dyDescent="0.2">
      <c r="A26" t="s">
        <v>107</v>
      </c>
      <c r="B26" t="s">
        <v>117</v>
      </c>
      <c r="C26">
        <v>90897</v>
      </c>
      <c r="D26">
        <v>1723417</v>
      </c>
      <c r="E26">
        <v>0.2</v>
      </c>
      <c r="F26">
        <v>1</v>
      </c>
      <c r="G26">
        <f t="shared" si="0"/>
        <v>0.45000450004500048</v>
      </c>
      <c r="H26">
        <f t="shared" si="1"/>
        <v>9.0000900009000101E-2</v>
      </c>
      <c r="I26">
        <f t="shared" si="2"/>
        <v>52742.313671038413</v>
      </c>
      <c r="J26">
        <f t="shared" si="3"/>
        <v>4.7221591772686642</v>
      </c>
      <c r="K26" s="2">
        <f t="shared" si="4"/>
        <v>-1.0457531475941411</v>
      </c>
    </row>
    <row r="27" spans="1:11" x14ac:dyDescent="0.2">
      <c r="A27" t="s">
        <v>109</v>
      </c>
      <c r="B27" t="s">
        <v>117</v>
      </c>
      <c r="C27">
        <v>15002</v>
      </c>
      <c r="D27">
        <v>1723417</v>
      </c>
      <c r="E27">
        <v>0.2</v>
      </c>
      <c r="F27">
        <v>0.1</v>
      </c>
      <c r="G27">
        <f t="shared" si="0"/>
        <v>4.5000450004500051E-2</v>
      </c>
      <c r="H27">
        <f t="shared" si="1"/>
        <v>9.0000900009000098E-3</v>
      </c>
      <c r="I27">
        <f t="shared" si="2"/>
        <v>8704.799824998825</v>
      </c>
      <c r="J27">
        <f t="shared" si="3"/>
        <v>3.9397587885609902</v>
      </c>
      <c r="K27" s="2">
        <f t="shared" si="4"/>
        <v>-2.0457531475941413</v>
      </c>
    </row>
    <row r="28" spans="1:11" x14ac:dyDescent="0.2">
      <c r="A28" t="s">
        <v>110</v>
      </c>
      <c r="B28" t="s">
        <v>117</v>
      </c>
      <c r="C28">
        <v>2421</v>
      </c>
      <c r="D28">
        <v>1723417</v>
      </c>
      <c r="E28">
        <v>0.2</v>
      </c>
      <c r="F28">
        <v>0.01</v>
      </c>
      <c r="G28">
        <f t="shared" si="0"/>
        <v>4.5000450004500049E-3</v>
      </c>
      <c r="H28">
        <f t="shared" si="1"/>
        <v>9.0000900009000104E-4</v>
      </c>
      <c r="I28">
        <f t="shared" si="2"/>
        <v>1404.7673894362188</v>
      </c>
      <c r="J28">
        <f t="shared" si="3"/>
        <v>3.1476044168761734</v>
      </c>
      <c r="K28" s="2">
        <f t="shared" si="4"/>
        <v>-3.0457531475941413</v>
      </c>
    </row>
    <row r="29" spans="1:11" x14ac:dyDescent="0.2">
      <c r="A29" t="s">
        <v>111</v>
      </c>
      <c r="B29" t="s">
        <v>117</v>
      </c>
      <c r="C29">
        <v>296</v>
      </c>
      <c r="D29">
        <v>1723417</v>
      </c>
      <c r="E29">
        <v>0.2</v>
      </c>
      <c r="F29">
        <v>1E-3</v>
      </c>
      <c r="G29">
        <f t="shared" si="0"/>
        <v>4.5000450004500047E-4</v>
      </c>
      <c r="H29">
        <f t="shared" si="1"/>
        <v>9.0000900009000099E-5</v>
      </c>
      <c r="I29">
        <f t="shared" si="2"/>
        <v>171.75181630446954</v>
      </c>
      <c r="J29">
        <f t="shared" si="3"/>
        <v>2.2349013384933794</v>
      </c>
      <c r="K29" s="2">
        <f t="shared" si="4"/>
        <v>-4.0457531475941408</v>
      </c>
    </row>
    <row r="30" spans="1:11" x14ac:dyDescent="0.2">
      <c r="A30" t="s">
        <v>153</v>
      </c>
      <c r="B30" t="s">
        <v>117</v>
      </c>
      <c r="C30">
        <v>77</v>
      </c>
      <c r="D30">
        <v>1723417</v>
      </c>
      <c r="E30">
        <v>0.2</v>
      </c>
      <c r="F30">
        <v>1E-4</v>
      </c>
      <c r="G30">
        <f t="shared" si="0"/>
        <v>4.5000450004500049E-5</v>
      </c>
      <c r="H30">
        <f t="shared" ref="H30" si="8">E30*G30</f>
        <v>9.0000900009000095E-6</v>
      </c>
      <c r="I30">
        <f t="shared" ref="I30" si="9">C30/D30*1000000</f>
        <v>44.678681944068089</v>
      </c>
      <c r="J30">
        <f t="shared" si="3"/>
        <v>1.6501003526069227</v>
      </c>
      <c r="K30" s="2">
        <f t="shared" ref="K30" si="10">LOG10(H30)</f>
        <v>-5.0457531475941408</v>
      </c>
    </row>
    <row r="31" spans="1:11" x14ac:dyDescent="0.2">
      <c r="A31" t="s">
        <v>112</v>
      </c>
      <c r="B31" t="s">
        <v>117</v>
      </c>
      <c r="C31">
        <v>148</v>
      </c>
      <c r="D31">
        <v>1723417</v>
      </c>
      <c r="E31">
        <v>0.2</v>
      </c>
      <c r="F31">
        <v>1E-4</v>
      </c>
      <c r="G31">
        <f t="shared" si="0"/>
        <v>4.5000450004500049E-5</v>
      </c>
      <c r="H31">
        <f t="shared" si="1"/>
        <v>9.0000900009000095E-6</v>
      </c>
      <c r="I31">
        <f t="shared" si="2"/>
        <v>85.875908152234771</v>
      </c>
      <c r="J31">
        <f t="shared" si="3"/>
        <v>1.9338713428293981</v>
      </c>
      <c r="K31" s="2">
        <f t="shared" si="4"/>
        <v>-5.0457531475941408</v>
      </c>
    </row>
    <row r="32" spans="1:11" x14ac:dyDescent="0.2">
      <c r="A32" t="s">
        <v>113</v>
      </c>
      <c r="B32" t="s">
        <v>117</v>
      </c>
      <c r="C32">
        <v>1059</v>
      </c>
      <c r="D32">
        <v>1723417</v>
      </c>
      <c r="E32">
        <v>0.2</v>
      </c>
      <c r="F32">
        <v>1E-3</v>
      </c>
      <c r="G32">
        <f t="shared" si="0"/>
        <v>4.5000450004500047E-4</v>
      </c>
      <c r="H32">
        <f t="shared" si="1"/>
        <v>9.0000900009000099E-5</v>
      </c>
      <c r="I32">
        <f t="shared" si="2"/>
        <v>614.47693738659882</v>
      </c>
      <c r="J32">
        <f t="shared" si="3"/>
        <v>2.788505587541926</v>
      </c>
      <c r="K32" s="2">
        <f t="shared" si="4"/>
        <v>-4.0457531475941408</v>
      </c>
    </row>
    <row r="33" spans="1:11" x14ac:dyDescent="0.2">
      <c r="A33" t="s">
        <v>114</v>
      </c>
      <c r="B33" t="s">
        <v>117</v>
      </c>
      <c r="C33">
        <v>3129</v>
      </c>
      <c r="D33">
        <v>1723417</v>
      </c>
      <c r="E33">
        <v>0.2</v>
      </c>
      <c r="F33">
        <v>0.01</v>
      </c>
      <c r="G33">
        <f t="shared" si="0"/>
        <v>4.5000450004500049E-3</v>
      </c>
      <c r="H33">
        <f t="shared" si="1"/>
        <v>9.0000900009000104E-4</v>
      </c>
      <c r="I33">
        <f t="shared" si="2"/>
        <v>1815.5791662725853</v>
      </c>
      <c r="J33">
        <f t="shared" si="3"/>
        <v>3.2590151905806342</v>
      </c>
      <c r="K33" s="2">
        <f t="shared" si="4"/>
        <v>-3.0457531475941413</v>
      </c>
    </row>
    <row r="34" spans="1:11" x14ac:dyDescent="0.2">
      <c r="A34" t="s">
        <v>115</v>
      </c>
      <c r="B34" t="s">
        <v>117</v>
      </c>
      <c r="C34">
        <v>24856</v>
      </c>
      <c r="D34">
        <v>1723417</v>
      </c>
      <c r="E34">
        <v>0.2</v>
      </c>
      <c r="F34">
        <v>0.1</v>
      </c>
      <c r="G34">
        <f t="shared" si="0"/>
        <v>4.5000450004500051E-2</v>
      </c>
      <c r="H34">
        <f t="shared" si="1"/>
        <v>9.0000900009000098E-3</v>
      </c>
      <c r="I34">
        <f t="shared" si="2"/>
        <v>14422.51062859424</v>
      </c>
      <c r="J34">
        <f t="shared" si="3"/>
        <v>4.1590408676813588</v>
      </c>
      <c r="K34" s="2">
        <f t="shared" si="4"/>
        <v>-2.0457531475941413</v>
      </c>
    </row>
    <row r="35" spans="1:11" x14ac:dyDescent="0.2">
      <c r="A35" t="s">
        <v>116</v>
      </c>
      <c r="B35" t="s">
        <v>117</v>
      </c>
      <c r="C35">
        <v>230898</v>
      </c>
      <c r="D35">
        <v>1723417</v>
      </c>
      <c r="E35">
        <v>0.2</v>
      </c>
      <c r="F35">
        <v>1</v>
      </c>
      <c r="G35">
        <f t="shared" si="0"/>
        <v>0.45000450004500048</v>
      </c>
      <c r="H35">
        <f t="shared" si="1"/>
        <v>9.0000900009000101E-2</v>
      </c>
      <c r="I35">
        <f t="shared" si="2"/>
        <v>133976.86108469396</v>
      </c>
      <c r="J35">
        <f t="shared" si="3"/>
        <v>5.1270297985814759</v>
      </c>
      <c r="K35" s="2">
        <f t="shared" si="4"/>
        <v>-1.0457531475941411</v>
      </c>
    </row>
    <row r="37" spans="1:11" x14ac:dyDescent="0.2">
      <c r="A37" t="s">
        <v>167</v>
      </c>
    </row>
    <row r="38" spans="1:11" x14ac:dyDescent="0.2">
      <c r="A38" t="s">
        <v>126</v>
      </c>
    </row>
    <row r="39" spans="1:11" ht="17" thickBot="1" x14ac:dyDescent="0.25"/>
    <row r="40" spans="1:11" x14ac:dyDescent="0.2">
      <c r="A40" s="33" t="s">
        <v>127</v>
      </c>
      <c r="B40" s="33"/>
    </row>
    <row r="41" spans="1:11" x14ac:dyDescent="0.2">
      <c r="A41" t="s">
        <v>128</v>
      </c>
      <c r="B41">
        <v>0.98650309751565746</v>
      </c>
    </row>
    <row r="42" spans="1:11" x14ac:dyDescent="0.2">
      <c r="A42" t="s">
        <v>129</v>
      </c>
      <c r="B42">
        <v>0.97318836140798681</v>
      </c>
    </row>
    <row r="43" spans="1:11" x14ac:dyDescent="0.2">
      <c r="A43" t="s">
        <v>130</v>
      </c>
      <c r="B43">
        <v>0.96983690658398514</v>
      </c>
    </row>
    <row r="44" spans="1:11" x14ac:dyDescent="0.2">
      <c r="A44" t="s">
        <v>131</v>
      </c>
      <c r="B44">
        <v>0.25889978076474535</v>
      </c>
    </row>
    <row r="45" spans="1:11" ht="17" thickBot="1" x14ac:dyDescent="0.25">
      <c r="A45" s="31" t="s">
        <v>132</v>
      </c>
      <c r="B45" s="31">
        <v>10</v>
      </c>
    </row>
    <row r="47" spans="1:11" ht="17" thickBot="1" x14ac:dyDescent="0.25">
      <c r="A47" t="s">
        <v>133</v>
      </c>
    </row>
    <row r="48" spans="1:11" x14ac:dyDescent="0.2">
      <c r="A48" s="32"/>
      <c r="B48" s="32" t="s">
        <v>138</v>
      </c>
      <c r="C48" s="32" t="s">
        <v>139</v>
      </c>
      <c r="D48" s="32" t="s">
        <v>140</v>
      </c>
      <c r="E48" s="32" t="s">
        <v>141</v>
      </c>
      <c r="F48" s="32" t="s">
        <v>142</v>
      </c>
    </row>
    <row r="49" spans="1:9" x14ac:dyDescent="0.2">
      <c r="A49" t="s">
        <v>134</v>
      </c>
      <c r="B49">
        <v>1</v>
      </c>
      <c r="C49">
        <v>19.463767228159732</v>
      </c>
      <c r="D49">
        <v>19.463767228159732</v>
      </c>
      <c r="E49">
        <v>290.37788438574057</v>
      </c>
      <c r="F49">
        <v>1.4284435606597672E-7</v>
      </c>
    </row>
    <row r="50" spans="1:9" x14ac:dyDescent="0.2">
      <c r="A50" t="s">
        <v>135</v>
      </c>
      <c r="B50">
        <v>8</v>
      </c>
      <c r="C50">
        <v>0.53623277184026563</v>
      </c>
      <c r="D50">
        <v>6.7029096480033204E-2</v>
      </c>
    </row>
    <row r="51" spans="1:9" ht="17" thickBot="1" x14ac:dyDescent="0.25">
      <c r="A51" s="31" t="s">
        <v>136</v>
      </c>
      <c r="B51" s="31">
        <v>9</v>
      </c>
      <c r="C51" s="31">
        <v>19.999999999999996</v>
      </c>
      <c r="D51" s="31"/>
      <c r="E51" s="31"/>
      <c r="F51" s="31"/>
    </row>
    <row r="52" spans="1:9" ht="17" thickBot="1" x14ac:dyDescent="0.25"/>
    <row r="53" spans="1:9" x14ac:dyDescent="0.2">
      <c r="A53" s="32"/>
      <c r="B53" s="32" t="s">
        <v>143</v>
      </c>
      <c r="C53" s="32" t="s">
        <v>131</v>
      </c>
      <c r="D53" s="32" t="s">
        <v>144</v>
      </c>
      <c r="E53" s="32" t="s">
        <v>145</v>
      </c>
      <c r="F53" s="32" t="s">
        <v>146</v>
      </c>
      <c r="G53" s="32" t="s">
        <v>147</v>
      </c>
      <c r="H53" s="32" t="s">
        <v>148</v>
      </c>
      <c r="I53" s="32" t="s">
        <v>149</v>
      </c>
    </row>
    <row r="54" spans="1:9" x14ac:dyDescent="0.2">
      <c r="A54" t="s">
        <v>137</v>
      </c>
      <c r="B54">
        <v>-6.7242381884894638</v>
      </c>
      <c r="C54">
        <v>0.2361976278251447</v>
      </c>
      <c r="D54">
        <v>-28.46869484001493</v>
      </c>
      <c r="E54">
        <v>2.5056435242303998E-9</v>
      </c>
      <c r="F54">
        <v>-7.2689108949796619</v>
      </c>
      <c r="G54">
        <v>-6.1795654819992656</v>
      </c>
      <c r="H54">
        <v>-7.2689108949796619</v>
      </c>
      <c r="I54">
        <v>-6.1795654819992656</v>
      </c>
    </row>
    <row r="55" spans="1:9" ht="17" thickBot="1" x14ac:dyDescent="0.25">
      <c r="A55" s="31" t="s">
        <v>166</v>
      </c>
      <c r="B55" s="31">
        <v>1.2448765237913186</v>
      </c>
      <c r="C55" s="31">
        <v>7.3054085503350158E-2</v>
      </c>
      <c r="D55" s="31">
        <v>17.040477821520746</v>
      </c>
      <c r="E55" s="31">
        <v>1.4284435606597722E-7</v>
      </c>
      <c r="F55" s="31">
        <v>1.0764135005270343</v>
      </c>
      <c r="G55" s="31">
        <v>1.4133395470556029</v>
      </c>
      <c r="H55" s="31">
        <v>1.0764135005270343</v>
      </c>
      <c r="I55" s="31">
        <v>1.4133395470556029</v>
      </c>
    </row>
    <row r="58" spans="1:9" x14ac:dyDescent="0.2">
      <c r="A58" t="s">
        <v>168</v>
      </c>
    </row>
    <row r="59" spans="1:9" x14ac:dyDescent="0.2">
      <c r="A59" t="s">
        <v>126</v>
      </c>
    </row>
    <row r="60" spans="1:9" ht="17" thickBot="1" x14ac:dyDescent="0.25"/>
    <row r="61" spans="1:9" x14ac:dyDescent="0.2">
      <c r="A61" s="33" t="s">
        <v>127</v>
      </c>
      <c r="B61" s="33"/>
    </row>
    <row r="62" spans="1:9" x14ac:dyDescent="0.2">
      <c r="A62" t="s">
        <v>128</v>
      </c>
      <c r="B62">
        <v>0.98632417973563269</v>
      </c>
    </row>
    <row r="63" spans="1:9" x14ac:dyDescent="0.2">
      <c r="A63" t="s">
        <v>129</v>
      </c>
      <c r="B63">
        <v>0.9728353875311686</v>
      </c>
    </row>
    <row r="64" spans="1:9" x14ac:dyDescent="0.2">
      <c r="A64" t="s">
        <v>130</v>
      </c>
      <c r="B64">
        <v>0.9694398109725646</v>
      </c>
    </row>
    <row r="65" spans="1:9" x14ac:dyDescent="0.2">
      <c r="A65" t="s">
        <v>131</v>
      </c>
      <c r="B65">
        <v>0.26059840976506049</v>
      </c>
    </row>
    <row r="66" spans="1:9" ht="17" thickBot="1" x14ac:dyDescent="0.25">
      <c r="A66" s="31" t="s">
        <v>132</v>
      </c>
      <c r="B66" s="31">
        <v>10</v>
      </c>
    </row>
    <row r="68" spans="1:9" ht="17" thickBot="1" x14ac:dyDescent="0.25">
      <c r="A68" t="s">
        <v>133</v>
      </c>
    </row>
    <row r="69" spans="1:9" x14ac:dyDescent="0.2">
      <c r="A69" s="32"/>
      <c r="B69" s="32" t="s">
        <v>138</v>
      </c>
      <c r="C69" s="32" t="s">
        <v>139</v>
      </c>
      <c r="D69" s="32" t="s">
        <v>140</v>
      </c>
      <c r="E69" s="32" t="s">
        <v>141</v>
      </c>
      <c r="F69" s="32" t="s">
        <v>142</v>
      </c>
    </row>
    <row r="70" spans="1:9" x14ac:dyDescent="0.2">
      <c r="A70" t="s">
        <v>134</v>
      </c>
      <c r="B70">
        <v>1</v>
      </c>
      <c r="C70">
        <v>19.456707750623369</v>
      </c>
      <c r="D70">
        <v>19.456707750623369</v>
      </c>
      <c r="E70">
        <v>286.50079618029497</v>
      </c>
      <c r="F70">
        <v>1.5053811468097101E-7</v>
      </c>
    </row>
    <row r="71" spans="1:9" x14ac:dyDescent="0.2">
      <c r="A71" t="s">
        <v>135</v>
      </c>
      <c r="B71">
        <v>8</v>
      </c>
      <c r="C71">
        <v>0.5432922493766269</v>
      </c>
      <c r="D71">
        <v>6.7911531172078363E-2</v>
      </c>
    </row>
    <row r="72" spans="1:9" ht="17" thickBot="1" x14ac:dyDescent="0.25">
      <c r="A72" s="31" t="s">
        <v>136</v>
      </c>
      <c r="B72" s="31">
        <v>9</v>
      </c>
      <c r="C72" s="31">
        <v>19.999999999999996</v>
      </c>
      <c r="D72" s="31"/>
      <c r="E72" s="31"/>
      <c r="F72" s="31"/>
    </row>
    <row r="73" spans="1:9" ht="17" thickBot="1" x14ac:dyDescent="0.25"/>
    <row r="74" spans="1:9" x14ac:dyDescent="0.2">
      <c r="A74" s="32"/>
      <c r="B74" s="32" t="s">
        <v>143</v>
      </c>
      <c r="C74" s="32" t="s">
        <v>131</v>
      </c>
      <c r="D74" s="32" t="s">
        <v>144</v>
      </c>
      <c r="E74" s="32" t="s">
        <v>145</v>
      </c>
      <c r="F74" s="32" t="s">
        <v>146</v>
      </c>
      <c r="G74" s="32" t="s">
        <v>147</v>
      </c>
      <c r="H74" s="32" t="s">
        <v>148</v>
      </c>
      <c r="I74" s="32" t="s">
        <v>149</v>
      </c>
    </row>
    <row r="75" spans="1:9" x14ac:dyDescent="0.2">
      <c r="A75" t="s">
        <v>137</v>
      </c>
      <c r="B75">
        <v>-7.1553189737083844</v>
      </c>
      <c r="C75">
        <v>0.25639567558447424</v>
      </c>
      <c r="D75">
        <v>-27.907330953992375</v>
      </c>
      <c r="E75">
        <v>2.9342178761498629E-9</v>
      </c>
      <c r="F75">
        <v>-7.7465684618546478</v>
      </c>
      <c r="G75">
        <v>-6.5640694855621211</v>
      </c>
      <c r="H75">
        <v>-7.7465684618546478</v>
      </c>
      <c r="I75">
        <v>-6.5640694855621211</v>
      </c>
    </row>
    <row r="76" spans="1:9" ht="17" thickBot="1" x14ac:dyDescent="0.25">
      <c r="A76" s="31" t="s">
        <v>166</v>
      </c>
      <c r="B76" s="31">
        <v>1.24675913604407</v>
      </c>
      <c r="C76" s="31">
        <v>7.3657952553024028E-2</v>
      </c>
      <c r="D76" s="31">
        <v>16.926334398808702</v>
      </c>
      <c r="E76" s="31">
        <v>1.505381146809713E-7</v>
      </c>
      <c r="F76" s="31">
        <v>1.0769035928661241</v>
      </c>
      <c r="G76" s="31">
        <v>1.4166146792220158</v>
      </c>
      <c r="H76" s="31">
        <v>1.0769035928661241</v>
      </c>
      <c r="I76" s="31">
        <v>1.4166146792220158</v>
      </c>
    </row>
    <row r="80" spans="1:9" x14ac:dyDescent="0.2">
      <c r="A80" t="s">
        <v>171</v>
      </c>
    </row>
    <row r="81" spans="1:11" x14ac:dyDescent="0.2">
      <c r="A81" t="s">
        <v>118</v>
      </c>
      <c r="B81" t="s">
        <v>119</v>
      </c>
      <c r="C81" t="s">
        <v>120</v>
      </c>
      <c r="D81" t="s">
        <v>121</v>
      </c>
      <c r="E81" t="s">
        <v>122</v>
      </c>
      <c r="F81" t="s">
        <v>123</v>
      </c>
      <c r="G81" t="s">
        <v>124</v>
      </c>
      <c r="H81" t="s">
        <v>125</v>
      </c>
      <c r="I81" t="s">
        <v>150</v>
      </c>
      <c r="J81" t="s">
        <v>151</v>
      </c>
      <c r="K81" t="s">
        <v>152</v>
      </c>
    </row>
    <row r="82" spans="1:11" x14ac:dyDescent="0.2">
      <c r="A82" t="s">
        <v>107</v>
      </c>
      <c r="B82" t="s">
        <v>108</v>
      </c>
      <c r="C82">
        <v>93135</v>
      </c>
      <c r="D82">
        <v>3216923</v>
      </c>
      <c r="E82">
        <v>0.25</v>
      </c>
      <c r="F82">
        <v>1</v>
      </c>
      <c r="G82">
        <f>F82/(2*(1+0.1+0.01+0.001+0.0001))</f>
        <v>0.45000450004500048</v>
      </c>
      <c r="H82">
        <f>E82*G82</f>
        <v>0.11250112501125012</v>
      </c>
      <c r="I82">
        <f>C82/D82*1000000</f>
        <v>28951.578884542774</v>
      </c>
      <c r="J82">
        <f>LOG10(I82)</f>
        <v>4.4616722531116997</v>
      </c>
      <c r="K82" s="2">
        <f>LOG10(H82)</f>
        <v>-0.94884313458608482</v>
      </c>
    </row>
    <row r="83" spans="1:11" x14ac:dyDescent="0.2">
      <c r="A83" t="s">
        <v>109</v>
      </c>
      <c r="B83" t="s">
        <v>108</v>
      </c>
      <c r="C83">
        <v>15190</v>
      </c>
      <c r="D83">
        <v>3216923</v>
      </c>
      <c r="E83">
        <v>0.25</v>
      </c>
      <c r="F83">
        <v>0.1</v>
      </c>
      <c r="G83">
        <f t="shared" ref="G83:G99" si="11">F83/(2*(1+0.1+0.01+0.001+0.0001))</f>
        <v>4.5000450004500051E-2</v>
      </c>
      <c r="H83">
        <f t="shared" ref="H83:H99" si="12">E83*G83</f>
        <v>1.1250112501125013E-2</v>
      </c>
      <c r="I83">
        <f t="shared" ref="I83:I99" si="13">C83/D83*1000000</f>
        <v>4721.9035084147181</v>
      </c>
      <c r="J83">
        <f t="shared" ref="J83:J99" si="14">LOG10(I83)</f>
        <v>3.6741171080728217</v>
      </c>
      <c r="K83" s="2">
        <f t="shared" ref="K83:K99" si="15">LOG10(H83)</f>
        <v>-1.9488431345860848</v>
      </c>
    </row>
    <row r="84" spans="1:11" x14ac:dyDescent="0.2">
      <c r="A84" t="s">
        <v>110</v>
      </c>
      <c r="B84" t="s">
        <v>108</v>
      </c>
      <c r="C84">
        <v>2447</v>
      </c>
      <c r="D84">
        <v>3216923</v>
      </c>
      <c r="E84">
        <v>0.25</v>
      </c>
      <c r="F84">
        <v>0.01</v>
      </c>
      <c r="G84">
        <f t="shared" si="11"/>
        <v>4.5000450004500049E-3</v>
      </c>
      <c r="H84">
        <f t="shared" si="12"/>
        <v>1.1250112501125012E-3</v>
      </c>
      <c r="I84">
        <f t="shared" si="13"/>
        <v>760.66477189537954</v>
      </c>
      <c r="J84">
        <f t="shared" si="14"/>
        <v>2.8811933035618242</v>
      </c>
      <c r="K84" s="2">
        <f t="shared" si="15"/>
        <v>-2.9488431345860846</v>
      </c>
    </row>
    <row r="85" spans="1:11" x14ac:dyDescent="0.2">
      <c r="A85" t="s">
        <v>111</v>
      </c>
      <c r="B85" t="s">
        <v>108</v>
      </c>
      <c r="C85">
        <v>308</v>
      </c>
      <c r="D85">
        <v>3216923</v>
      </c>
      <c r="E85">
        <v>0.25</v>
      </c>
      <c r="F85">
        <v>1E-3</v>
      </c>
      <c r="G85">
        <f t="shared" si="11"/>
        <v>4.5000450004500047E-4</v>
      </c>
      <c r="H85">
        <f t="shared" si="12"/>
        <v>1.1250112501125012E-4</v>
      </c>
      <c r="I85">
        <f t="shared" si="13"/>
        <v>95.743665608409032</v>
      </c>
      <c r="J85">
        <f t="shared" si="14"/>
        <v>1.9811100507104795</v>
      </c>
      <c r="K85" s="2">
        <f t="shared" si="15"/>
        <v>-3.9488431345860846</v>
      </c>
    </row>
    <row r="86" spans="1:11" x14ac:dyDescent="0.2">
      <c r="A86" t="s">
        <v>112</v>
      </c>
      <c r="B86" t="s">
        <v>108</v>
      </c>
      <c r="C86">
        <v>149</v>
      </c>
      <c r="D86">
        <v>3216923</v>
      </c>
      <c r="E86">
        <v>0.25</v>
      </c>
      <c r="F86">
        <v>1E-4</v>
      </c>
      <c r="G86">
        <f t="shared" si="11"/>
        <v>4.5000450004500049E-5</v>
      </c>
      <c r="H86">
        <f t="shared" si="12"/>
        <v>1.1250112501125012E-5</v>
      </c>
      <c r="I86">
        <f t="shared" si="13"/>
        <v>46.317552518353722</v>
      </c>
      <c r="J86">
        <f t="shared" si="14"/>
        <v>1.6657456026223092</v>
      </c>
      <c r="K86" s="2">
        <f t="shared" si="15"/>
        <v>-4.9488431345860846</v>
      </c>
    </row>
    <row r="87" spans="1:11" x14ac:dyDescent="0.2">
      <c r="A87" t="s">
        <v>113</v>
      </c>
      <c r="B87" t="s">
        <v>108</v>
      </c>
      <c r="C87">
        <v>1075</v>
      </c>
      <c r="D87">
        <v>3216923</v>
      </c>
      <c r="E87">
        <v>0.25</v>
      </c>
      <c r="F87">
        <v>1E-3</v>
      </c>
      <c r="G87">
        <f t="shared" si="11"/>
        <v>4.5000450004500047E-4</v>
      </c>
      <c r="H87">
        <f t="shared" si="12"/>
        <v>1.1250112501125012E-4</v>
      </c>
      <c r="I87">
        <f t="shared" si="13"/>
        <v>334.17026145792113</v>
      </c>
      <c r="J87">
        <f t="shared" si="14"/>
        <v>2.5239677984616593</v>
      </c>
      <c r="K87" s="2">
        <f t="shared" si="15"/>
        <v>-3.9488431345860846</v>
      </c>
    </row>
    <row r="88" spans="1:11" x14ac:dyDescent="0.2">
      <c r="A88" t="s">
        <v>114</v>
      </c>
      <c r="B88" t="s">
        <v>108</v>
      </c>
      <c r="C88">
        <v>3189</v>
      </c>
      <c r="D88">
        <v>3216923</v>
      </c>
      <c r="E88">
        <v>0.25</v>
      </c>
      <c r="F88">
        <v>0.01</v>
      </c>
      <c r="G88">
        <f t="shared" si="11"/>
        <v>4.5000450004500049E-3</v>
      </c>
      <c r="H88">
        <f t="shared" si="12"/>
        <v>1.1250112501125012E-3</v>
      </c>
      <c r="I88">
        <f t="shared" si="13"/>
        <v>991.31996631563754</v>
      </c>
      <c r="J88">
        <f t="shared" si="14"/>
        <v>2.9962138534529945</v>
      </c>
      <c r="K88" s="2">
        <f t="shared" si="15"/>
        <v>-2.9488431345860846</v>
      </c>
    </row>
    <row r="89" spans="1:11" x14ac:dyDescent="0.2">
      <c r="A89" t="s">
        <v>115</v>
      </c>
      <c r="B89" t="s">
        <v>108</v>
      </c>
      <c r="C89">
        <v>25347</v>
      </c>
      <c r="D89">
        <v>3216923</v>
      </c>
      <c r="E89">
        <v>0.25</v>
      </c>
      <c r="F89">
        <v>0.1</v>
      </c>
      <c r="G89">
        <f t="shared" si="11"/>
        <v>4.5000450004500051E-2</v>
      </c>
      <c r="H89">
        <f t="shared" si="12"/>
        <v>1.1250112501125013E-2</v>
      </c>
      <c r="I89">
        <f t="shared" si="13"/>
        <v>7879.2684810920255</v>
      </c>
      <c r="J89">
        <f t="shared" si="14"/>
        <v>3.8964858990413038</v>
      </c>
      <c r="K89" s="2">
        <f t="shared" si="15"/>
        <v>-1.9488431345860848</v>
      </c>
    </row>
    <row r="90" spans="1:11" x14ac:dyDescent="0.2">
      <c r="A90" t="s">
        <v>116</v>
      </c>
      <c r="B90" t="s">
        <v>108</v>
      </c>
      <c r="C90">
        <v>237329</v>
      </c>
      <c r="D90">
        <v>3216923</v>
      </c>
      <c r="E90">
        <v>0.25</v>
      </c>
      <c r="F90">
        <v>1</v>
      </c>
      <c r="G90">
        <f t="shared" si="11"/>
        <v>0.45000450004500048</v>
      </c>
      <c r="H90">
        <f t="shared" si="12"/>
        <v>0.11250112501125012</v>
      </c>
      <c r="I90">
        <f t="shared" si="13"/>
        <v>73775.157192136699</v>
      </c>
      <c r="J90">
        <f t="shared" si="14"/>
        <v>4.8679101435207581</v>
      </c>
      <c r="K90" s="2">
        <f t="shared" si="15"/>
        <v>-0.94884313458608482</v>
      </c>
    </row>
    <row r="91" spans="1:11" x14ac:dyDescent="0.2">
      <c r="A91" t="s">
        <v>107</v>
      </c>
      <c r="B91" t="s">
        <v>117</v>
      </c>
      <c r="C91">
        <v>90897</v>
      </c>
      <c r="D91">
        <v>1723417</v>
      </c>
      <c r="E91">
        <v>0.2</v>
      </c>
      <c r="F91">
        <v>1</v>
      </c>
      <c r="G91">
        <f t="shared" si="11"/>
        <v>0.45000450004500048</v>
      </c>
      <c r="H91">
        <f t="shared" si="12"/>
        <v>9.0000900009000101E-2</v>
      </c>
      <c r="I91">
        <f t="shared" si="13"/>
        <v>52742.313671038413</v>
      </c>
      <c r="J91">
        <f t="shared" si="14"/>
        <v>4.7221591772686642</v>
      </c>
      <c r="K91" s="2">
        <f t="shared" si="15"/>
        <v>-1.0457531475941411</v>
      </c>
    </row>
    <row r="92" spans="1:11" x14ac:dyDescent="0.2">
      <c r="A92" t="s">
        <v>109</v>
      </c>
      <c r="B92" t="s">
        <v>117</v>
      </c>
      <c r="C92">
        <v>15002</v>
      </c>
      <c r="D92">
        <v>1723417</v>
      </c>
      <c r="E92">
        <v>0.2</v>
      </c>
      <c r="F92">
        <v>0.1</v>
      </c>
      <c r="G92">
        <f t="shared" si="11"/>
        <v>4.5000450004500051E-2</v>
      </c>
      <c r="H92">
        <f t="shared" si="12"/>
        <v>9.0000900009000098E-3</v>
      </c>
      <c r="I92">
        <f t="shared" si="13"/>
        <v>8704.799824998825</v>
      </c>
      <c r="J92">
        <f t="shared" si="14"/>
        <v>3.9397587885609902</v>
      </c>
      <c r="K92" s="2">
        <f t="shared" si="15"/>
        <v>-2.0457531475941413</v>
      </c>
    </row>
    <row r="93" spans="1:11" x14ac:dyDescent="0.2">
      <c r="A93" t="s">
        <v>110</v>
      </c>
      <c r="B93" t="s">
        <v>117</v>
      </c>
      <c r="C93">
        <v>2421</v>
      </c>
      <c r="D93">
        <v>1723417</v>
      </c>
      <c r="E93">
        <v>0.2</v>
      </c>
      <c r="F93">
        <v>0.01</v>
      </c>
      <c r="G93">
        <f t="shared" si="11"/>
        <v>4.5000450004500049E-3</v>
      </c>
      <c r="H93">
        <f t="shared" si="12"/>
        <v>9.0000900009000104E-4</v>
      </c>
      <c r="I93">
        <f t="shared" si="13"/>
        <v>1404.7673894362188</v>
      </c>
      <c r="J93">
        <f t="shared" si="14"/>
        <v>3.1476044168761734</v>
      </c>
      <c r="K93" s="2">
        <f t="shared" si="15"/>
        <v>-3.0457531475941413</v>
      </c>
    </row>
    <row r="94" spans="1:11" x14ac:dyDescent="0.2">
      <c r="A94" t="s">
        <v>111</v>
      </c>
      <c r="B94" t="s">
        <v>117</v>
      </c>
      <c r="C94">
        <v>296</v>
      </c>
      <c r="D94">
        <v>1723417</v>
      </c>
      <c r="E94">
        <v>0.2</v>
      </c>
      <c r="F94">
        <v>1E-3</v>
      </c>
      <c r="G94">
        <f t="shared" si="11"/>
        <v>4.5000450004500047E-4</v>
      </c>
      <c r="H94">
        <f t="shared" si="12"/>
        <v>9.0000900009000099E-5</v>
      </c>
      <c r="I94">
        <f t="shared" si="13"/>
        <v>171.75181630446954</v>
      </c>
      <c r="J94">
        <f t="shared" si="14"/>
        <v>2.2349013384933794</v>
      </c>
      <c r="K94" s="2">
        <f t="shared" si="15"/>
        <v>-4.0457531475941408</v>
      </c>
    </row>
    <row r="95" spans="1:11" x14ac:dyDescent="0.2">
      <c r="A95" t="s">
        <v>112</v>
      </c>
      <c r="B95" t="s">
        <v>117</v>
      </c>
      <c r="C95">
        <v>148</v>
      </c>
      <c r="D95">
        <v>1723417</v>
      </c>
      <c r="E95">
        <v>0.2</v>
      </c>
      <c r="F95">
        <v>1E-4</v>
      </c>
      <c r="G95">
        <f t="shared" si="11"/>
        <v>4.5000450004500049E-5</v>
      </c>
      <c r="H95">
        <f t="shared" si="12"/>
        <v>9.0000900009000095E-6</v>
      </c>
      <c r="I95">
        <f t="shared" si="13"/>
        <v>85.875908152234771</v>
      </c>
      <c r="J95">
        <f t="shared" si="14"/>
        <v>1.9338713428293981</v>
      </c>
      <c r="K95" s="2">
        <f t="shared" si="15"/>
        <v>-5.0457531475941408</v>
      </c>
    </row>
    <row r="96" spans="1:11" x14ac:dyDescent="0.2">
      <c r="A96" t="s">
        <v>113</v>
      </c>
      <c r="B96" t="s">
        <v>117</v>
      </c>
      <c r="C96">
        <v>1059</v>
      </c>
      <c r="D96">
        <v>1723417</v>
      </c>
      <c r="E96">
        <v>0.2</v>
      </c>
      <c r="F96">
        <v>1E-3</v>
      </c>
      <c r="G96">
        <f t="shared" si="11"/>
        <v>4.5000450004500047E-4</v>
      </c>
      <c r="H96">
        <f t="shared" si="12"/>
        <v>9.0000900009000099E-5</v>
      </c>
      <c r="I96">
        <f t="shared" si="13"/>
        <v>614.47693738659882</v>
      </c>
      <c r="J96">
        <f t="shared" si="14"/>
        <v>2.788505587541926</v>
      </c>
      <c r="K96" s="2">
        <f t="shared" si="15"/>
        <v>-4.0457531475941408</v>
      </c>
    </row>
    <row r="97" spans="1:11" x14ac:dyDescent="0.2">
      <c r="A97" t="s">
        <v>114</v>
      </c>
      <c r="B97" t="s">
        <v>117</v>
      </c>
      <c r="C97">
        <v>3129</v>
      </c>
      <c r="D97">
        <v>1723417</v>
      </c>
      <c r="E97">
        <v>0.2</v>
      </c>
      <c r="F97">
        <v>0.01</v>
      </c>
      <c r="G97">
        <f t="shared" si="11"/>
        <v>4.5000450004500049E-3</v>
      </c>
      <c r="H97">
        <f t="shared" si="12"/>
        <v>9.0000900009000104E-4</v>
      </c>
      <c r="I97">
        <f t="shared" si="13"/>
        <v>1815.5791662725853</v>
      </c>
      <c r="J97">
        <f t="shared" si="14"/>
        <v>3.2590151905806342</v>
      </c>
      <c r="K97" s="2">
        <f t="shared" si="15"/>
        <v>-3.0457531475941413</v>
      </c>
    </row>
    <row r="98" spans="1:11" x14ac:dyDescent="0.2">
      <c r="A98" t="s">
        <v>115</v>
      </c>
      <c r="B98" t="s">
        <v>117</v>
      </c>
      <c r="C98">
        <v>24856</v>
      </c>
      <c r="D98">
        <v>1723417</v>
      </c>
      <c r="E98">
        <v>0.2</v>
      </c>
      <c r="F98">
        <v>0.1</v>
      </c>
      <c r="G98">
        <f t="shared" si="11"/>
        <v>4.5000450004500051E-2</v>
      </c>
      <c r="H98">
        <f t="shared" si="12"/>
        <v>9.0000900009000098E-3</v>
      </c>
      <c r="I98">
        <f t="shared" si="13"/>
        <v>14422.51062859424</v>
      </c>
      <c r="J98">
        <f t="shared" si="14"/>
        <v>4.1590408676813588</v>
      </c>
      <c r="K98" s="2">
        <f t="shared" si="15"/>
        <v>-2.0457531475941413</v>
      </c>
    </row>
    <row r="99" spans="1:11" x14ac:dyDescent="0.2">
      <c r="A99" t="s">
        <v>116</v>
      </c>
      <c r="B99" t="s">
        <v>117</v>
      </c>
      <c r="C99">
        <v>230898</v>
      </c>
      <c r="D99">
        <v>1723417</v>
      </c>
      <c r="E99">
        <v>0.2</v>
      </c>
      <c r="F99">
        <v>1</v>
      </c>
      <c r="G99">
        <f t="shared" si="11"/>
        <v>0.45000450004500048</v>
      </c>
      <c r="H99">
        <f t="shared" si="12"/>
        <v>9.0000900009000101E-2</v>
      </c>
      <c r="I99">
        <f t="shared" si="13"/>
        <v>133976.86108469396</v>
      </c>
      <c r="J99">
        <f t="shared" si="14"/>
        <v>5.1270297985814759</v>
      </c>
      <c r="K99" s="2">
        <f t="shared" si="15"/>
        <v>-1.0457531475941411</v>
      </c>
    </row>
    <row r="101" spans="1:11" x14ac:dyDescent="0.2">
      <c r="A101" t="s">
        <v>172</v>
      </c>
    </row>
    <row r="102" spans="1:11" x14ac:dyDescent="0.2">
      <c r="A102" t="s">
        <v>126</v>
      </c>
    </row>
    <row r="103" spans="1:11" ht="17" thickBot="1" x14ac:dyDescent="0.25"/>
    <row r="104" spans="1:11" x14ac:dyDescent="0.2">
      <c r="A104" s="33" t="s">
        <v>127</v>
      </c>
      <c r="B104" s="33"/>
    </row>
    <row r="105" spans="1:11" x14ac:dyDescent="0.2">
      <c r="A105" t="s">
        <v>128</v>
      </c>
      <c r="B105">
        <v>0.98277768956987499</v>
      </c>
    </row>
    <row r="106" spans="1:11" x14ac:dyDescent="0.2">
      <c r="A106" t="s">
        <v>129</v>
      </c>
      <c r="B106">
        <v>0.96585198711630149</v>
      </c>
    </row>
    <row r="107" spans="1:11" x14ac:dyDescent="0.2">
      <c r="A107" t="s">
        <v>130</v>
      </c>
      <c r="B107">
        <v>0.96097369956148737</v>
      </c>
    </row>
    <row r="108" spans="1:11" x14ac:dyDescent="0.2">
      <c r="A108" t="s">
        <v>131</v>
      </c>
      <c r="B108">
        <v>0.27547136525396865</v>
      </c>
    </row>
    <row r="109" spans="1:11" ht="17" thickBot="1" x14ac:dyDescent="0.25">
      <c r="A109" s="31" t="s">
        <v>132</v>
      </c>
      <c r="B109" s="31">
        <v>9</v>
      </c>
    </row>
    <row r="111" spans="1:11" ht="17" thickBot="1" x14ac:dyDescent="0.25">
      <c r="A111" t="s">
        <v>133</v>
      </c>
    </row>
    <row r="112" spans="1:11" x14ac:dyDescent="0.2">
      <c r="A112" s="32"/>
      <c r="B112" s="32" t="s">
        <v>138</v>
      </c>
      <c r="C112" s="32" t="s">
        <v>139</v>
      </c>
      <c r="D112" s="32" t="s">
        <v>140</v>
      </c>
      <c r="E112" s="32" t="s">
        <v>141</v>
      </c>
      <c r="F112" s="32" t="s">
        <v>142</v>
      </c>
    </row>
    <row r="113" spans="1:9" x14ac:dyDescent="0.2">
      <c r="A113" t="s">
        <v>134</v>
      </c>
      <c r="B113">
        <v>1</v>
      </c>
      <c r="C113">
        <v>15.024364244031355</v>
      </c>
      <c r="D113">
        <v>15.024364244031355</v>
      </c>
      <c r="E113">
        <v>197.98996600009067</v>
      </c>
      <c r="F113">
        <v>2.170514370853631E-6</v>
      </c>
    </row>
    <row r="114" spans="1:9" x14ac:dyDescent="0.2">
      <c r="A114" t="s">
        <v>135</v>
      </c>
      <c r="B114">
        <v>7</v>
      </c>
      <c r="C114">
        <v>0.53119131152419774</v>
      </c>
      <c r="D114">
        <v>7.5884473074885397E-2</v>
      </c>
    </row>
    <row r="115" spans="1:9" ht="17" thickBot="1" x14ac:dyDescent="0.25">
      <c r="A115" s="31" t="s">
        <v>136</v>
      </c>
      <c r="B115" s="31">
        <v>8</v>
      </c>
      <c r="C115" s="31">
        <v>15.555555555555554</v>
      </c>
      <c r="D115" s="31"/>
      <c r="E115" s="31"/>
      <c r="F115" s="31"/>
    </row>
    <row r="116" spans="1:9" ht="17" thickBot="1" x14ac:dyDescent="0.25"/>
    <row r="117" spans="1:9" x14ac:dyDescent="0.2">
      <c r="A117" s="32"/>
      <c r="B117" s="32" t="s">
        <v>143</v>
      </c>
      <c r="C117" s="32" t="s">
        <v>131</v>
      </c>
      <c r="D117" s="32" t="s">
        <v>144</v>
      </c>
      <c r="E117" s="32" t="s">
        <v>145</v>
      </c>
      <c r="F117" s="32" t="s">
        <v>146</v>
      </c>
      <c r="G117" s="32" t="s">
        <v>147</v>
      </c>
      <c r="H117" s="32" t="s">
        <v>148</v>
      </c>
      <c r="I117" s="32" t="s">
        <v>149</v>
      </c>
    </row>
    <row r="118" spans="1:9" x14ac:dyDescent="0.2">
      <c r="A118" t="s">
        <v>137</v>
      </c>
      <c r="B118">
        <v>-6.7671601206840846</v>
      </c>
      <c r="C118">
        <v>0.30147987595768366</v>
      </c>
      <c r="D118">
        <v>-22.44647374617448</v>
      </c>
      <c r="E118">
        <v>8.8123820173190667E-8</v>
      </c>
      <c r="F118">
        <v>-7.4800467467408076</v>
      </c>
      <c r="G118">
        <v>-6.0542734946273615</v>
      </c>
      <c r="H118">
        <v>-7.4800467467408076</v>
      </c>
      <c r="I118">
        <v>-6.0542734946273615</v>
      </c>
    </row>
    <row r="119" spans="1:9" ht="17" thickBot="1" x14ac:dyDescent="0.25">
      <c r="A119" s="31" t="s">
        <v>151</v>
      </c>
      <c r="B119" s="31">
        <v>1.2561949109446751</v>
      </c>
      <c r="C119" s="31">
        <v>8.9276147107148096E-2</v>
      </c>
      <c r="D119" s="31">
        <v>14.070890732291637</v>
      </c>
      <c r="E119" s="31">
        <v>2.170514370853631E-6</v>
      </c>
      <c r="F119" s="31">
        <v>1.0450903684063477</v>
      </c>
      <c r="G119" s="31">
        <v>1.4672994534830024</v>
      </c>
      <c r="H119" s="31">
        <v>1.0450903684063477</v>
      </c>
      <c r="I119" s="31">
        <v>1.4672994534830024</v>
      </c>
    </row>
    <row r="122" spans="1:9" x14ac:dyDescent="0.2">
      <c r="A122" t="s">
        <v>173</v>
      </c>
    </row>
    <row r="123" spans="1:9" x14ac:dyDescent="0.2">
      <c r="A123" t="s">
        <v>126</v>
      </c>
    </row>
    <row r="124" spans="1:9" ht="17" thickBot="1" x14ac:dyDescent="0.25"/>
    <row r="125" spans="1:9" x14ac:dyDescent="0.2">
      <c r="A125" s="33" t="s">
        <v>127</v>
      </c>
      <c r="B125" s="33"/>
    </row>
    <row r="126" spans="1:9" x14ac:dyDescent="0.2">
      <c r="A126" t="s">
        <v>128</v>
      </c>
      <c r="B126">
        <v>0.98251270102667276</v>
      </c>
    </row>
    <row r="127" spans="1:9" x14ac:dyDescent="0.2">
      <c r="A127" t="s">
        <v>129</v>
      </c>
      <c r="B127">
        <v>0.96533120767872804</v>
      </c>
    </row>
    <row r="128" spans="1:9" x14ac:dyDescent="0.2">
      <c r="A128" t="s">
        <v>130</v>
      </c>
      <c r="B128">
        <v>0.96037852306140348</v>
      </c>
    </row>
    <row r="129" spans="1:9" x14ac:dyDescent="0.2">
      <c r="A129" t="s">
        <v>131</v>
      </c>
      <c r="B129">
        <v>0.2775639758937346</v>
      </c>
    </row>
    <row r="130" spans="1:9" ht="17" thickBot="1" x14ac:dyDescent="0.25">
      <c r="A130" s="31" t="s">
        <v>132</v>
      </c>
      <c r="B130" s="31">
        <v>9</v>
      </c>
    </row>
    <row r="132" spans="1:9" ht="17" thickBot="1" x14ac:dyDescent="0.25">
      <c r="A132" t="s">
        <v>133</v>
      </c>
    </row>
    <row r="133" spans="1:9" x14ac:dyDescent="0.2">
      <c r="A133" s="32"/>
      <c r="B133" s="32" t="s">
        <v>138</v>
      </c>
      <c r="C133" s="32" t="s">
        <v>139</v>
      </c>
      <c r="D133" s="32" t="s">
        <v>140</v>
      </c>
      <c r="E133" s="32" t="s">
        <v>141</v>
      </c>
      <c r="F133" s="32" t="s">
        <v>142</v>
      </c>
    </row>
    <row r="134" spans="1:9" x14ac:dyDescent="0.2">
      <c r="A134" t="s">
        <v>134</v>
      </c>
      <c r="B134">
        <v>1</v>
      </c>
      <c r="C134">
        <v>15.016263230557989</v>
      </c>
      <c r="D134">
        <v>15.016263230557989</v>
      </c>
      <c r="E134">
        <v>194.91069637303065</v>
      </c>
      <c r="F134">
        <v>2.2890733334159977E-6</v>
      </c>
    </row>
    <row r="135" spans="1:9" x14ac:dyDescent="0.2">
      <c r="A135" t="s">
        <v>135</v>
      </c>
      <c r="B135">
        <v>7</v>
      </c>
      <c r="C135">
        <v>0.53929232499756385</v>
      </c>
      <c r="D135">
        <v>7.7041760713937688E-2</v>
      </c>
    </row>
    <row r="136" spans="1:9" ht="17" thickBot="1" x14ac:dyDescent="0.25">
      <c r="A136" s="31" t="s">
        <v>136</v>
      </c>
      <c r="B136" s="31">
        <v>8</v>
      </c>
      <c r="C136" s="31">
        <v>15.555555555555554</v>
      </c>
      <c r="D136" s="31"/>
      <c r="E136" s="31"/>
      <c r="F136" s="31"/>
    </row>
    <row r="137" spans="1:9" ht="17" thickBot="1" x14ac:dyDescent="0.25"/>
    <row r="138" spans="1:9" x14ac:dyDescent="0.2">
      <c r="A138" s="32"/>
      <c r="B138" s="32" t="s">
        <v>143</v>
      </c>
      <c r="C138" s="32" t="s">
        <v>131</v>
      </c>
      <c r="D138" s="32" t="s">
        <v>144</v>
      </c>
      <c r="E138" s="32" t="s">
        <v>145</v>
      </c>
      <c r="F138" s="32" t="s">
        <v>146</v>
      </c>
      <c r="G138" s="32" t="s">
        <v>147</v>
      </c>
      <c r="H138" s="32" t="s">
        <v>148</v>
      </c>
      <c r="I138" s="32" t="s">
        <v>149</v>
      </c>
    </row>
    <row r="139" spans="1:9" x14ac:dyDescent="0.2">
      <c r="A139" t="s">
        <v>137</v>
      </c>
      <c r="B139">
        <v>-7.1961286730013798</v>
      </c>
      <c r="C139">
        <v>0.32657986324660049</v>
      </c>
      <c r="D139">
        <v>-22.034820522806033</v>
      </c>
      <c r="E139">
        <v>1.0015331226030484E-7</v>
      </c>
      <c r="F139">
        <v>-7.9683673377161464</v>
      </c>
      <c r="G139">
        <v>-6.4238900082866133</v>
      </c>
      <c r="H139">
        <v>-7.9683673377161464</v>
      </c>
      <c r="I139">
        <v>-6.4238900082866133</v>
      </c>
    </row>
    <row r="140" spans="1:9" ht="17" thickBot="1" x14ac:dyDescent="0.25">
      <c r="A140" s="31" t="s">
        <v>166</v>
      </c>
      <c r="B140" s="31">
        <v>1.2568191864801974</v>
      </c>
      <c r="C140" s="31">
        <v>9.0023307568673744E-2</v>
      </c>
      <c r="D140" s="31">
        <v>13.961042094809063</v>
      </c>
      <c r="E140" s="31">
        <v>2.2890733334160024E-6</v>
      </c>
      <c r="F140" s="31">
        <v>1.0439478901947152</v>
      </c>
      <c r="G140" s="31">
        <v>1.4696904827656796</v>
      </c>
      <c r="H140" s="31">
        <v>1.0439478901947152</v>
      </c>
      <c r="I140" s="31">
        <v>1.4696904827656796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A8AC-889E-CA4E-873C-2DEEB4CB6BC7}">
  <dimension ref="A1:P20"/>
  <sheetViews>
    <sheetView workbookViewId="0">
      <selection activeCell="E41" sqref="E41"/>
    </sheetView>
  </sheetViews>
  <sheetFormatPr baseColWidth="10" defaultRowHeight="16" x14ac:dyDescent="0.2"/>
  <sheetData>
    <row r="1" spans="1:16" x14ac:dyDescent="0.2">
      <c r="A1" t="s">
        <v>208</v>
      </c>
    </row>
    <row r="2" spans="1:16" x14ac:dyDescent="0.2">
      <c r="A2" t="s">
        <v>209</v>
      </c>
    </row>
    <row r="3" spans="1:16" x14ac:dyDescent="0.2">
      <c r="A3" s="43" t="s">
        <v>207</v>
      </c>
    </row>
    <row r="4" spans="1:16" x14ac:dyDescent="0.2">
      <c r="A4" t="s">
        <v>210</v>
      </c>
    </row>
    <row r="5" spans="1:16" x14ac:dyDescent="0.2">
      <c r="A5" t="s">
        <v>211</v>
      </c>
    </row>
    <row r="7" spans="1:16" x14ac:dyDescent="0.2">
      <c r="B7" t="s">
        <v>179</v>
      </c>
      <c r="C7" t="s">
        <v>180</v>
      </c>
      <c r="D7" t="s">
        <v>181</v>
      </c>
      <c r="E7" t="s">
        <v>182</v>
      </c>
      <c r="F7" t="s">
        <v>183</v>
      </c>
      <c r="G7" t="s">
        <v>184</v>
      </c>
      <c r="H7" t="s">
        <v>185</v>
      </c>
      <c r="I7" t="s">
        <v>186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</row>
    <row r="8" spans="1:16" x14ac:dyDescent="0.2">
      <c r="A8">
        <v>1</v>
      </c>
      <c r="B8" t="s">
        <v>169</v>
      </c>
      <c r="C8">
        <v>863707</v>
      </c>
      <c r="D8" t="s">
        <v>195</v>
      </c>
      <c r="E8">
        <v>79950</v>
      </c>
      <c r="F8">
        <v>1904788.33333333</v>
      </c>
      <c r="G8">
        <v>3216923</v>
      </c>
      <c r="H8">
        <v>6.2959751433448901</v>
      </c>
      <c r="I8">
        <v>16.933536662854198</v>
      </c>
      <c r="J8">
        <v>5.2287476723885904</v>
      </c>
      <c r="K8">
        <v>0.54168919427718798</v>
      </c>
      <c r="L8">
        <v>263469.801612971</v>
      </c>
      <c r="M8">
        <v>27.0005847092309</v>
      </c>
      <c r="N8">
        <v>27508</v>
      </c>
      <c r="O8" s="3">
        <v>1.52585311990327E-6</v>
      </c>
      <c r="P8">
        <v>22.105160047300998</v>
      </c>
    </row>
    <row r="9" spans="1:16" x14ac:dyDescent="0.2">
      <c r="A9">
        <v>2</v>
      </c>
      <c r="B9" t="s">
        <v>169</v>
      </c>
      <c r="C9">
        <v>863707</v>
      </c>
      <c r="D9" t="s">
        <v>196</v>
      </c>
      <c r="E9">
        <v>93024</v>
      </c>
      <c r="F9">
        <v>4373730</v>
      </c>
      <c r="G9">
        <v>3216923</v>
      </c>
      <c r="H9">
        <v>3.1903203901475399</v>
      </c>
      <c r="I9">
        <v>19.7026305756767</v>
      </c>
      <c r="J9">
        <v>5.2945242143966702</v>
      </c>
      <c r="K9">
        <v>0.65408448128256302</v>
      </c>
      <c r="L9">
        <v>138550.87415383701</v>
      </c>
      <c r="M9">
        <v>14.1987984627703</v>
      </c>
      <c r="N9">
        <v>27508</v>
      </c>
      <c r="O9" s="3">
        <v>7.73186076813422E-7</v>
      </c>
      <c r="P9">
        <v>11.2012104909474</v>
      </c>
    </row>
    <row r="10" spans="1:16" x14ac:dyDescent="0.2">
      <c r="A10">
        <v>3</v>
      </c>
      <c r="B10" t="s">
        <v>169</v>
      </c>
      <c r="C10">
        <v>863707</v>
      </c>
      <c r="D10" t="s">
        <v>197</v>
      </c>
      <c r="E10">
        <v>86188</v>
      </c>
      <c r="F10">
        <v>5033120.8857142897</v>
      </c>
      <c r="G10">
        <v>3216923</v>
      </c>
      <c r="H10">
        <v>2.5686249731641899</v>
      </c>
      <c r="I10">
        <v>18.254754945567001</v>
      </c>
      <c r="J10">
        <v>5.2613760072938298</v>
      </c>
      <c r="K10">
        <v>0.59479652205780897</v>
      </c>
      <c r="L10">
        <v>109485.965747681</v>
      </c>
      <c r="M10">
        <v>11.220204647911601</v>
      </c>
      <c r="N10">
        <v>27508</v>
      </c>
      <c r="O10" s="3">
        <v>6.2251586766618001E-7</v>
      </c>
      <c r="P10">
        <v>9.0184387391216596</v>
      </c>
    </row>
    <row r="11" spans="1:16" x14ac:dyDescent="0.2">
      <c r="A11">
        <v>4</v>
      </c>
      <c r="B11" t="s">
        <v>169</v>
      </c>
      <c r="C11">
        <v>863707</v>
      </c>
      <c r="D11" t="s">
        <v>198</v>
      </c>
      <c r="E11">
        <v>45441</v>
      </c>
      <c r="F11">
        <v>3861016</v>
      </c>
      <c r="G11">
        <v>3216923</v>
      </c>
      <c r="H11">
        <v>1.76537729965377</v>
      </c>
      <c r="I11">
        <v>9.62447579107892</v>
      </c>
      <c r="J11">
        <v>4.98337708444115</v>
      </c>
      <c r="K11">
        <v>0.26809831701850501</v>
      </c>
      <c r="L11">
        <v>64330.937567706002</v>
      </c>
      <c r="M11">
        <v>6.5926831788208</v>
      </c>
      <c r="N11">
        <v>27508</v>
      </c>
      <c r="O11" s="3">
        <v>4.2784579023163401E-7</v>
      </c>
      <c r="P11">
        <v>6.1982372649562496</v>
      </c>
    </row>
    <row r="12" spans="1:16" x14ac:dyDescent="0.2">
      <c r="A12">
        <v>5</v>
      </c>
      <c r="B12" t="s">
        <v>169</v>
      </c>
      <c r="C12">
        <v>863707</v>
      </c>
      <c r="D12" t="s">
        <v>194</v>
      </c>
      <c r="E12">
        <v>31185</v>
      </c>
      <c r="F12">
        <v>2453028</v>
      </c>
      <c r="G12">
        <v>3216923</v>
      </c>
      <c r="H12">
        <v>1.9069289058257799</v>
      </c>
      <c r="I12">
        <v>6.6050324056423904</v>
      </c>
      <c r="J12">
        <v>4.8198749526934899</v>
      </c>
      <c r="K12">
        <v>0.167785382502355</v>
      </c>
      <c r="L12">
        <v>63369.314824163899</v>
      </c>
      <c r="M12">
        <v>6.49413535213868</v>
      </c>
      <c r="N12" s="3">
        <v>27508</v>
      </c>
      <c r="O12" s="3">
        <v>4.6215135132222898E-7</v>
      </c>
      <c r="P12">
        <v>6.6952247590527403</v>
      </c>
    </row>
    <row r="13" spans="1:16" x14ac:dyDescent="0.2">
      <c r="A13">
        <v>6</v>
      </c>
      <c r="B13" t="s">
        <v>169</v>
      </c>
      <c r="C13">
        <v>863707</v>
      </c>
      <c r="D13" t="s">
        <v>199</v>
      </c>
      <c r="E13">
        <v>24929</v>
      </c>
      <c r="F13">
        <v>2031251</v>
      </c>
      <c r="G13">
        <v>3216923</v>
      </c>
      <c r="H13">
        <v>1.84090986293668</v>
      </c>
      <c r="I13">
        <v>5.28000169441267</v>
      </c>
      <c r="J13">
        <v>4.7226340619038796</v>
      </c>
      <c r="K13">
        <v>0.126970029419671</v>
      </c>
      <c r="L13">
        <v>57911.527819385701</v>
      </c>
      <c r="M13">
        <v>5.9348172084831603</v>
      </c>
      <c r="N13">
        <v>27508</v>
      </c>
      <c r="O13" s="3">
        <v>4.46151389398644E-7</v>
      </c>
      <c r="P13">
        <v>6.46343199049715</v>
      </c>
    </row>
    <row r="14" spans="1:16" x14ac:dyDescent="0.2">
      <c r="A14">
        <v>7</v>
      </c>
      <c r="B14" t="s">
        <v>169</v>
      </c>
      <c r="C14">
        <v>863707</v>
      </c>
      <c r="D14" t="s">
        <v>200</v>
      </c>
      <c r="E14">
        <v>1975</v>
      </c>
      <c r="F14">
        <v>89264</v>
      </c>
      <c r="G14">
        <v>3216923</v>
      </c>
      <c r="H14">
        <v>3.3188071338949601</v>
      </c>
      <c r="I14">
        <v>0.41830812894480501</v>
      </c>
      <c r="J14">
        <v>3.62149630426882</v>
      </c>
      <c r="K14">
        <v>5.4065556339343897E-3</v>
      </c>
      <c r="L14">
        <v>56114.064464876603</v>
      </c>
      <c r="M14">
        <v>5.7506118032790701</v>
      </c>
      <c r="N14">
        <v>27508</v>
      </c>
      <c r="O14" s="3">
        <v>8.0432531963912597E-7</v>
      </c>
      <c r="P14">
        <v>11.6523272710852</v>
      </c>
    </row>
    <row r="15" spans="1:16" x14ac:dyDescent="0.2">
      <c r="A15">
        <v>8</v>
      </c>
      <c r="B15" t="s">
        <v>169</v>
      </c>
      <c r="C15">
        <v>863707</v>
      </c>
      <c r="D15" t="s">
        <v>201</v>
      </c>
      <c r="E15">
        <v>26130</v>
      </c>
      <c r="F15">
        <v>2292986</v>
      </c>
      <c r="G15">
        <v>3216923</v>
      </c>
      <c r="H15">
        <v>1.70934318831428</v>
      </c>
      <c r="I15">
        <v>5.5343753971279703</v>
      </c>
      <c r="J15">
        <v>4.7430686140336702</v>
      </c>
      <c r="K15">
        <v>0.13462933928829501</v>
      </c>
      <c r="L15">
        <v>54395.842276880299</v>
      </c>
      <c r="M15">
        <v>5.5745270928027404</v>
      </c>
      <c r="N15">
        <v>27508</v>
      </c>
      <c r="O15" s="3">
        <v>4.1426571380792901E-7</v>
      </c>
      <c r="P15">
        <v>6.0015015773039497</v>
      </c>
    </row>
    <row r="16" spans="1:16" x14ac:dyDescent="0.2">
      <c r="A16">
        <v>9</v>
      </c>
      <c r="B16" t="s">
        <v>169</v>
      </c>
      <c r="C16">
        <v>863707</v>
      </c>
      <c r="D16" t="s">
        <v>202</v>
      </c>
      <c r="E16">
        <v>22303</v>
      </c>
      <c r="F16">
        <v>2204851</v>
      </c>
      <c r="G16">
        <v>3216923</v>
      </c>
      <c r="H16">
        <v>1.5173134148293901</v>
      </c>
      <c r="I16">
        <v>4.7238107341042896</v>
      </c>
      <c r="J16">
        <v>4.6742924886915302</v>
      </c>
      <c r="K16">
        <v>0.110540628776225</v>
      </c>
      <c r="L16">
        <v>46448.327346622202</v>
      </c>
      <c r="M16">
        <v>4.7600597466833703</v>
      </c>
      <c r="N16">
        <v>27508</v>
      </c>
      <c r="O16" s="3">
        <v>3.67726580105034E-7</v>
      </c>
      <c r="P16">
        <v>5.3272853073719899</v>
      </c>
    </row>
    <row r="17" spans="1:16" x14ac:dyDescent="0.2">
      <c r="A17">
        <v>10</v>
      </c>
      <c r="B17" t="s">
        <v>169</v>
      </c>
      <c r="C17">
        <v>863707</v>
      </c>
      <c r="D17" t="s">
        <v>203</v>
      </c>
      <c r="E17">
        <v>19783</v>
      </c>
      <c r="F17">
        <v>2484878.3333333302</v>
      </c>
      <c r="G17">
        <v>3216923</v>
      </c>
      <c r="H17">
        <v>1.1942033379233199</v>
      </c>
      <c r="I17">
        <v>4.1900707417291496</v>
      </c>
      <c r="J17">
        <v>4.6222213553011997</v>
      </c>
      <c r="K17">
        <v>9.5213778252424205E-2</v>
      </c>
      <c r="L17">
        <v>35499.485950342299</v>
      </c>
      <c r="M17">
        <v>3.63801419239836</v>
      </c>
      <c r="N17">
        <v>27508</v>
      </c>
      <c r="O17" s="3">
        <v>2.8941964469083402E-7</v>
      </c>
      <c r="P17">
        <v>4.1928462728636804</v>
      </c>
    </row>
    <row r="18" spans="1:16" x14ac:dyDescent="0.2">
      <c r="A18">
        <v>11</v>
      </c>
      <c r="B18" t="s">
        <v>169</v>
      </c>
      <c r="C18">
        <v>863707</v>
      </c>
      <c r="D18" t="s">
        <v>204</v>
      </c>
      <c r="E18">
        <v>14478</v>
      </c>
      <c r="F18">
        <v>2058778.25</v>
      </c>
      <c r="G18">
        <v>3216923</v>
      </c>
      <c r="H18">
        <v>1.0548489134271699</v>
      </c>
      <c r="I18">
        <v>3.0664633371457599</v>
      </c>
      <c r="J18">
        <v>4.4866377765987702</v>
      </c>
      <c r="K18">
        <v>6.4552785174152694E-2</v>
      </c>
      <c r="L18">
        <v>29049.108452754801</v>
      </c>
      <c r="M18">
        <v>2.97697462367401</v>
      </c>
      <c r="N18">
        <v>27508</v>
      </c>
      <c r="O18" s="3">
        <v>2.5564657879578699E-7</v>
      </c>
      <c r="P18">
        <v>3.70357308060164</v>
      </c>
    </row>
    <row r="19" spans="1:16" x14ac:dyDescent="0.2">
      <c r="A19">
        <v>12</v>
      </c>
      <c r="B19" t="s">
        <v>169</v>
      </c>
      <c r="C19">
        <v>863707</v>
      </c>
      <c r="D19" t="s">
        <v>205</v>
      </c>
      <c r="E19">
        <v>12145</v>
      </c>
      <c r="F19">
        <v>1680673.6</v>
      </c>
      <c r="G19">
        <v>3216923</v>
      </c>
      <c r="H19">
        <v>1.0839403915192101</v>
      </c>
      <c r="I19">
        <v>2.5723302410301998</v>
      </c>
      <c r="J19">
        <v>4.4103267234474899</v>
      </c>
      <c r="K19">
        <v>5.1870107297287402E-2</v>
      </c>
      <c r="L19">
        <v>28593.094701320901</v>
      </c>
      <c r="M19">
        <v>2.9302419892362601</v>
      </c>
      <c r="N19">
        <v>27508</v>
      </c>
      <c r="O19" s="3">
        <v>2.62697007299503E-7</v>
      </c>
      <c r="P19">
        <v>3.80571322007102</v>
      </c>
    </row>
    <row r="20" spans="1:16" x14ac:dyDescent="0.2">
      <c r="A20">
        <v>13</v>
      </c>
      <c r="B20" t="s">
        <v>169</v>
      </c>
      <c r="C20">
        <v>863707</v>
      </c>
      <c r="D20" t="s">
        <v>206</v>
      </c>
      <c r="E20">
        <v>14609</v>
      </c>
      <c r="F20">
        <v>2116567</v>
      </c>
      <c r="G20">
        <v>3216923</v>
      </c>
      <c r="H20">
        <v>1.03533221485547</v>
      </c>
      <c r="I20">
        <v>3.0942093446859</v>
      </c>
      <c r="J20">
        <v>4.4905496933860496</v>
      </c>
      <c r="K20">
        <v>6.5280705356246499E-2</v>
      </c>
      <c r="L20">
        <v>28574.603457486799</v>
      </c>
      <c r="M20">
        <v>2.9283469925707499</v>
      </c>
      <c r="N20">
        <v>27508</v>
      </c>
      <c r="O20" s="3">
        <v>2.5091663391388501E-7</v>
      </c>
      <c r="P20">
        <v>3.6350499788263</v>
      </c>
    </row>
  </sheetData>
  <hyperlinks>
    <hyperlink ref="A3" r:id="rId1" xr:uid="{2982A4A5-5DE3-1144-97A9-5540A88189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full_calcs</vt:lpstr>
      <vt:lpstr>linear regressions</vt:lpstr>
      <vt:lpstr>syndna_saliva_analysis_ex1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Birmingham, Amanda</dc:creator>
  <cp:lastModifiedBy>Birmingham, Amanda</cp:lastModifiedBy>
  <dcterms:created xsi:type="dcterms:W3CDTF">2023-10-27T16:55:29Z</dcterms:created>
  <dcterms:modified xsi:type="dcterms:W3CDTF">2024-01-22T18:04:40Z</dcterms:modified>
</cp:coreProperties>
</file>