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rmingham/Desktop/"/>
    </mc:Choice>
  </mc:AlternateContent>
  <xr:revisionPtr revIDLastSave="0" documentId="13_ncr:1_{6FBC3BBB-99AE-C344-87F0-86DE0C320973}" xr6:coauthVersionLast="47" xr6:coauthVersionMax="47" xr10:uidLastSave="{00000000-0000-0000-0000-000000000000}"/>
  <bookViews>
    <workbookView xWindow="11440" yWindow="2080" windowWidth="18840" windowHeight="15060" xr2:uid="{51FC11E2-9D7A-0F4C-BE49-1E44C8675BBB}"/>
  </bookViews>
  <sheets>
    <sheet name="full_calcs" sheetId="4" r:id="rId1"/>
    <sheet name="workflow_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AD9" i="2"/>
  <c r="Q13" i="2"/>
  <c r="AA7" i="2" s="1"/>
  <c r="Q12" i="2"/>
  <c r="AA6" i="2" s="1"/>
  <c r="Q11" i="2"/>
  <c r="AA5" i="2" s="1"/>
  <c r="Q10" i="2"/>
  <c r="AA4" i="2" s="1"/>
  <c r="P13" i="2"/>
  <c r="Z7" i="2" s="1"/>
  <c r="P12" i="2"/>
  <c r="Z6" i="2" s="1"/>
  <c r="P11" i="2"/>
  <c r="Z5" i="2" s="1"/>
  <c r="P10" i="2"/>
  <c r="Z4" i="2" s="1"/>
  <c r="E5" i="2"/>
  <c r="AC5" i="2" s="1"/>
  <c r="H8" i="2"/>
  <c r="H7" i="2"/>
  <c r="H6" i="2"/>
  <c r="H5" i="2"/>
  <c r="H4" i="2"/>
  <c r="E4" i="2"/>
  <c r="AJ4" i="2" s="1"/>
  <c r="AD4" i="2" l="1"/>
  <c r="AH4" i="2" s="1"/>
  <c r="AL4" i="2" s="1"/>
  <c r="O4" i="2"/>
  <c r="Y5" i="2"/>
  <c r="AD7" i="2"/>
  <c r="AH7" i="2" s="1"/>
  <c r="AL7" i="2" s="1"/>
  <c r="Y4" i="2"/>
  <c r="AC4" i="2"/>
  <c r="AF4" i="2"/>
  <c r="AG4" i="2"/>
  <c r="AK4" i="2" s="1"/>
  <c r="AJ5" i="2"/>
  <c r="AD5" i="2"/>
  <c r="AH5" i="2" s="1"/>
  <c r="AL5" i="2" s="1"/>
  <c r="AD6" i="2"/>
  <c r="AG6" i="2" s="1"/>
  <c r="AK6" i="2" s="1"/>
  <c r="AG7" i="2"/>
  <c r="AK7" i="2" s="1"/>
  <c r="O5" i="2"/>
  <c r="AF5" i="2"/>
  <c r="O10" i="2"/>
  <c r="O11" i="2"/>
  <c r="E6" i="2"/>
  <c r="J68" i="4"/>
  <c r="J67" i="4"/>
  <c r="J66" i="4"/>
  <c r="J65" i="4"/>
  <c r="J64" i="4"/>
  <c r="J63" i="4"/>
  <c r="J62" i="4"/>
  <c r="J61" i="4"/>
  <c r="J60" i="4"/>
  <c r="J59" i="4"/>
  <c r="I68" i="4"/>
  <c r="I67" i="4"/>
  <c r="I66" i="4"/>
  <c r="I65" i="4"/>
  <c r="I64" i="4"/>
  <c r="I63" i="4"/>
  <c r="I62" i="4"/>
  <c r="I61" i="4"/>
  <c r="I60" i="4"/>
  <c r="I59" i="4"/>
  <c r="D26" i="4"/>
  <c r="D25" i="4"/>
  <c r="D24" i="4"/>
  <c r="D23" i="4"/>
  <c r="D22" i="4"/>
  <c r="D21" i="4"/>
  <c r="D20" i="4"/>
  <c r="D19" i="4"/>
  <c r="D18" i="4"/>
  <c r="D17" i="4"/>
  <c r="J40" i="4"/>
  <c r="J39" i="4"/>
  <c r="J38" i="4"/>
  <c r="J37" i="4"/>
  <c r="J36" i="4"/>
  <c r="J35" i="4"/>
  <c r="J34" i="4"/>
  <c r="J33" i="4"/>
  <c r="J32" i="4"/>
  <c r="J31" i="4"/>
  <c r="I40" i="4"/>
  <c r="I39" i="4"/>
  <c r="I38" i="4"/>
  <c r="I37" i="4"/>
  <c r="I36" i="4"/>
  <c r="I35" i="4"/>
  <c r="I34" i="4"/>
  <c r="I33" i="4"/>
  <c r="I32" i="4"/>
  <c r="I31" i="4"/>
  <c r="F10" i="4"/>
  <c r="F9" i="4"/>
  <c r="J26" i="4"/>
  <c r="J25" i="4"/>
  <c r="J24" i="4"/>
  <c r="J23" i="4"/>
  <c r="J22" i="4"/>
  <c r="J21" i="4"/>
  <c r="J20" i="4"/>
  <c r="J19" i="4"/>
  <c r="J18" i="4"/>
  <c r="J17" i="4"/>
  <c r="I26" i="4"/>
  <c r="I25" i="4"/>
  <c r="I24" i="4"/>
  <c r="I23" i="4"/>
  <c r="I22" i="4"/>
  <c r="I21" i="4"/>
  <c r="I20" i="4"/>
  <c r="I19" i="4"/>
  <c r="I18" i="4"/>
  <c r="I17" i="4"/>
  <c r="B2" i="4"/>
  <c r="AG5" i="2" l="1"/>
  <c r="AK5" i="2" s="1"/>
  <c r="AC6" i="2"/>
  <c r="Y6" i="2"/>
  <c r="AJ6" i="2"/>
  <c r="O12" i="2"/>
  <c r="AF6" i="2"/>
  <c r="O6" i="2"/>
  <c r="AH6" i="2"/>
  <c r="AL6" i="2" s="1"/>
  <c r="E8" i="2"/>
  <c r="E7" i="2"/>
  <c r="E26" i="4"/>
  <c r="E17" i="4"/>
  <c r="E18" i="4"/>
  <c r="E19" i="4"/>
  <c r="E20" i="4"/>
  <c r="E21" i="4"/>
  <c r="E22" i="4"/>
  <c r="E23" i="4"/>
  <c r="E24" i="4"/>
  <c r="E25" i="4"/>
  <c r="AJ7" i="2" l="1"/>
  <c r="O13" i="2"/>
  <c r="AF7" i="2"/>
  <c r="O7" i="2"/>
  <c r="AC7" i="2"/>
  <c r="Y7" i="2"/>
  <c r="I52" i="4"/>
  <c r="J52" i="4"/>
  <c r="I46" i="4"/>
  <c r="J46" i="4"/>
  <c r="I53" i="4"/>
  <c r="J53" i="4"/>
  <c r="I51" i="4"/>
  <c r="J51" i="4"/>
  <c r="J50" i="4"/>
  <c r="I50" i="4"/>
  <c r="I49" i="4"/>
  <c r="J49" i="4"/>
  <c r="J48" i="4"/>
  <c r="I48" i="4"/>
  <c r="J47" i="4"/>
  <c r="I47" i="4"/>
  <c r="I54" i="4"/>
  <c r="J54" i="4"/>
  <c r="I45" i="4"/>
  <c r="J45" i="4"/>
</calcChain>
</file>

<file path=xl/sharedStrings.xml><?xml version="1.0" encoding="utf-8"?>
<sst xmlns="http://schemas.openxmlformats.org/spreadsheetml/2006/main" count="155" uniqueCount="60">
  <si>
    <t>sample_name</t>
  </si>
  <si>
    <t>13179.SRS3526007</t>
  </si>
  <si>
    <t>13179.SRS3526010</t>
  </si>
  <si>
    <t>13179. SRS3526010</t>
  </si>
  <si>
    <t>13179. SRS3526013</t>
  </si>
  <si>
    <t>13179. SRS3526007</t>
  </si>
  <si>
    <t>0/3028580</t>
  </si>
  <si>
    <t>2/3028580</t>
  </si>
  <si>
    <t>35/3028580</t>
  </si>
  <si>
    <t>0/213988</t>
  </si>
  <si>
    <t>1/213988</t>
  </si>
  <si>
    <t>G000006745</t>
  </si>
  <si>
    <t>OGU+ORF</t>
  </si>
  <si>
    <t>ogu_orf_id</t>
  </si>
  <si>
    <t>copies_per_g_ogu_orf_ss_rna</t>
  </si>
  <si>
    <t>G000005825_1</t>
  </si>
  <si>
    <t>G000005825_2</t>
  </si>
  <si>
    <t>G000005825_3</t>
  </si>
  <si>
    <t>G000005825_4</t>
  </si>
  <si>
    <t>G000005825_5</t>
  </si>
  <si>
    <t>G900163845_3247</t>
  </si>
  <si>
    <t>G900163845_3248</t>
  </si>
  <si>
    <t>G900163845_3249</t>
  </si>
  <si>
    <t>G900163845_3250</t>
  </si>
  <si>
    <t>G900163845_3251</t>
  </si>
  <si>
    <t>ogu_orf_start</t>
  </si>
  <si>
    <t>ogu_orf_end</t>
  </si>
  <si>
    <t>ogu_orf_len</t>
  </si>
  <si>
    <t>vol_extracted_elution_ul</t>
  </si>
  <si>
    <t>avogadros_num</t>
  </si>
  <si>
    <t>genomic_element_unit_avg_g_per_mole</t>
  </si>
  <si>
    <t>IBSRS3526007</t>
  </si>
  <si>
    <t>IQSRS3526010</t>
  </si>
  <si>
    <t>total_biological_reads</t>
  </si>
  <si>
    <t>constants</t>
  </si>
  <si>
    <t>quant_params_per_sample</t>
  </si>
  <si>
    <t>ssrna_concentration_ng_ul</t>
  </si>
  <si>
    <t>calc_mass_sample_aliquot_input_g</t>
  </si>
  <si>
    <t>ogu_orf_calculations</t>
  </si>
  <si>
    <t>step i</t>
  </si>
  <si>
    <t>step ii</t>
  </si>
  <si>
    <t>step 2: ogu_orf fraction of reads per sample</t>
  </si>
  <si>
    <t>step 1 (from woltka): reads</t>
  </si>
  <si>
    <t>step 3: ogu_orf_g_of_ssrna_per_sample</t>
  </si>
  <si>
    <t>step 4: copies_of_ogu_orf_ssrna_per_sample</t>
  </si>
  <si>
    <t>step 5: copies_of_ogu_orf_ssrna_per_g_sample</t>
  </si>
  <si>
    <t>g_total_ssrna_per_sample</t>
  </si>
  <si>
    <t>step 2: fraction of reads per OGU+ORF per sample</t>
  </si>
  <si>
    <t>Step 3: g of RNA per OGU+ORF per sample</t>
  </si>
  <si>
    <t>copies_per_g_of_ogu_orf_rna</t>
  </si>
  <si>
    <t>step ii: copies per gram of OGU+ORF RNA (single-stranded)</t>
  </si>
  <si>
    <t>average g/mol of single RNA base</t>
  </si>
  <si>
    <t>step 4: copies per OGU+ORF per sample (i.e., in total amount of sample that was extracted)</t>
  </si>
  <si>
    <t>step 5: copies of OGU+ORF RNA per g of sample material</t>
  </si>
  <si>
    <t>total_biological_reads_r1r2</t>
  </si>
  <si>
    <t>step 1 (from woltka): reads per OGU+ORF per sample</t>
  </si>
  <si>
    <t>#OTU ID</t>
  </si>
  <si>
    <t>step i: OGU+ORF length</t>
  </si>
  <si>
    <t>g of sample in aliquot</t>
  </si>
  <si>
    <t xml:space="preserve">g of total RNA from extraction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</si>
</sst>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71" formatCode="0.000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432FF"/>
      </left>
      <right/>
      <top style="medium">
        <color rgb="FF0432FF"/>
      </top>
      <bottom/>
      <diagonal/>
    </border>
    <border>
      <left/>
      <right/>
      <top style="medium">
        <color rgb="FF0432FF"/>
      </top>
      <bottom/>
      <diagonal/>
    </border>
    <border>
      <left/>
      <right style="medium">
        <color rgb="FF0432FF"/>
      </right>
      <top style="medium">
        <color rgb="FF0432FF"/>
      </top>
      <bottom/>
      <diagonal/>
    </border>
    <border>
      <left style="medium">
        <color rgb="FF0432FF"/>
      </left>
      <right/>
      <top/>
      <bottom/>
      <diagonal/>
    </border>
    <border>
      <left/>
      <right style="medium">
        <color rgb="FF0432FF"/>
      </right>
      <top/>
      <bottom/>
      <diagonal/>
    </border>
    <border>
      <left style="medium">
        <color rgb="FF0432FF"/>
      </left>
      <right/>
      <top/>
      <bottom style="medium">
        <color rgb="FF0432FF"/>
      </bottom>
      <diagonal/>
    </border>
    <border>
      <left/>
      <right/>
      <top/>
      <bottom style="medium">
        <color rgb="FF0432FF"/>
      </bottom>
      <diagonal/>
    </border>
    <border>
      <left/>
      <right style="medium">
        <color rgb="FF0432FF"/>
      </right>
      <top/>
      <bottom style="medium">
        <color rgb="FF0432FF"/>
      </bottom>
      <diagonal/>
    </border>
    <border>
      <left style="medium">
        <color rgb="FF62C364"/>
      </left>
      <right/>
      <top style="medium">
        <color rgb="FF62C364"/>
      </top>
      <bottom/>
      <diagonal/>
    </border>
    <border>
      <left/>
      <right style="medium">
        <color rgb="FF62C364"/>
      </right>
      <top style="medium">
        <color rgb="FF62C364"/>
      </top>
      <bottom/>
      <diagonal/>
    </border>
    <border>
      <left style="medium">
        <color rgb="FF62C364"/>
      </left>
      <right/>
      <top/>
      <bottom style="medium">
        <color rgb="FF62C364"/>
      </bottom>
      <diagonal/>
    </border>
    <border>
      <left/>
      <right style="medium">
        <color rgb="FF62C364"/>
      </right>
      <top/>
      <bottom style="medium">
        <color rgb="FF62C3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71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62C364"/>
      <color rgb="FF00FA00"/>
      <color rgb="FF68D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AC23-E3B1-8B49-B699-62AFF829EBB3}">
  <dimension ref="A1:J68"/>
  <sheetViews>
    <sheetView tabSelected="1" workbookViewId="0">
      <selection activeCell="J68" sqref="J68"/>
    </sheetView>
  </sheetViews>
  <sheetFormatPr baseColWidth="10" defaultRowHeight="16" x14ac:dyDescent="0.2"/>
  <cols>
    <col min="1" max="1" width="35.5" bestFit="1" customWidth="1"/>
    <col min="2" max="2" width="31" bestFit="1" customWidth="1"/>
    <col min="3" max="3" width="13.1640625" bestFit="1" customWidth="1"/>
    <col min="4" max="4" width="13.1640625" customWidth="1"/>
    <col min="5" max="5" width="35" bestFit="1" customWidth="1"/>
    <col min="6" max="6" width="35" customWidth="1"/>
    <col min="7" max="7" width="13" bestFit="1" customWidth="1"/>
    <col min="8" max="8" width="35" bestFit="1" customWidth="1"/>
    <col min="9" max="9" width="13.6640625" bestFit="1" customWidth="1"/>
    <col min="10" max="10" width="14.6640625" bestFit="1" customWidth="1"/>
  </cols>
  <sheetData>
    <row r="1" spans="1:10" ht="17" thickBot="1" x14ac:dyDescent="0.25">
      <c r="A1" t="s">
        <v>34</v>
      </c>
      <c r="B1" s="25"/>
      <c r="C1" s="25"/>
      <c r="D1" s="25"/>
      <c r="E1" s="25"/>
      <c r="F1" s="25"/>
      <c r="H1" t="s">
        <v>42</v>
      </c>
    </row>
    <row r="2" spans="1:10" x14ac:dyDescent="0.2">
      <c r="A2" s="22" t="s">
        <v>29</v>
      </c>
      <c r="B2" s="26">
        <f>6.02214076*10^23</f>
        <v>6.0221407599999999E+23</v>
      </c>
      <c r="C2" s="25"/>
      <c r="D2" s="25"/>
      <c r="E2" s="25"/>
      <c r="F2" s="25"/>
      <c r="H2" s="14" t="s">
        <v>13</v>
      </c>
      <c r="I2" s="15" t="s">
        <v>31</v>
      </c>
      <c r="J2" s="16" t="s">
        <v>32</v>
      </c>
    </row>
    <row r="3" spans="1:10" ht="17" thickBot="1" x14ac:dyDescent="0.25">
      <c r="A3" s="23" t="s">
        <v>30</v>
      </c>
      <c r="B3" s="27">
        <v>340</v>
      </c>
      <c r="C3" s="25"/>
      <c r="D3" s="25"/>
      <c r="E3" s="25"/>
      <c r="F3" s="25"/>
      <c r="H3" s="17" t="s">
        <v>15</v>
      </c>
      <c r="I3" s="13">
        <v>0</v>
      </c>
      <c r="J3" s="18">
        <v>0</v>
      </c>
    </row>
    <row r="4" spans="1:10" x14ac:dyDescent="0.2">
      <c r="B4" s="25"/>
      <c r="C4" s="25"/>
      <c r="D4" s="25"/>
      <c r="E4" s="25"/>
      <c r="F4" s="25"/>
      <c r="H4" s="17" t="s">
        <v>16</v>
      </c>
      <c r="I4" s="13">
        <v>2</v>
      </c>
      <c r="J4" s="18">
        <v>0</v>
      </c>
    </row>
    <row r="5" spans="1:10" x14ac:dyDescent="0.2">
      <c r="B5" s="25"/>
      <c r="C5" s="25"/>
      <c r="D5" s="25"/>
      <c r="E5" s="25"/>
      <c r="F5" s="25"/>
      <c r="H5" s="17" t="s">
        <v>17</v>
      </c>
      <c r="I5" s="13">
        <v>0</v>
      </c>
      <c r="J5" s="18">
        <v>1</v>
      </c>
    </row>
    <row r="6" spans="1:10" x14ac:dyDescent="0.2">
      <c r="B6" s="25"/>
      <c r="C6" s="25"/>
      <c r="D6" s="25"/>
      <c r="E6" s="25"/>
      <c r="F6" s="25"/>
      <c r="H6" s="17" t="s">
        <v>18</v>
      </c>
      <c r="I6" s="13">
        <v>35</v>
      </c>
      <c r="J6" s="18">
        <v>0</v>
      </c>
    </row>
    <row r="7" spans="1:10" ht="17" thickBot="1" x14ac:dyDescent="0.25">
      <c r="A7" t="s">
        <v>35</v>
      </c>
      <c r="B7" s="25"/>
      <c r="C7" s="25"/>
      <c r="D7" s="25"/>
      <c r="E7" s="25"/>
      <c r="F7" s="25"/>
      <c r="H7" s="17" t="s">
        <v>19</v>
      </c>
      <c r="I7" s="13">
        <v>0</v>
      </c>
      <c r="J7" s="18">
        <v>694</v>
      </c>
    </row>
    <row r="8" spans="1:10" x14ac:dyDescent="0.2">
      <c r="A8" s="14" t="s">
        <v>0</v>
      </c>
      <c r="B8" s="28" t="s">
        <v>37</v>
      </c>
      <c r="C8" s="28" t="s">
        <v>33</v>
      </c>
      <c r="D8" s="28" t="s">
        <v>28</v>
      </c>
      <c r="E8" s="29" t="s">
        <v>36</v>
      </c>
      <c r="F8" s="30" t="s">
        <v>46</v>
      </c>
      <c r="H8" s="17" t="s">
        <v>20</v>
      </c>
      <c r="I8" s="13">
        <v>10292</v>
      </c>
      <c r="J8" s="18">
        <v>382</v>
      </c>
    </row>
    <row r="9" spans="1:10" x14ac:dyDescent="0.2">
      <c r="A9" s="17" t="s">
        <v>31</v>
      </c>
      <c r="B9" s="31">
        <v>3.0000000000000001E-3</v>
      </c>
      <c r="C9" s="31">
        <v>213988</v>
      </c>
      <c r="D9" s="31">
        <v>70</v>
      </c>
      <c r="E9" s="32">
        <v>0.13271428599999999</v>
      </c>
      <c r="F9" s="31">
        <f>E9*D9/1000000000</f>
        <v>9.2900000199999988E-9</v>
      </c>
      <c r="H9" s="17" t="s">
        <v>21</v>
      </c>
      <c r="I9" s="13">
        <v>0</v>
      </c>
      <c r="J9" s="18">
        <v>0</v>
      </c>
    </row>
    <row r="10" spans="1:10" ht="17" thickBot="1" x14ac:dyDescent="0.25">
      <c r="A10" s="19" t="s">
        <v>32</v>
      </c>
      <c r="B10" s="33">
        <v>8.1999999999999998E-4</v>
      </c>
      <c r="C10" s="33">
        <v>3028580</v>
      </c>
      <c r="D10" s="33">
        <v>70</v>
      </c>
      <c r="E10" s="34">
        <v>4.1999999999999997E-3</v>
      </c>
      <c r="F10" s="31">
        <f>E10*D10/1000000000</f>
        <v>2.9399999999999997E-10</v>
      </c>
      <c r="H10" s="17" t="s">
        <v>22</v>
      </c>
      <c r="I10" s="13">
        <v>190</v>
      </c>
      <c r="J10" s="18">
        <v>10</v>
      </c>
    </row>
    <row r="11" spans="1:10" x14ac:dyDescent="0.2">
      <c r="B11" s="25"/>
      <c r="C11" s="25"/>
      <c r="D11" s="25"/>
      <c r="E11" s="25"/>
      <c r="F11" s="25"/>
      <c r="H11" s="17" t="s">
        <v>23</v>
      </c>
      <c r="I11" s="13">
        <v>0</v>
      </c>
      <c r="J11" s="18">
        <v>630</v>
      </c>
    </row>
    <row r="12" spans="1:10" ht="17" thickBot="1" x14ac:dyDescent="0.25">
      <c r="B12" s="25"/>
      <c r="C12" s="25"/>
      <c r="D12" s="25"/>
      <c r="E12" s="25"/>
      <c r="F12" s="25"/>
      <c r="H12" s="19" t="s">
        <v>24</v>
      </c>
      <c r="I12" s="20">
        <v>34</v>
      </c>
      <c r="J12" s="21">
        <v>1003</v>
      </c>
    </row>
    <row r="13" spans="1:10" x14ac:dyDescent="0.2">
      <c r="B13" s="25"/>
      <c r="C13" s="25"/>
      <c r="D13" s="25"/>
      <c r="E13" s="25"/>
      <c r="F13" s="25"/>
    </row>
    <row r="14" spans="1:10" x14ac:dyDescent="0.2">
      <c r="B14" s="25"/>
      <c r="C14" s="25"/>
      <c r="D14" s="25"/>
      <c r="E14" s="25"/>
      <c r="F14" s="25"/>
    </row>
    <row r="15" spans="1:10" ht="17" thickBot="1" x14ac:dyDescent="0.25">
      <c r="A15" t="s">
        <v>38</v>
      </c>
      <c r="B15" s="25"/>
      <c r="C15" s="25"/>
      <c r="D15" s="25" t="s">
        <v>39</v>
      </c>
      <c r="E15" s="25" t="s">
        <v>40</v>
      </c>
      <c r="F15" s="25"/>
      <c r="H15" t="s">
        <v>41</v>
      </c>
    </row>
    <row r="16" spans="1:10" x14ac:dyDescent="0.2">
      <c r="A16" s="14" t="s">
        <v>13</v>
      </c>
      <c r="B16" s="28" t="s">
        <v>25</v>
      </c>
      <c r="C16" s="29" t="s">
        <v>26</v>
      </c>
      <c r="D16" s="25" t="s">
        <v>27</v>
      </c>
      <c r="E16" s="25" t="s">
        <v>14</v>
      </c>
      <c r="F16" s="25"/>
      <c r="H16" t="s">
        <v>13</v>
      </c>
      <c r="I16" t="s">
        <v>31</v>
      </c>
      <c r="J16" t="s">
        <v>32</v>
      </c>
    </row>
    <row r="17" spans="1:10" x14ac:dyDescent="0.2">
      <c r="A17" s="17" t="s">
        <v>15</v>
      </c>
      <c r="B17" s="31">
        <v>816</v>
      </c>
      <c r="C17" s="32">
        <v>2168</v>
      </c>
      <c r="D17" s="25">
        <f>ABS(C17-B17)+1</f>
        <v>1353</v>
      </c>
      <c r="E17" s="35">
        <f>$B$2/(D17*$B$3)</f>
        <v>1.3091041172122952E+18</v>
      </c>
      <c r="F17" s="35"/>
      <c r="H17" t="s">
        <v>15</v>
      </c>
      <c r="I17">
        <f>I3/$C$9</f>
        <v>0</v>
      </c>
      <c r="J17">
        <f>J3/$C$10</f>
        <v>0</v>
      </c>
    </row>
    <row r="18" spans="1:10" x14ac:dyDescent="0.2">
      <c r="A18" s="17" t="s">
        <v>16</v>
      </c>
      <c r="B18" s="31">
        <v>2348</v>
      </c>
      <c r="C18" s="32">
        <v>3490</v>
      </c>
      <c r="D18" s="25">
        <f t="shared" ref="D18:D26" si="0">ABS(C18-B18)+1</f>
        <v>1143</v>
      </c>
      <c r="E18" s="35">
        <f t="shared" ref="E18:E26" si="1">$B$2/(D18*$B$3)</f>
        <v>1.549621934022953E+18</v>
      </c>
      <c r="F18" s="35"/>
      <c r="H18" t="s">
        <v>16</v>
      </c>
      <c r="I18">
        <f t="shared" ref="I18:I26" si="2">I4/$C$9</f>
        <v>9.3463184851486998E-6</v>
      </c>
      <c r="J18">
        <f t="shared" ref="J18:J26" si="3">J4/$C$10</f>
        <v>0</v>
      </c>
    </row>
    <row r="19" spans="1:10" x14ac:dyDescent="0.2">
      <c r="A19" s="17" t="s">
        <v>17</v>
      </c>
      <c r="B19" s="31">
        <v>3744</v>
      </c>
      <c r="C19" s="32">
        <v>3959</v>
      </c>
      <c r="D19" s="25">
        <f t="shared" si="0"/>
        <v>216</v>
      </c>
      <c r="E19" s="35">
        <f t="shared" si="1"/>
        <v>8.2000827342047928E+18</v>
      </c>
      <c r="F19" s="35"/>
      <c r="H19" t="s">
        <v>17</v>
      </c>
      <c r="I19">
        <f t="shared" si="2"/>
        <v>0</v>
      </c>
      <c r="J19">
        <f t="shared" si="3"/>
        <v>3.3018774475166581E-7</v>
      </c>
    </row>
    <row r="20" spans="1:10" x14ac:dyDescent="0.2">
      <c r="A20" s="17" t="s">
        <v>18</v>
      </c>
      <c r="B20" s="31">
        <v>3971</v>
      </c>
      <c r="C20" s="32">
        <v>5086</v>
      </c>
      <c r="D20" s="25">
        <f t="shared" si="0"/>
        <v>1116</v>
      </c>
      <c r="E20" s="35">
        <f t="shared" si="1"/>
        <v>1.5871127872654438E+18</v>
      </c>
      <c r="F20" s="35"/>
      <c r="H20" t="s">
        <v>18</v>
      </c>
      <c r="I20">
        <f t="shared" si="2"/>
        <v>1.6356057349010224E-4</v>
      </c>
      <c r="J20">
        <f t="shared" si="3"/>
        <v>0</v>
      </c>
    </row>
    <row r="21" spans="1:10" x14ac:dyDescent="0.2">
      <c r="A21" s="17" t="s">
        <v>19</v>
      </c>
      <c r="B21" s="31">
        <v>5098</v>
      </c>
      <c r="C21" s="32">
        <v>5373</v>
      </c>
      <c r="D21" s="25">
        <f t="shared" si="0"/>
        <v>276</v>
      </c>
      <c r="E21" s="35">
        <f t="shared" si="1"/>
        <v>6.4174560528559247E+18</v>
      </c>
      <c r="F21" s="35"/>
      <c r="H21" t="s">
        <v>19</v>
      </c>
      <c r="I21">
        <f t="shared" si="2"/>
        <v>0</v>
      </c>
      <c r="J21">
        <f t="shared" si="3"/>
        <v>2.2915029485765607E-4</v>
      </c>
    </row>
    <row r="22" spans="1:10" x14ac:dyDescent="0.2">
      <c r="A22" s="17" t="s">
        <v>20</v>
      </c>
      <c r="B22" s="31">
        <v>3392209</v>
      </c>
      <c r="C22" s="32">
        <v>3390413</v>
      </c>
      <c r="D22" s="25">
        <f t="shared" si="0"/>
        <v>1797</v>
      </c>
      <c r="E22" s="35">
        <f t="shared" si="1"/>
        <v>9.8565268257553434E+17</v>
      </c>
      <c r="F22" s="35"/>
      <c r="H22" t="s">
        <v>20</v>
      </c>
      <c r="I22">
        <f t="shared" si="2"/>
        <v>4.809615492457521E-2</v>
      </c>
      <c r="J22">
        <f t="shared" si="3"/>
        <v>1.2613171849513633E-4</v>
      </c>
    </row>
    <row r="23" spans="1:10" x14ac:dyDescent="0.2">
      <c r="A23" s="17" t="s">
        <v>21</v>
      </c>
      <c r="B23" s="31">
        <v>3393051</v>
      </c>
      <c r="C23" s="32">
        <v>3392206</v>
      </c>
      <c r="D23" s="25">
        <f t="shared" si="0"/>
        <v>846</v>
      </c>
      <c r="E23" s="35">
        <f t="shared" si="1"/>
        <v>2.0936381449033513E+18</v>
      </c>
      <c r="F23" s="35"/>
      <c r="H23" t="s">
        <v>21</v>
      </c>
      <c r="I23">
        <f t="shared" si="2"/>
        <v>0</v>
      </c>
      <c r="J23">
        <f t="shared" si="3"/>
        <v>0</v>
      </c>
    </row>
    <row r="24" spans="1:10" x14ac:dyDescent="0.2">
      <c r="A24" s="17" t="s">
        <v>22</v>
      </c>
      <c r="B24" s="31">
        <v>3393938</v>
      </c>
      <c r="C24" s="32">
        <v>3393048</v>
      </c>
      <c r="D24" s="25">
        <f t="shared" si="0"/>
        <v>891</v>
      </c>
      <c r="E24" s="35">
        <f t="shared" si="1"/>
        <v>1.9878988446557074E+18</v>
      </c>
      <c r="F24" s="35"/>
      <c r="H24" t="s">
        <v>22</v>
      </c>
      <c r="I24">
        <f t="shared" si="2"/>
        <v>8.8790025608912653E-4</v>
      </c>
      <c r="J24">
        <f t="shared" si="3"/>
        <v>3.301877447516658E-6</v>
      </c>
    </row>
    <row r="25" spans="1:10" x14ac:dyDescent="0.2">
      <c r="A25" s="17" t="s">
        <v>23</v>
      </c>
      <c r="B25" s="31">
        <v>3394702</v>
      </c>
      <c r="C25" s="32">
        <v>3393935</v>
      </c>
      <c r="D25" s="25">
        <f t="shared" si="0"/>
        <v>768</v>
      </c>
      <c r="E25" s="35">
        <f t="shared" si="1"/>
        <v>2.3062732689950981E+18</v>
      </c>
      <c r="F25" s="35"/>
      <c r="H25" t="s">
        <v>23</v>
      </c>
      <c r="I25">
        <f t="shared" si="2"/>
        <v>0</v>
      </c>
      <c r="J25">
        <f t="shared" si="3"/>
        <v>2.0801827919354946E-4</v>
      </c>
    </row>
    <row r="26" spans="1:10" ht="17" thickBot="1" x14ac:dyDescent="0.25">
      <c r="A26" s="19" t="s">
        <v>24</v>
      </c>
      <c r="B26" s="33">
        <v>3395077</v>
      </c>
      <c r="C26" s="34">
        <v>3395721</v>
      </c>
      <c r="D26" s="25">
        <f t="shared" si="0"/>
        <v>645</v>
      </c>
      <c r="E26" s="35">
        <f t="shared" si="1"/>
        <v>2.7460742179662561E+18</v>
      </c>
      <c r="F26" s="35"/>
      <c r="H26" t="s">
        <v>24</v>
      </c>
      <c r="I26">
        <f t="shared" si="2"/>
        <v>1.5888741424752791E-4</v>
      </c>
      <c r="J26">
        <f t="shared" si="3"/>
        <v>3.3117830798592079E-4</v>
      </c>
    </row>
    <row r="29" spans="1:10" x14ac:dyDescent="0.2">
      <c r="H29" t="s">
        <v>43</v>
      </c>
    </row>
    <row r="30" spans="1:10" x14ac:dyDescent="0.2">
      <c r="H30" t="s">
        <v>13</v>
      </c>
      <c r="I30" t="s">
        <v>31</v>
      </c>
      <c r="J30" t="s">
        <v>32</v>
      </c>
    </row>
    <row r="31" spans="1:10" x14ac:dyDescent="0.2">
      <c r="H31" t="s">
        <v>15</v>
      </c>
      <c r="I31">
        <f>I17*$F$9</f>
        <v>0</v>
      </c>
      <c r="J31">
        <f>J17*$F$10</f>
        <v>0</v>
      </c>
    </row>
    <row r="32" spans="1:10" x14ac:dyDescent="0.2">
      <c r="H32" t="s">
        <v>16</v>
      </c>
      <c r="I32">
        <f t="shared" ref="I32:I40" si="4">I18*$F$9</f>
        <v>8.6827298913957775E-14</v>
      </c>
      <c r="J32">
        <f t="shared" ref="J32:J40" si="5">J18*$F$10</f>
        <v>0</v>
      </c>
    </row>
    <row r="33" spans="8:10" x14ac:dyDescent="0.2">
      <c r="H33" t="s">
        <v>17</v>
      </c>
      <c r="I33">
        <f t="shared" si="4"/>
        <v>0</v>
      </c>
      <c r="J33">
        <f t="shared" si="5"/>
        <v>9.7075196956989734E-17</v>
      </c>
    </row>
    <row r="34" spans="8:10" x14ac:dyDescent="0.2">
      <c r="H34" t="s">
        <v>18</v>
      </c>
      <c r="I34">
        <f t="shared" si="4"/>
        <v>1.519477730994261E-12</v>
      </c>
      <c r="J34">
        <f t="shared" si="5"/>
        <v>0</v>
      </c>
    </row>
    <row r="35" spans="8:10" x14ac:dyDescent="0.2">
      <c r="H35" t="s">
        <v>19</v>
      </c>
      <c r="I35">
        <f t="shared" si="4"/>
        <v>0</v>
      </c>
      <c r="J35">
        <f t="shared" si="5"/>
        <v>6.7370186688150882E-14</v>
      </c>
    </row>
    <row r="36" spans="8:10" x14ac:dyDescent="0.2">
      <c r="H36" t="s">
        <v>20</v>
      </c>
      <c r="I36">
        <f t="shared" si="4"/>
        <v>4.4681328021122673E-10</v>
      </c>
      <c r="J36">
        <f t="shared" si="5"/>
        <v>3.7082725237570075E-14</v>
      </c>
    </row>
    <row r="37" spans="8:10" x14ac:dyDescent="0.2">
      <c r="H37" t="s">
        <v>21</v>
      </c>
      <c r="I37">
        <f t="shared" si="4"/>
        <v>0</v>
      </c>
      <c r="J37">
        <f t="shared" si="5"/>
        <v>0</v>
      </c>
    </row>
    <row r="38" spans="8:10" x14ac:dyDescent="0.2">
      <c r="H38" t="s">
        <v>22</v>
      </c>
      <c r="I38">
        <f t="shared" si="4"/>
        <v>8.2485933968259897E-12</v>
      </c>
      <c r="J38">
        <f t="shared" si="5"/>
        <v>9.7075196956989734E-16</v>
      </c>
    </row>
    <row r="39" spans="8:10" x14ac:dyDescent="0.2">
      <c r="H39" t="s">
        <v>23</v>
      </c>
      <c r="I39">
        <f t="shared" si="4"/>
        <v>0</v>
      </c>
      <c r="J39">
        <f t="shared" si="5"/>
        <v>6.1157374082903533E-14</v>
      </c>
    </row>
    <row r="40" spans="8:10" x14ac:dyDescent="0.2">
      <c r="H40" t="s">
        <v>24</v>
      </c>
      <c r="I40">
        <f t="shared" si="4"/>
        <v>1.4760640815372823E-12</v>
      </c>
      <c r="J40">
        <f t="shared" si="5"/>
        <v>9.7366422547860699E-14</v>
      </c>
    </row>
    <row r="43" spans="8:10" x14ac:dyDescent="0.2">
      <c r="H43" t="s">
        <v>44</v>
      </c>
    </row>
    <row r="44" spans="8:10" x14ac:dyDescent="0.2">
      <c r="H44" t="s">
        <v>13</v>
      </c>
      <c r="I44" t="s">
        <v>31</v>
      </c>
      <c r="J44" t="s">
        <v>32</v>
      </c>
    </row>
    <row r="45" spans="8:10" x14ac:dyDescent="0.2">
      <c r="H45" t="s">
        <v>15</v>
      </c>
      <c r="I45" s="24">
        <f t="shared" ref="I45:I54" si="6">I31*E17</f>
        <v>0</v>
      </c>
      <c r="J45" s="24">
        <f>J31*E17</f>
        <v>0</v>
      </c>
    </row>
    <row r="46" spans="8:10" x14ac:dyDescent="0.2">
      <c r="H46" t="s">
        <v>16</v>
      </c>
      <c r="I46" s="24">
        <f t="shared" si="6"/>
        <v>134549.48686903628</v>
      </c>
      <c r="J46" s="24">
        <f t="shared" ref="J46:J54" si="7">J32*E18</f>
        <v>0</v>
      </c>
    </row>
    <row r="47" spans="8:10" x14ac:dyDescent="0.2">
      <c r="H47" t="s">
        <v>17</v>
      </c>
      <c r="I47" s="24">
        <f t="shared" si="6"/>
        <v>0</v>
      </c>
      <c r="J47" s="24">
        <f t="shared" si="7"/>
        <v>796.0246464865412</v>
      </c>
    </row>
    <row r="48" spans="8:10" x14ac:dyDescent="0.2">
      <c r="H48" t="s">
        <v>18</v>
      </c>
      <c r="I48" s="24">
        <f t="shared" si="6"/>
        <v>2411582.5368260741</v>
      </c>
      <c r="J48" s="24">
        <f t="shared" si="7"/>
        <v>0</v>
      </c>
    </row>
    <row r="49" spans="8:10" x14ac:dyDescent="0.2">
      <c r="H49" t="s">
        <v>19</v>
      </c>
      <c r="I49" s="24">
        <f t="shared" si="6"/>
        <v>0</v>
      </c>
      <c r="J49" s="24">
        <f t="shared" si="7"/>
        <v>432345.21234390751</v>
      </c>
    </row>
    <row r="50" spans="8:10" x14ac:dyDescent="0.2">
      <c r="H50" t="s">
        <v>20</v>
      </c>
      <c r="I50" s="24">
        <f t="shared" si="6"/>
        <v>440402708.25056952</v>
      </c>
      <c r="J50" s="24">
        <f t="shared" si="7"/>
        <v>36550.687607622414</v>
      </c>
    </row>
    <row r="51" spans="8:10" x14ac:dyDescent="0.2">
      <c r="H51" t="s">
        <v>21</v>
      </c>
      <c r="I51" s="24">
        <f t="shared" si="6"/>
        <v>0</v>
      </c>
      <c r="J51" s="24">
        <f t="shared" si="7"/>
        <v>0</v>
      </c>
    </row>
    <row r="52" spans="8:10" x14ac:dyDescent="0.2">
      <c r="H52" t="s">
        <v>22</v>
      </c>
      <c r="I52" s="24">
        <f t="shared" si="6"/>
        <v>16397369.283585083</v>
      </c>
      <c r="J52" s="24">
        <f t="shared" si="7"/>
        <v>1929.7567187552513</v>
      </c>
    </row>
    <row r="53" spans="8:10" x14ac:dyDescent="0.2">
      <c r="H53" t="s">
        <v>23</v>
      </c>
      <c r="I53" s="24">
        <f t="shared" si="6"/>
        <v>0</v>
      </c>
      <c r="J53" s="24">
        <f t="shared" si="7"/>
        <v>141045.61704933402</v>
      </c>
    </row>
    <row r="54" spans="8:10" x14ac:dyDescent="0.2">
      <c r="H54" t="s">
        <v>24</v>
      </c>
      <c r="I54" s="24">
        <f t="shared" si="6"/>
        <v>4053381.5183755727</v>
      </c>
      <c r="J54" s="24">
        <f t="shared" si="7"/>
        <v>267375.42265428859</v>
      </c>
    </row>
    <row r="57" spans="8:10" x14ac:dyDescent="0.2">
      <c r="H57" t="s">
        <v>45</v>
      </c>
    </row>
    <row r="58" spans="8:10" x14ac:dyDescent="0.2">
      <c r="H58" t="s">
        <v>13</v>
      </c>
      <c r="I58" t="s">
        <v>31</v>
      </c>
      <c r="J58" t="s">
        <v>32</v>
      </c>
    </row>
    <row r="59" spans="8:10" x14ac:dyDescent="0.2">
      <c r="H59" t="s">
        <v>15</v>
      </c>
      <c r="I59" s="24">
        <f>I45/$B$9</f>
        <v>0</v>
      </c>
      <c r="J59" s="24">
        <f>J45/$B$10</f>
        <v>0</v>
      </c>
    </row>
    <row r="60" spans="8:10" x14ac:dyDescent="0.2">
      <c r="H60" t="s">
        <v>16</v>
      </c>
      <c r="I60" s="12">
        <f t="shared" ref="I60:I68" si="8">I46/$B$9</f>
        <v>44849828.956345424</v>
      </c>
      <c r="J60" s="24">
        <f t="shared" ref="J60:J68" si="9">J46/$B$10</f>
        <v>0</v>
      </c>
    </row>
    <row r="61" spans="8:10" x14ac:dyDescent="0.2">
      <c r="H61" t="s">
        <v>17</v>
      </c>
      <c r="I61" s="24">
        <f t="shared" si="8"/>
        <v>0</v>
      </c>
      <c r="J61" s="12">
        <f t="shared" si="9"/>
        <v>970761.76400797709</v>
      </c>
    </row>
    <row r="62" spans="8:10" x14ac:dyDescent="0.2">
      <c r="H62" t="s">
        <v>18</v>
      </c>
      <c r="I62" s="12">
        <f t="shared" si="8"/>
        <v>803860845.60869133</v>
      </c>
      <c r="J62" s="24">
        <f t="shared" si="9"/>
        <v>0</v>
      </c>
    </row>
    <row r="63" spans="8:10" x14ac:dyDescent="0.2">
      <c r="H63" t="s">
        <v>19</v>
      </c>
      <c r="I63" s="24">
        <f t="shared" si="8"/>
        <v>0</v>
      </c>
      <c r="J63" s="12">
        <f t="shared" si="9"/>
        <v>527250258.95598477</v>
      </c>
    </row>
    <row r="64" spans="8:10" x14ac:dyDescent="0.2">
      <c r="H64" t="s">
        <v>20</v>
      </c>
      <c r="I64" s="12">
        <f t="shared" si="8"/>
        <v>146800902750.18985</v>
      </c>
      <c r="J64" s="12">
        <f t="shared" si="9"/>
        <v>44574009.277588308</v>
      </c>
    </row>
    <row r="65" spans="8:10" x14ac:dyDescent="0.2">
      <c r="H65" t="s">
        <v>21</v>
      </c>
      <c r="I65" s="24">
        <f t="shared" si="8"/>
        <v>0</v>
      </c>
      <c r="J65" s="24">
        <f t="shared" si="9"/>
        <v>0</v>
      </c>
    </row>
    <row r="66" spans="8:10" x14ac:dyDescent="0.2">
      <c r="H66" t="s">
        <v>22</v>
      </c>
      <c r="I66" s="12">
        <f t="shared" si="8"/>
        <v>5465789761.1950274</v>
      </c>
      <c r="J66" s="12">
        <f t="shared" si="9"/>
        <v>2353361.8521405505</v>
      </c>
    </row>
    <row r="67" spans="8:10" x14ac:dyDescent="0.2">
      <c r="H67" t="s">
        <v>23</v>
      </c>
      <c r="I67" s="24">
        <f t="shared" si="8"/>
        <v>0</v>
      </c>
      <c r="J67" s="12">
        <f t="shared" si="9"/>
        <v>172006850.06016344</v>
      </c>
    </row>
    <row r="68" spans="8:10" x14ac:dyDescent="0.2">
      <c r="H68" t="s">
        <v>24</v>
      </c>
      <c r="I68" s="12">
        <f t="shared" si="8"/>
        <v>1351127172.7918575</v>
      </c>
      <c r="J68" s="12">
        <f t="shared" si="9"/>
        <v>326067588.60279095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FA7B-54ED-AE49-AEF4-38A868A7A31F}">
  <dimension ref="A1:AL26"/>
  <sheetViews>
    <sheetView topLeftCell="AG1" workbookViewId="0">
      <selection activeCell="AK11" sqref="AK11"/>
    </sheetView>
  </sheetViews>
  <sheetFormatPr baseColWidth="10" defaultRowHeight="16" x14ac:dyDescent="0.2"/>
  <cols>
    <col min="1" max="1" width="7" customWidth="1"/>
    <col min="2" max="2" width="17.5" bestFit="1" customWidth="1"/>
    <col min="3" max="3" width="24" bestFit="1" customWidth="1"/>
    <col min="4" max="4" width="7.6640625" customWidth="1"/>
    <col min="5" max="5" width="13.5" bestFit="1" customWidth="1"/>
    <col min="6" max="6" width="0" hidden="1" customWidth="1"/>
    <col min="7" max="7" width="15.5" hidden="1" customWidth="1"/>
    <col min="8" max="8" width="11" bestFit="1" customWidth="1"/>
    <col min="9" max="9" width="7.33203125" customWidth="1"/>
    <col min="10" max="10" width="13.5" bestFit="1" customWidth="1"/>
    <col min="11" max="13" width="17.5" bestFit="1" customWidth="1"/>
    <col min="14" max="14" width="7.33203125" customWidth="1"/>
    <col min="15" max="17" width="17.5" customWidth="1"/>
    <col min="18" max="18" width="7.83203125" customWidth="1"/>
    <col min="19" max="19" width="17.5" customWidth="1"/>
    <col min="20" max="20" width="19.1640625" bestFit="1" customWidth="1"/>
    <col min="21" max="21" width="6.83203125" customWidth="1"/>
    <col min="22" max="22" width="17.5" bestFit="1" customWidth="1"/>
    <col min="23" max="23" width="27.1640625" bestFit="1" customWidth="1"/>
    <col min="24" max="24" width="15.5" bestFit="1" customWidth="1"/>
    <col min="25" max="25" width="16.83203125" customWidth="1"/>
    <col min="26" max="27" width="17.5" bestFit="1" customWidth="1"/>
    <col min="29" max="29" width="15.5" bestFit="1" customWidth="1"/>
    <col min="30" max="30" width="26" bestFit="1" customWidth="1"/>
    <col min="31" max="31" width="17.5" bestFit="1" customWidth="1"/>
    <col min="32" max="32" width="15.5" bestFit="1" customWidth="1"/>
    <col min="33" max="34" width="17.5" bestFit="1" customWidth="1"/>
    <col min="36" max="36" width="15.5" bestFit="1" customWidth="1"/>
    <col min="37" max="38" width="17.5" bestFit="1" customWidth="1"/>
  </cols>
  <sheetData>
    <row r="1" spans="1:38" x14ac:dyDescent="0.2">
      <c r="E1" t="s">
        <v>57</v>
      </c>
      <c r="K1" t="s">
        <v>55</v>
      </c>
      <c r="O1" t="s">
        <v>47</v>
      </c>
      <c r="Y1" t="s">
        <v>48</v>
      </c>
      <c r="AC1" t="s">
        <v>50</v>
      </c>
      <c r="AF1" t="s">
        <v>52</v>
      </c>
      <c r="AJ1" t="s">
        <v>53</v>
      </c>
    </row>
    <row r="3" spans="1:38" x14ac:dyDescent="0.2">
      <c r="B3" s="2" t="s">
        <v>0</v>
      </c>
      <c r="C3" s="8" t="s">
        <v>54</v>
      </c>
      <c r="E3" s="2" t="s">
        <v>12</v>
      </c>
      <c r="F3" s="2" t="s">
        <v>25</v>
      </c>
      <c r="G3" s="2" t="s">
        <v>26</v>
      </c>
      <c r="H3" s="8" t="s">
        <v>27</v>
      </c>
      <c r="J3" s="36" t="s">
        <v>56</v>
      </c>
      <c r="K3" t="s">
        <v>5</v>
      </c>
      <c r="L3" t="s">
        <v>3</v>
      </c>
      <c r="M3" t="s">
        <v>4</v>
      </c>
      <c r="O3" s="2" t="s">
        <v>12</v>
      </c>
      <c r="P3" s="8" t="s">
        <v>5</v>
      </c>
      <c r="Q3" s="8" t="s">
        <v>3</v>
      </c>
      <c r="S3" s="2" t="s">
        <v>0</v>
      </c>
      <c r="T3" s="8" t="s">
        <v>58</v>
      </c>
      <c r="V3" s="2" t="s">
        <v>0</v>
      </c>
      <c r="W3" s="8" t="s">
        <v>59</v>
      </c>
      <c r="Y3" s="2" t="s">
        <v>12</v>
      </c>
      <c r="Z3" s="8" t="s">
        <v>5</v>
      </c>
      <c r="AA3" s="8" t="s">
        <v>3</v>
      </c>
      <c r="AC3" s="2" t="s">
        <v>13</v>
      </c>
      <c r="AD3" s="8" t="s">
        <v>49</v>
      </c>
      <c r="AF3" s="2" t="s">
        <v>12</v>
      </c>
      <c r="AG3" s="8" t="s">
        <v>5</v>
      </c>
      <c r="AH3" s="8" t="s">
        <v>3</v>
      </c>
      <c r="AJ3" s="2" t="s">
        <v>12</v>
      </c>
      <c r="AK3" s="8" t="s">
        <v>5</v>
      </c>
      <c r="AL3" s="8" t="s">
        <v>3</v>
      </c>
    </row>
    <row r="4" spans="1:38" x14ac:dyDescent="0.2">
      <c r="B4" s="1" t="s">
        <v>1</v>
      </c>
      <c r="C4" s="1">
        <v>3028580</v>
      </c>
      <c r="E4" s="1" t="str">
        <f>_xlfn.CONCAT($E$10,"_", H10)</f>
        <v>G000006745_1</v>
      </c>
      <c r="F4" s="1">
        <v>806</v>
      </c>
      <c r="G4" s="1">
        <v>372</v>
      </c>
      <c r="H4" s="1">
        <f>F4-G4</f>
        <v>434</v>
      </c>
      <c r="J4" t="str">
        <f>E4</f>
        <v>G000006745_1</v>
      </c>
      <c r="K4">
        <v>0</v>
      </c>
      <c r="L4">
        <v>0</v>
      </c>
      <c r="M4">
        <v>6</v>
      </c>
      <c r="O4" s="2" t="str">
        <f>E4</f>
        <v>G000006745_1</v>
      </c>
      <c r="P4" s="7" t="s">
        <v>6</v>
      </c>
      <c r="Q4" s="7" t="s">
        <v>9</v>
      </c>
      <c r="S4" s="8" t="s">
        <v>5</v>
      </c>
      <c r="T4" s="6">
        <v>3.0000000000000001E-3</v>
      </c>
      <c r="V4" s="8" t="s">
        <v>5</v>
      </c>
      <c r="W4" s="9">
        <v>9.2900000000000008E-9</v>
      </c>
      <c r="Y4" s="2" t="str">
        <f>E4</f>
        <v>G000006745_1</v>
      </c>
      <c r="Z4" s="10">
        <f>P10*$W$4</f>
        <v>0</v>
      </c>
      <c r="AA4" s="37">
        <f>Q10*$W$4</f>
        <v>0</v>
      </c>
      <c r="AC4" s="2" t="str">
        <f>E4</f>
        <v>G000006745_1</v>
      </c>
      <c r="AD4" s="11">
        <f>($AD$9/($AD$10*H4))</f>
        <v>4.081051775548929E+18</v>
      </c>
      <c r="AF4" s="2" t="str">
        <f>E4</f>
        <v>G000006745_1</v>
      </c>
      <c r="AG4" s="10">
        <f>Z4*AD4</f>
        <v>0</v>
      </c>
      <c r="AH4" s="10">
        <f>AA4*AD4</f>
        <v>0</v>
      </c>
      <c r="AJ4" s="2" t="str">
        <f>E4</f>
        <v>G000006745_1</v>
      </c>
      <c r="AK4" s="10">
        <f>AG4/$T$4</f>
        <v>0</v>
      </c>
      <c r="AL4" s="10">
        <f>AH4/$T$5</f>
        <v>0</v>
      </c>
    </row>
    <row r="5" spans="1:38" x14ac:dyDescent="0.2">
      <c r="B5" s="1" t="s">
        <v>2</v>
      </c>
      <c r="C5" s="1">
        <v>213988</v>
      </c>
      <c r="E5" s="1" t="str">
        <f>_xlfn.CONCAT($E$10,"_", H11)</f>
        <v>G000006745_2</v>
      </c>
      <c r="F5" s="1">
        <v>2177</v>
      </c>
      <c r="G5" s="1">
        <v>816</v>
      </c>
      <c r="H5" s="1">
        <f>F5-G5</f>
        <v>1361</v>
      </c>
      <c r="J5" t="str">
        <f t="shared" ref="J5:J7" si="0">E5</f>
        <v>G000006745_2</v>
      </c>
      <c r="K5">
        <v>2</v>
      </c>
      <c r="L5">
        <v>0</v>
      </c>
      <c r="M5">
        <v>0</v>
      </c>
      <c r="O5" s="2" t="str">
        <f t="shared" ref="O5:O7" si="1">E5</f>
        <v>G000006745_2</v>
      </c>
      <c r="P5" s="7" t="s">
        <v>7</v>
      </c>
      <c r="Q5" s="7" t="s">
        <v>9</v>
      </c>
      <c r="S5" s="8" t="s">
        <v>3</v>
      </c>
      <c r="T5" s="6">
        <v>8.1999999999999998E-4</v>
      </c>
      <c r="V5" s="8" t="s">
        <v>3</v>
      </c>
      <c r="W5" s="9">
        <v>2.9400000000000002E-10</v>
      </c>
      <c r="Y5" s="2" t="str">
        <f t="shared" ref="Y5:Y7" si="2">E5</f>
        <v>G000006745_2</v>
      </c>
      <c r="Z5" s="9">
        <f>P11*$W$4</f>
        <v>6.1348882974859517E-15</v>
      </c>
      <c r="AA5" s="10">
        <f>Q11*$W$4</f>
        <v>0</v>
      </c>
      <c r="AC5" s="2" t="str">
        <f t="shared" ref="AC5:AC7" si="3">E5</f>
        <v>G000006745_2</v>
      </c>
      <c r="AD5" s="11">
        <f t="shared" ref="AD5:AD7" si="4">($AD$9/($AD$10*H5))</f>
        <v>1.3013787440031119E+18</v>
      </c>
      <c r="AF5" s="2" t="str">
        <f t="shared" ref="AF5:AF7" si="5">E5</f>
        <v>G000006745_2</v>
      </c>
      <c r="AG5" s="10">
        <f t="shared" ref="AG5:AG7" si="6">Z5*AD5</f>
        <v>7983.8132271816576</v>
      </c>
      <c r="AH5" s="10">
        <f t="shared" ref="AH5:AH7" si="7">AA5*AD5</f>
        <v>0</v>
      </c>
      <c r="AJ5" s="2" t="str">
        <f t="shared" ref="AJ5:AJ7" si="8">E5</f>
        <v>G000006745_2</v>
      </c>
      <c r="AK5" s="10">
        <f t="shared" ref="AK5:AK7" si="9">AG5/$T$4</f>
        <v>2661271.0757272192</v>
      </c>
      <c r="AL5" s="10">
        <f t="shared" ref="AL5:AL7" si="10">AH5/$T$5</f>
        <v>0</v>
      </c>
    </row>
    <row r="6" spans="1:38" x14ac:dyDescent="0.2">
      <c r="E6" s="1" t="str">
        <f>_xlfn.CONCAT($E$10,"_", H12)</f>
        <v>G000006745_3</v>
      </c>
      <c r="F6" s="1">
        <v>3896</v>
      </c>
      <c r="G6" s="1">
        <v>2271</v>
      </c>
      <c r="H6" s="1">
        <f>F6-G6</f>
        <v>1625</v>
      </c>
      <c r="J6" t="str">
        <f t="shared" si="0"/>
        <v>G000006745_3</v>
      </c>
      <c r="K6">
        <v>0</v>
      </c>
      <c r="L6">
        <v>1</v>
      </c>
      <c r="M6">
        <v>3</v>
      </c>
      <c r="O6" s="2" t="str">
        <f t="shared" si="1"/>
        <v>G000006745_3</v>
      </c>
      <c r="P6" s="7" t="s">
        <v>6</v>
      </c>
      <c r="Q6" s="7" t="s">
        <v>10</v>
      </c>
      <c r="Y6" s="2" t="str">
        <f t="shared" si="2"/>
        <v>G000006745_3</v>
      </c>
      <c r="Z6" s="10">
        <f>P12*$W$4</f>
        <v>0</v>
      </c>
      <c r="AA6" s="9">
        <f>Q12*$W$4</f>
        <v>4.3413649363515714E-14</v>
      </c>
      <c r="AC6" s="2" t="str">
        <f t="shared" si="3"/>
        <v>G000006745_3</v>
      </c>
      <c r="AD6" s="11">
        <f t="shared" si="4"/>
        <v>1.0899547511312216E+18</v>
      </c>
      <c r="AF6" s="2" t="str">
        <f t="shared" si="5"/>
        <v>G000006745_3</v>
      </c>
      <c r="AG6" s="10">
        <f t="shared" si="6"/>
        <v>0</v>
      </c>
      <c r="AH6" s="10">
        <f t="shared" si="7"/>
        <v>47318.91338770889</v>
      </c>
      <c r="AJ6" s="2" t="str">
        <f t="shared" si="8"/>
        <v>G000006745_3</v>
      </c>
      <c r="AK6" s="10">
        <f t="shared" si="9"/>
        <v>0</v>
      </c>
      <c r="AL6" s="10">
        <f t="shared" si="10"/>
        <v>57705991.936230354</v>
      </c>
    </row>
    <row r="7" spans="1:38" x14ac:dyDescent="0.2">
      <c r="A7" s="3"/>
      <c r="E7" s="1" t="str">
        <f>_xlfn.CONCAT($E$10,"_", H13)</f>
        <v>G000006745_4</v>
      </c>
      <c r="F7" s="1">
        <v>4446</v>
      </c>
      <c r="G7" s="1">
        <v>4123</v>
      </c>
      <c r="H7" s="1">
        <f>F7-G7</f>
        <v>323</v>
      </c>
      <c r="J7" t="str">
        <f t="shared" si="0"/>
        <v>G000006745_4</v>
      </c>
      <c r="K7">
        <v>35</v>
      </c>
      <c r="L7">
        <v>0</v>
      </c>
      <c r="M7">
        <v>0</v>
      </c>
      <c r="O7" s="2" t="str">
        <f t="shared" si="1"/>
        <v>G000006745_4</v>
      </c>
      <c r="P7" s="7" t="s">
        <v>8</v>
      </c>
      <c r="Q7" s="7" t="s">
        <v>9</v>
      </c>
      <c r="Y7" s="2" t="str">
        <f t="shared" si="2"/>
        <v>G000006745_4</v>
      </c>
      <c r="Z7" s="9">
        <f>P13*$W$4</f>
        <v>1.0736054520600415E-13</v>
      </c>
      <c r="AA7" s="10">
        <f>Q13*$W$4</f>
        <v>0</v>
      </c>
      <c r="AC7" s="2" t="str">
        <f t="shared" si="3"/>
        <v>G000006745_4</v>
      </c>
      <c r="AD7" s="11">
        <f t="shared" si="4"/>
        <v>5.4835184847932979E+18</v>
      </c>
      <c r="AF7" s="2" t="str">
        <f t="shared" si="5"/>
        <v>G000006745_4</v>
      </c>
      <c r="AG7" s="10">
        <f t="shared" si="6"/>
        <v>588713.53417461028</v>
      </c>
      <c r="AH7" s="10">
        <f t="shared" si="7"/>
        <v>0</v>
      </c>
      <c r="AJ7" s="2" t="str">
        <f t="shared" si="8"/>
        <v>G000006745_4</v>
      </c>
      <c r="AK7" s="10">
        <f t="shared" si="9"/>
        <v>196237844.72487009</v>
      </c>
      <c r="AL7" s="10">
        <f t="shared" si="10"/>
        <v>0</v>
      </c>
    </row>
    <row r="8" spans="1:38" x14ac:dyDescent="0.2">
      <c r="A8" s="3"/>
      <c r="E8" s="1" t="str">
        <f>_xlfn.CONCAT($E$10,"_", H14)</f>
        <v>G000006745_5</v>
      </c>
      <c r="F8" s="1">
        <v>4629</v>
      </c>
      <c r="G8" s="1">
        <v>4492</v>
      </c>
      <c r="H8" s="1">
        <f>F8-G8</f>
        <v>137</v>
      </c>
    </row>
    <row r="9" spans="1:38" x14ac:dyDescent="0.2">
      <c r="A9" s="3"/>
      <c r="O9" s="2" t="s">
        <v>12</v>
      </c>
      <c r="P9" s="8" t="s">
        <v>5</v>
      </c>
      <c r="Q9" s="8" t="s">
        <v>3</v>
      </c>
      <c r="AC9" s="38" t="s">
        <v>29</v>
      </c>
      <c r="AD9">
        <f>6.022*10^23</f>
        <v>6.0219999999999996E+23</v>
      </c>
    </row>
    <row r="10" spans="1:38" x14ac:dyDescent="0.2">
      <c r="E10" s="36" t="s">
        <v>11</v>
      </c>
      <c r="H10">
        <v>1</v>
      </c>
      <c r="O10" s="2" t="str">
        <f>E4</f>
        <v>G000006745_1</v>
      </c>
      <c r="P10" s="6">
        <f>0/$C$4</f>
        <v>0</v>
      </c>
      <c r="Q10" s="6">
        <f>0/$C$5</f>
        <v>0</v>
      </c>
      <c r="AC10" s="38" t="s">
        <v>51</v>
      </c>
      <c r="AD10">
        <v>340</v>
      </c>
    </row>
    <row r="11" spans="1:38" x14ac:dyDescent="0.2">
      <c r="H11">
        <v>2</v>
      </c>
      <c r="O11" s="2" t="str">
        <f t="shared" ref="O11:O13" si="11">E5</f>
        <v>G000006745_2</v>
      </c>
      <c r="P11" s="6">
        <f>2/$C$4</f>
        <v>6.6037548950333163E-7</v>
      </c>
      <c r="Q11" s="6">
        <f>0/$C$5</f>
        <v>0</v>
      </c>
    </row>
    <row r="12" spans="1:38" x14ac:dyDescent="0.2">
      <c r="H12">
        <v>3</v>
      </c>
      <c r="O12" s="2" t="str">
        <f t="shared" si="11"/>
        <v>G000006745_3</v>
      </c>
      <c r="P12" s="6">
        <f>0/$C$4</f>
        <v>0</v>
      </c>
      <c r="Q12" s="6">
        <f>1/$C$5</f>
        <v>4.6731592425743499E-6</v>
      </c>
    </row>
    <row r="13" spans="1:38" x14ac:dyDescent="0.2">
      <c r="H13">
        <v>4</v>
      </c>
      <c r="O13" s="2" t="str">
        <f t="shared" si="11"/>
        <v>G000006745_4</v>
      </c>
      <c r="P13" s="6">
        <f>35/$C$4</f>
        <v>1.1556571066308303E-5</v>
      </c>
      <c r="Q13" s="6">
        <f>0/$C$5</f>
        <v>0</v>
      </c>
    </row>
    <row r="14" spans="1:38" x14ac:dyDescent="0.2">
      <c r="H14">
        <v>5</v>
      </c>
    </row>
    <row r="18" spans="15:26" x14ac:dyDescent="0.2">
      <c r="T18" s="4"/>
    </row>
    <row r="19" spans="15:26" x14ac:dyDescent="0.2">
      <c r="O19" s="4"/>
      <c r="P19" s="4"/>
      <c r="Q19" s="4"/>
      <c r="R19" s="4"/>
      <c r="S19" s="4"/>
      <c r="T19" s="5"/>
    </row>
    <row r="20" spans="15:26" x14ac:dyDescent="0.2">
      <c r="O20" s="5"/>
      <c r="P20" s="5"/>
      <c r="Q20" s="5"/>
      <c r="R20" s="5"/>
      <c r="S20" s="5"/>
      <c r="T20" s="5"/>
    </row>
    <row r="21" spans="15:26" x14ac:dyDescent="0.2">
      <c r="O21" s="5"/>
      <c r="P21" s="5"/>
      <c r="Q21" s="5"/>
      <c r="R21" s="5"/>
      <c r="S21" s="5"/>
      <c r="T21" s="5"/>
      <c r="X21" s="13"/>
      <c r="Y21" s="13"/>
    </row>
    <row r="22" spans="15:26" x14ac:dyDescent="0.2">
      <c r="O22" s="5"/>
      <c r="P22" s="5"/>
      <c r="Q22" s="5"/>
      <c r="R22" s="5"/>
      <c r="S22" s="5"/>
      <c r="T22" s="5"/>
      <c r="X22" s="41"/>
      <c r="Y22" s="39"/>
      <c r="Z22" s="39"/>
    </row>
    <row r="23" spans="15:26" x14ac:dyDescent="0.2">
      <c r="O23" s="5"/>
      <c r="P23" s="5"/>
      <c r="Q23" s="5"/>
      <c r="R23" s="5"/>
      <c r="S23" s="5"/>
      <c r="X23" s="41"/>
      <c r="Y23" s="40"/>
      <c r="Z23" s="40"/>
    </row>
    <row r="24" spans="15:26" x14ac:dyDescent="0.2">
      <c r="X24" s="41"/>
      <c r="Y24" s="40"/>
      <c r="Z24" s="40"/>
    </row>
    <row r="25" spans="15:26" x14ac:dyDescent="0.2">
      <c r="X25" s="41"/>
      <c r="Y25" s="40"/>
      <c r="Z25" s="40"/>
    </row>
    <row r="26" spans="15:26" x14ac:dyDescent="0.2">
      <c r="X26" s="41"/>
      <c r="Y26" s="40"/>
      <c r="Z26" s="4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full_calcs</vt:lpstr>
      <vt:lpstr>workflow_tables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Birmingham, Amanda</dc:creator>
  <cp:lastModifiedBy>Birmingham, Amanda</cp:lastModifiedBy>
  <dcterms:created xsi:type="dcterms:W3CDTF">2024-01-23T21:02:59Z</dcterms:created>
  <dcterms:modified xsi:type="dcterms:W3CDTF">2024-02-03T01:32:13Z</dcterms:modified>
</cp:coreProperties>
</file>