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birmingham/Work/Repositories/pysyndna/docs/"/>
    </mc:Choice>
  </mc:AlternateContent>
  <xr:revisionPtr revIDLastSave="0" documentId="13_ncr:1_{08B8B670-B01C-ED4A-AFC4-572D58FE2ABD}" xr6:coauthVersionLast="47" xr6:coauthVersionMax="47" xr10:uidLastSave="{00000000-0000-0000-0000-000000000000}"/>
  <bookViews>
    <workbookView xWindow="1440" yWindow="920" windowWidth="31820" windowHeight="19160" activeTab="2" xr2:uid="{E184B90C-6432-8947-B7A0-BE1974B73180}"/>
  </bookViews>
  <sheets>
    <sheet name="full_calcs on correct masses " sheetId="16" r:id="rId1"/>
    <sheet name="linear regressions counts" sheetId="17" r:id="rId2"/>
    <sheet name="diagrm artifacts from linregcts" sheetId="19" r:id="rId3"/>
    <sheet name="full_calcs on Zaramela masses " sheetId="1" r:id="rId4"/>
    <sheet name="linear regressions CPMs" sheetId="2" r:id="rId5"/>
    <sheet name="zaramela linear reg CPM&amp;counts " sheetId="15" r:id="rId6"/>
    <sheet name="syndna_saliva_analysis_ex1"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8" i="16" l="1"/>
  <c r="I38" i="16"/>
  <c r="I40" i="16" s="1"/>
  <c r="H38" i="16"/>
  <c r="G38" i="16"/>
  <c r="J40" i="16"/>
  <c r="H40" i="16"/>
  <c r="G40" i="16"/>
  <c r="K41" i="17" a="1"/>
  <c r="K41" i="17" s="1"/>
  <c r="L41" i="17" a="1"/>
  <c r="L41" i="17" s="1"/>
  <c r="M42" i="17"/>
  <c r="M43" i="17"/>
  <c r="M44" i="17"/>
  <c r="M45" i="17"/>
  <c r="M46" i="17"/>
  <c r="M47" i="17"/>
  <c r="M48" i="17"/>
  <c r="M49" i="17"/>
  <c r="M50" i="17"/>
  <c r="M51" i="17"/>
  <c r="M52" i="17"/>
  <c r="M53" i="17"/>
  <c r="M54" i="17"/>
  <c r="G17" i="19"/>
  <c r="H17" i="19" s="1"/>
  <c r="J17" i="19" s="1"/>
  <c r="I17" i="19"/>
  <c r="G18" i="19"/>
  <c r="H18" i="19" s="1"/>
  <c r="J18" i="19" s="1"/>
  <c r="I18" i="19"/>
  <c r="G19" i="19"/>
  <c r="H19" i="19"/>
  <c r="J19" i="19" s="1"/>
  <c r="I19" i="19"/>
  <c r="G20" i="19"/>
  <c r="H20" i="19" s="1"/>
  <c r="J20" i="19" s="1"/>
  <c r="I20" i="19"/>
  <c r="G21" i="19"/>
  <c r="H21" i="19" s="1"/>
  <c r="J21" i="19" s="1"/>
  <c r="I21" i="19"/>
  <c r="G22" i="19"/>
  <c r="H22" i="19"/>
  <c r="J22" i="19" s="1"/>
  <c r="I22" i="19"/>
  <c r="G23" i="19"/>
  <c r="H23" i="19" s="1"/>
  <c r="J23" i="19" s="1"/>
  <c r="I23" i="19"/>
  <c r="G24" i="19"/>
  <c r="H24" i="19"/>
  <c r="I24" i="19"/>
  <c r="J24" i="19"/>
  <c r="G25" i="19"/>
  <c r="H25" i="19" s="1"/>
  <c r="J25" i="19" s="1"/>
  <c r="I25" i="19"/>
  <c r="G26" i="19"/>
  <c r="H26" i="19" s="1"/>
  <c r="J26" i="19" s="1"/>
  <c r="I26" i="19"/>
  <c r="Z48" i="19"/>
  <c r="Z44" i="19"/>
  <c r="Z43" i="19"/>
  <c r="L31" i="19" a="1"/>
  <c r="M32" i="19" s="1"/>
  <c r="K31" i="19" a="1"/>
  <c r="K31" i="19" s="1"/>
  <c r="M41" i="19" l="1"/>
  <c r="M34" i="19"/>
  <c r="Q45" i="19" s="1"/>
  <c r="M43" i="19"/>
  <c r="M39" i="19"/>
  <c r="M38" i="19"/>
  <c r="Q48" i="19" s="1"/>
  <c r="AJ48" i="19" s="1"/>
  <c r="M33" i="19"/>
  <c r="Q44" i="19" s="1"/>
  <c r="AJ44" i="19" s="1"/>
  <c r="M44" i="19"/>
  <c r="M42" i="19"/>
  <c r="M40" i="19"/>
  <c r="M37" i="19"/>
  <c r="Q47" i="19" s="1"/>
  <c r="M36" i="19"/>
  <c r="M35" i="19"/>
  <c r="Q46" i="19"/>
  <c r="L31" i="19"/>
  <c r="Q43" i="19"/>
  <c r="AJ43" i="19" s="1"/>
  <c r="J31" i="16"/>
  <c r="I31" i="16"/>
  <c r="H31" i="16"/>
  <c r="G31" i="16"/>
  <c r="J30" i="16"/>
  <c r="I30" i="16"/>
  <c r="H30" i="16"/>
  <c r="G30" i="16"/>
  <c r="M77" i="17"/>
  <c r="M76" i="17"/>
  <c r="M75" i="17"/>
  <c r="M74" i="17"/>
  <c r="M73" i="17"/>
  <c r="M72" i="17"/>
  <c r="M71" i="17"/>
  <c r="H100" i="16" s="1"/>
  <c r="M70" i="17"/>
  <c r="M69" i="17"/>
  <c r="M68" i="17"/>
  <c r="M67" i="17"/>
  <c r="M66" i="17"/>
  <c r="J90" i="16" s="1"/>
  <c r="M65" i="17"/>
  <c r="H47" i="16" s="1"/>
  <c r="AJ56" i="19" l="1"/>
  <c r="AJ46" i="19"/>
  <c r="AJ55" i="19"/>
  <c r="AJ45" i="19"/>
  <c r="AJ57" i="19"/>
  <c r="AJ47" i="19"/>
  <c r="J47" i="16"/>
  <c r="J49" i="16" s="1"/>
  <c r="H80" i="16"/>
  <c r="H82" i="16" s="1"/>
  <c r="J80" i="16"/>
  <c r="J82" i="16" s="1"/>
  <c r="J67" i="16"/>
  <c r="J69" i="16" s="1"/>
  <c r="H67" i="16"/>
  <c r="H69" i="16" s="1"/>
  <c r="J100" i="16"/>
  <c r="J102" i="16" s="1"/>
  <c r="H90" i="16"/>
  <c r="H92" i="16" s="1"/>
  <c r="H57" i="16"/>
  <c r="H59" i="16" s="1"/>
  <c r="J57" i="16"/>
  <c r="J59" i="16" s="1"/>
  <c r="H49" i="16"/>
  <c r="H50" i="16" s="1"/>
  <c r="H51" i="16" s="1"/>
  <c r="L130" i="17" a="1"/>
  <c r="K130" i="17" a="1"/>
  <c r="K130" i="17" s="1"/>
  <c r="L107" i="17" a="1"/>
  <c r="K107" i="17" a="1"/>
  <c r="K107" i="17" s="1"/>
  <c r="K64" i="17" a="1"/>
  <c r="K64" i="17" s="1"/>
  <c r="A50" i="15" a="1"/>
  <c r="A50" i="15" s="1"/>
  <c r="I103" i="17"/>
  <c r="I102" i="17"/>
  <c r="I101" i="17"/>
  <c r="I100" i="17"/>
  <c r="I99" i="17"/>
  <c r="I98" i="17"/>
  <c r="I97" i="17"/>
  <c r="I96" i="17"/>
  <c r="I95" i="17"/>
  <c r="I94" i="17"/>
  <c r="I93" i="17"/>
  <c r="I92" i="17"/>
  <c r="I91" i="17"/>
  <c r="I90" i="17"/>
  <c r="I89" i="17"/>
  <c r="I88" i="17"/>
  <c r="I87" i="17"/>
  <c r="I86" i="17"/>
  <c r="I36" i="17"/>
  <c r="I35" i="17"/>
  <c r="I34" i="17"/>
  <c r="I33" i="17"/>
  <c r="I32" i="17"/>
  <c r="I31" i="17"/>
  <c r="I30" i="17"/>
  <c r="I29" i="17"/>
  <c r="I28" i="17"/>
  <c r="I27" i="17"/>
  <c r="I26" i="17"/>
  <c r="I25" i="17"/>
  <c r="I24" i="17"/>
  <c r="I23" i="17"/>
  <c r="I22" i="17"/>
  <c r="I21" i="17"/>
  <c r="I20" i="17"/>
  <c r="I19" i="17"/>
  <c r="I18" i="17"/>
  <c r="I17" i="17"/>
  <c r="G103" i="17"/>
  <c r="H103" i="17" s="1"/>
  <c r="J103" i="17" s="1"/>
  <c r="G102" i="17"/>
  <c r="H102" i="17" s="1"/>
  <c r="J102" i="17" s="1"/>
  <c r="G101" i="17"/>
  <c r="H101" i="17" s="1"/>
  <c r="J101" i="17" s="1"/>
  <c r="G100" i="17"/>
  <c r="H100" i="17" s="1"/>
  <c r="J100" i="17" s="1"/>
  <c r="G99" i="17"/>
  <c r="H99" i="17" s="1"/>
  <c r="J99" i="17" s="1"/>
  <c r="G98" i="17"/>
  <c r="H98" i="17" s="1"/>
  <c r="J98" i="17" s="1"/>
  <c r="G97" i="17"/>
  <c r="H97" i="17" s="1"/>
  <c r="J97" i="17" s="1"/>
  <c r="G96" i="17"/>
  <c r="H96" i="17" s="1"/>
  <c r="J96" i="17" s="1"/>
  <c r="G95" i="17"/>
  <c r="H95" i="17" s="1"/>
  <c r="J95" i="17" s="1"/>
  <c r="G94" i="17"/>
  <c r="H94" i="17" s="1"/>
  <c r="J94" i="17" s="1"/>
  <c r="G93" i="17"/>
  <c r="H93" i="17" s="1"/>
  <c r="J93" i="17" s="1"/>
  <c r="G92" i="17"/>
  <c r="H92" i="17" s="1"/>
  <c r="J92" i="17" s="1"/>
  <c r="G91" i="17"/>
  <c r="H91" i="17" s="1"/>
  <c r="J91" i="17" s="1"/>
  <c r="G90" i="17"/>
  <c r="H90" i="17" s="1"/>
  <c r="J90" i="17" s="1"/>
  <c r="G89" i="17"/>
  <c r="H89" i="17" s="1"/>
  <c r="J89" i="17" s="1"/>
  <c r="G88" i="17"/>
  <c r="H88" i="17" s="1"/>
  <c r="J88" i="17" s="1"/>
  <c r="G87" i="17"/>
  <c r="H87" i="17" s="1"/>
  <c r="J87" i="17" s="1"/>
  <c r="G86" i="17"/>
  <c r="H86" i="17" s="1"/>
  <c r="J86" i="17" s="1"/>
  <c r="G36" i="17"/>
  <c r="H36" i="17" s="1"/>
  <c r="J36" i="17" s="1"/>
  <c r="G35" i="17"/>
  <c r="H35" i="17" s="1"/>
  <c r="J35" i="17" s="1"/>
  <c r="G34" i="17"/>
  <c r="H34" i="17" s="1"/>
  <c r="J34" i="17" s="1"/>
  <c r="G33" i="17"/>
  <c r="H33" i="17" s="1"/>
  <c r="J33" i="17" s="1"/>
  <c r="G32" i="17"/>
  <c r="H32" i="17" s="1"/>
  <c r="J32" i="17" s="1"/>
  <c r="G31" i="17"/>
  <c r="H31" i="17" s="1"/>
  <c r="J31" i="17" s="1"/>
  <c r="G30" i="17"/>
  <c r="H30" i="17" s="1"/>
  <c r="J30" i="17" s="1"/>
  <c r="G29" i="17"/>
  <c r="H29" i="17" s="1"/>
  <c r="J29" i="17" s="1"/>
  <c r="G28" i="17"/>
  <c r="H28" i="17" s="1"/>
  <c r="J28" i="17" s="1"/>
  <c r="G27" i="17"/>
  <c r="H27" i="17" s="1"/>
  <c r="J27" i="17" s="1"/>
  <c r="G26" i="17"/>
  <c r="H26" i="17" s="1"/>
  <c r="J26" i="17" s="1"/>
  <c r="G25" i="17"/>
  <c r="H25" i="17" s="1"/>
  <c r="J25" i="17" s="1"/>
  <c r="G24" i="17"/>
  <c r="H24" i="17" s="1"/>
  <c r="J24" i="17" s="1"/>
  <c r="G23" i="17"/>
  <c r="H23" i="17" s="1"/>
  <c r="J23" i="17" s="1"/>
  <c r="G22" i="17"/>
  <c r="H22" i="17" s="1"/>
  <c r="J22" i="17" s="1"/>
  <c r="G21" i="17"/>
  <c r="H21" i="17" s="1"/>
  <c r="J21" i="17" s="1"/>
  <c r="G20" i="17"/>
  <c r="H20" i="17" s="1"/>
  <c r="J20" i="17" s="1"/>
  <c r="G19" i="17"/>
  <c r="H19" i="17" s="1"/>
  <c r="J19" i="17" s="1"/>
  <c r="G18" i="17"/>
  <c r="H18" i="17" s="1"/>
  <c r="J18" i="17" s="1"/>
  <c r="G17" i="17"/>
  <c r="H17" i="17" s="1"/>
  <c r="J17" i="17" s="1"/>
  <c r="H102" i="16"/>
  <c r="J92" i="16"/>
  <c r="J34" i="16"/>
  <c r="I34" i="16"/>
  <c r="H34" i="16"/>
  <c r="G34" i="16"/>
  <c r="J19" i="16"/>
  <c r="I19" i="16"/>
  <c r="H19" i="16"/>
  <c r="G19" i="16"/>
  <c r="J15" i="16"/>
  <c r="J16" i="16" s="1"/>
  <c r="J17" i="16" s="1"/>
  <c r="I15" i="16"/>
  <c r="H15" i="16"/>
  <c r="G15" i="16"/>
  <c r="G16" i="16" s="1"/>
  <c r="G17" i="16" s="1"/>
  <c r="J13" i="16"/>
  <c r="J14" i="16" s="1"/>
  <c r="I13" i="16"/>
  <c r="I14" i="16" s="1"/>
  <c r="H13" i="16"/>
  <c r="H14" i="16" s="1"/>
  <c r="G13" i="16"/>
  <c r="G14" i="16" s="1"/>
  <c r="J12" i="16"/>
  <c r="I12" i="16"/>
  <c r="H12" i="16"/>
  <c r="G12" i="16"/>
  <c r="J8" i="16"/>
  <c r="J9" i="16" s="1"/>
  <c r="I8" i="16"/>
  <c r="I9" i="16" s="1"/>
  <c r="H8" i="16"/>
  <c r="H9" i="16" s="1"/>
  <c r="G8" i="16"/>
  <c r="G9" i="16" s="1"/>
  <c r="J6" i="16"/>
  <c r="I6" i="16"/>
  <c r="H6" i="16"/>
  <c r="G6" i="16"/>
  <c r="I24" i="15"/>
  <c r="I23" i="15"/>
  <c r="I22" i="15"/>
  <c r="I21" i="15"/>
  <c r="I20" i="15"/>
  <c r="I19" i="15"/>
  <c r="I18" i="15"/>
  <c r="I17" i="15"/>
  <c r="I16" i="15"/>
  <c r="I15" i="15"/>
  <c r="E51" i="15" a="1"/>
  <c r="E51" i="15" s="1"/>
  <c r="C51" i="15" a="1"/>
  <c r="C51" i="15" s="1"/>
  <c r="B51" i="15" a="1"/>
  <c r="B51" i="15" s="1"/>
  <c r="I51" i="15" s="1"/>
  <c r="J24" i="15"/>
  <c r="K24" i="15" s="1"/>
  <c r="G24" i="15"/>
  <c r="H24" i="15" s="1"/>
  <c r="L24" i="15" s="1"/>
  <c r="J23" i="15"/>
  <c r="K23" i="15" s="1"/>
  <c r="G23" i="15"/>
  <c r="H23" i="15" s="1"/>
  <c r="L23" i="15" s="1"/>
  <c r="J22" i="15"/>
  <c r="K22" i="15" s="1"/>
  <c r="G22" i="15"/>
  <c r="H22" i="15" s="1"/>
  <c r="L22" i="15" s="1"/>
  <c r="J21" i="15"/>
  <c r="K21" i="15" s="1"/>
  <c r="G21" i="15"/>
  <c r="H21" i="15" s="1"/>
  <c r="L21" i="15" s="1"/>
  <c r="J20" i="15"/>
  <c r="K20" i="15" s="1"/>
  <c r="G20" i="15"/>
  <c r="H20" i="15" s="1"/>
  <c r="L20" i="15" s="1"/>
  <c r="J19" i="15"/>
  <c r="K19" i="15" s="1"/>
  <c r="G19" i="15"/>
  <c r="H19" i="15" s="1"/>
  <c r="L19" i="15" s="1"/>
  <c r="J18" i="15"/>
  <c r="K18" i="15" s="1"/>
  <c r="G18" i="15"/>
  <c r="H18" i="15" s="1"/>
  <c r="L18" i="15" s="1"/>
  <c r="J17" i="15"/>
  <c r="K17" i="15" s="1"/>
  <c r="G17" i="15"/>
  <c r="H17" i="15" s="1"/>
  <c r="L17" i="15" s="1"/>
  <c r="J16" i="15"/>
  <c r="K16" i="15" s="1"/>
  <c r="G16" i="15"/>
  <c r="H16" i="15" s="1"/>
  <c r="L16" i="15" s="1"/>
  <c r="J15" i="15"/>
  <c r="K15" i="15" s="1"/>
  <c r="G15" i="15"/>
  <c r="H15" i="15" s="1"/>
  <c r="L15" i="15" s="1"/>
  <c r="I101" i="2"/>
  <c r="J101" i="2" s="1"/>
  <c r="G101" i="2"/>
  <c r="H101" i="2" s="1"/>
  <c r="K101" i="2" s="1"/>
  <c r="I100" i="2"/>
  <c r="J100" i="2" s="1"/>
  <c r="G100" i="2"/>
  <c r="H100" i="2" s="1"/>
  <c r="K100" i="2" s="1"/>
  <c r="I99" i="2"/>
  <c r="J99" i="2" s="1"/>
  <c r="G99" i="2"/>
  <c r="H99" i="2" s="1"/>
  <c r="K99" i="2" s="1"/>
  <c r="I98" i="2"/>
  <c r="J98" i="2" s="1"/>
  <c r="G98" i="2"/>
  <c r="H98" i="2" s="1"/>
  <c r="K98" i="2" s="1"/>
  <c r="I97" i="2"/>
  <c r="J97" i="2" s="1"/>
  <c r="G97" i="2"/>
  <c r="H97" i="2" s="1"/>
  <c r="K97" i="2" s="1"/>
  <c r="I96" i="2"/>
  <c r="J96" i="2" s="1"/>
  <c r="G96" i="2"/>
  <c r="H96" i="2" s="1"/>
  <c r="K96" i="2" s="1"/>
  <c r="I95" i="2"/>
  <c r="J95" i="2" s="1"/>
  <c r="G95" i="2"/>
  <c r="H95" i="2" s="1"/>
  <c r="K95" i="2" s="1"/>
  <c r="I94" i="2"/>
  <c r="J94" i="2" s="1"/>
  <c r="G94" i="2"/>
  <c r="H94" i="2" s="1"/>
  <c r="K94" i="2" s="1"/>
  <c r="I93" i="2"/>
  <c r="J93" i="2" s="1"/>
  <c r="G93" i="2"/>
  <c r="H93" i="2" s="1"/>
  <c r="K93" i="2" s="1"/>
  <c r="I92" i="2"/>
  <c r="J92" i="2" s="1"/>
  <c r="G92" i="2"/>
  <c r="H92" i="2" s="1"/>
  <c r="K92" i="2" s="1"/>
  <c r="I91" i="2"/>
  <c r="J91" i="2" s="1"/>
  <c r="G91" i="2"/>
  <c r="H91" i="2" s="1"/>
  <c r="K91" i="2" s="1"/>
  <c r="I90" i="2"/>
  <c r="J90" i="2" s="1"/>
  <c r="G90" i="2"/>
  <c r="H90" i="2" s="1"/>
  <c r="K90" i="2" s="1"/>
  <c r="I89" i="2"/>
  <c r="J89" i="2" s="1"/>
  <c r="G89" i="2"/>
  <c r="H89" i="2" s="1"/>
  <c r="K89" i="2" s="1"/>
  <c r="I88" i="2"/>
  <c r="J88" i="2" s="1"/>
  <c r="G88" i="2"/>
  <c r="H88" i="2" s="1"/>
  <c r="K88" i="2" s="1"/>
  <c r="I87" i="2"/>
  <c r="J87" i="2" s="1"/>
  <c r="G87" i="2"/>
  <c r="H87" i="2" s="1"/>
  <c r="K87" i="2" s="1"/>
  <c r="I86" i="2"/>
  <c r="J86" i="2" s="1"/>
  <c r="G86" i="2"/>
  <c r="H86" i="2" s="1"/>
  <c r="K86" i="2" s="1"/>
  <c r="I85" i="2"/>
  <c r="J85" i="2" s="1"/>
  <c r="G85" i="2"/>
  <c r="H85" i="2" s="1"/>
  <c r="K85" i="2" s="1"/>
  <c r="I84" i="2"/>
  <c r="J84" i="2" s="1"/>
  <c r="G84" i="2"/>
  <c r="H84" i="2" s="1"/>
  <c r="K84" i="2" s="1"/>
  <c r="I31" i="2"/>
  <c r="J31" i="2" s="1"/>
  <c r="G31" i="2"/>
  <c r="H31" i="2" s="1"/>
  <c r="K31" i="2" s="1"/>
  <c r="I21" i="2"/>
  <c r="J21" i="2" s="1"/>
  <c r="G21" i="2"/>
  <c r="H21" i="2" s="1"/>
  <c r="K21" i="2" s="1"/>
  <c r="I36" i="2"/>
  <c r="J36" i="2" s="1"/>
  <c r="I35" i="2"/>
  <c r="J35" i="2" s="1"/>
  <c r="I34" i="2"/>
  <c r="J34" i="2" s="1"/>
  <c r="I33" i="2"/>
  <c r="J33" i="2" s="1"/>
  <c r="I32" i="2"/>
  <c r="J32" i="2" s="1"/>
  <c r="I30" i="2"/>
  <c r="J30" i="2" s="1"/>
  <c r="I29" i="2"/>
  <c r="J29" i="2" s="1"/>
  <c r="I28" i="2"/>
  <c r="J28" i="2" s="1"/>
  <c r="I27" i="2"/>
  <c r="J27" i="2" s="1"/>
  <c r="I26" i="2"/>
  <c r="J26" i="2" s="1"/>
  <c r="I25" i="2"/>
  <c r="J25" i="2" s="1"/>
  <c r="I24" i="2"/>
  <c r="J24" i="2" s="1"/>
  <c r="I23" i="2"/>
  <c r="J23" i="2" s="1"/>
  <c r="I22" i="2"/>
  <c r="J22" i="2" s="1"/>
  <c r="I20" i="2"/>
  <c r="J20" i="2" s="1"/>
  <c r="I19" i="2"/>
  <c r="J19" i="2" s="1"/>
  <c r="I18" i="2"/>
  <c r="J18" i="2" s="1"/>
  <c r="I17" i="2"/>
  <c r="J17" i="2" s="1"/>
  <c r="G36" i="2"/>
  <c r="H36" i="2" s="1"/>
  <c r="K36" i="2" s="1"/>
  <c r="G35" i="2"/>
  <c r="H35" i="2" s="1"/>
  <c r="K35" i="2" s="1"/>
  <c r="G34" i="2"/>
  <c r="H34" i="2" s="1"/>
  <c r="K34" i="2" s="1"/>
  <c r="G33" i="2"/>
  <c r="H33" i="2" s="1"/>
  <c r="K33" i="2" s="1"/>
  <c r="G32" i="2"/>
  <c r="H32" i="2" s="1"/>
  <c r="K32" i="2" s="1"/>
  <c r="G30" i="2"/>
  <c r="H30" i="2" s="1"/>
  <c r="K30" i="2" s="1"/>
  <c r="G29" i="2"/>
  <c r="H29" i="2" s="1"/>
  <c r="K29" i="2" s="1"/>
  <c r="G28" i="2"/>
  <c r="H28" i="2" s="1"/>
  <c r="K28" i="2" s="1"/>
  <c r="G27" i="2"/>
  <c r="H27" i="2" s="1"/>
  <c r="K27" i="2" s="1"/>
  <c r="G26" i="2"/>
  <c r="H26" i="2" s="1"/>
  <c r="K26" i="2" s="1"/>
  <c r="G25" i="2"/>
  <c r="H25" i="2" s="1"/>
  <c r="K25" i="2" s="1"/>
  <c r="G24" i="2"/>
  <c r="H24" i="2" s="1"/>
  <c r="K24" i="2" s="1"/>
  <c r="G23" i="2"/>
  <c r="H23" i="2" s="1"/>
  <c r="K23" i="2" s="1"/>
  <c r="G22" i="2"/>
  <c r="H22" i="2" s="1"/>
  <c r="K22" i="2" s="1"/>
  <c r="G20" i="2"/>
  <c r="H20" i="2" s="1"/>
  <c r="K20" i="2" s="1"/>
  <c r="G19" i="2"/>
  <c r="H19" i="2" s="1"/>
  <c r="K19" i="2" s="1"/>
  <c r="G18" i="2"/>
  <c r="H18" i="2" s="1"/>
  <c r="K18" i="2" s="1"/>
  <c r="G17" i="2"/>
  <c r="H17" i="2" s="1"/>
  <c r="K17" i="2" s="1"/>
  <c r="I80" i="1"/>
  <c r="I73" i="1"/>
  <c r="I66" i="1"/>
  <c r="J80" i="1"/>
  <c r="J73" i="1"/>
  <c r="J66" i="1"/>
  <c r="J56" i="1"/>
  <c r="J49" i="1"/>
  <c r="J42" i="1"/>
  <c r="J30" i="1"/>
  <c r="J33" i="1" s="1"/>
  <c r="J19" i="1"/>
  <c r="J15" i="1"/>
  <c r="J13" i="1"/>
  <c r="J14" i="1" s="1"/>
  <c r="J12" i="1"/>
  <c r="J8" i="1"/>
  <c r="J16" i="1" s="1"/>
  <c r="J17" i="1" s="1"/>
  <c r="J6" i="1"/>
  <c r="H80" i="1"/>
  <c r="H73" i="1"/>
  <c r="H66" i="1"/>
  <c r="I56" i="1"/>
  <c r="I49" i="1"/>
  <c r="H56" i="1"/>
  <c r="H49" i="1"/>
  <c r="G80" i="1"/>
  <c r="G73" i="1"/>
  <c r="G66" i="1"/>
  <c r="G56" i="1"/>
  <c r="G49" i="1"/>
  <c r="G42" i="1"/>
  <c r="I30" i="1"/>
  <c r="I33" i="1" s="1"/>
  <c r="H30" i="1"/>
  <c r="H33" i="1" s="1"/>
  <c r="G30" i="1"/>
  <c r="I42" i="1"/>
  <c r="H42" i="1"/>
  <c r="I19" i="1"/>
  <c r="I15" i="1"/>
  <c r="I13" i="1"/>
  <c r="I14" i="1" s="1"/>
  <c r="I12" i="1"/>
  <c r="I8" i="1"/>
  <c r="I9" i="1" s="1"/>
  <c r="I6" i="1"/>
  <c r="H19" i="1"/>
  <c r="H15" i="1"/>
  <c r="H13" i="1"/>
  <c r="H14" i="1" s="1"/>
  <c r="H12" i="1"/>
  <c r="H8" i="1"/>
  <c r="H9" i="1" s="1"/>
  <c r="H6" i="1"/>
  <c r="AM57" i="19" l="1"/>
  <c r="AM47" i="19"/>
  <c r="AM55" i="19"/>
  <c r="AM45" i="19"/>
  <c r="I16" i="16"/>
  <c r="I17" i="16" s="1"/>
  <c r="I20" i="16" s="1"/>
  <c r="AM56" i="19"/>
  <c r="AS56" i="19" s="1"/>
  <c r="AM46" i="19"/>
  <c r="I100" i="16"/>
  <c r="I102" i="16" s="1"/>
  <c r="I103" i="16" s="1"/>
  <c r="I104" i="16" s="1"/>
  <c r="G100" i="16"/>
  <c r="G102" i="16" s="1"/>
  <c r="AJ58" i="19" s="1"/>
  <c r="AM48" i="19" s="1"/>
  <c r="G67" i="16"/>
  <c r="G69" i="16" s="1"/>
  <c r="G70" i="16" s="1"/>
  <c r="G71" i="16" s="1"/>
  <c r="I67" i="16"/>
  <c r="I69" i="16" s="1"/>
  <c r="I70" i="16" s="1"/>
  <c r="I71" i="16" s="1"/>
  <c r="L107" i="17"/>
  <c r="M110" i="17"/>
  <c r="M117" i="17"/>
  <c r="M109" i="17"/>
  <c r="M108" i="17"/>
  <c r="M118" i="17"/>
  <c r="M120" i="17"/>
  <c r="M119" i="17"/>
  <c r="M113" i="17"/>
  <c r="M112" i="17"/>
  <c r="M116" i="17"/>
  <c r="M111" i="17"/>
  <c r="M115" i="17"/>
  <c r="M114" i="17"/>
  <c r="L130" i="17"/>
  <c r="M136" i="17"/>
  <c r="M143" i="17"/>
  <c r="M135" i="17"/>
  <c r="M134" i="17"/>
  <c r="M133" i="17"/>
  <c r="M132" i="17"/>
  <c r="M131" i="17"/>
  <c r="M142" i="17"/>
  <c r="M141" i="17"/>
  <c r="M140" i="17"/>
  <c r="M139" i="17"/>
  <c r="M138" i="17"/>
  <c r="M137" i="17"/>
  <c r="H103" i="16"/>
  <c r="H104" i="16" s="1"/>
  <c r="H60" i="16"/>
  <c r="H61" i="16" s="1"/>
  <c r="H63" i="16" s="1"/>
  <c r="H93" i="16"/>
  <c r="H94" i="16" s="1"/>
  <c r="J70" i="16"/>
  <c r="J71" i="16" s="1"/>
  <c r="J73" i="16" s="1"/>
  <c r="H54" i="16"/>
  <c r="H53" i="16"/>
  <c r="J93" i="16"/>
  <c r="J94" i="16" s="1"/>
  <c r="J60" i="16"/>
  <c r="J61" i="16" s="1"/>
  <c r="J50" i="16"/>
  <c r="J51" i="16" s="1"/>
  <c r="J103" i="16"/>
  <c r="J104" i="16" s="1"/>
  <c r="H70" i="16"/>
  <c r="H71" i="16" s="1"/>
  <c r="H16" i="16"/>
  <c r="H17" i="16" s="1"/>
  <c r="H21" i="16" s="1"/>
  <c r="H29" i="16" s="1"/>
  <c r="H83" i="16"/>
  <c r="H84" i="16" s="1"/>
  <c r="J83" i="16"/>
  <c r="J84" i="16" s="1"/>
  <c r="I52" i="15"/>
  <c r="I53" i="15"/>
  <c r="I55" i="15"/>
  <c r="I56" i="15"/>
  <c r="I57" i="15"/>
  <c r="I58" i="15"/>
  <c r="I59" i="15"/>
  <c r="I60" i="15"/>
  <c r="I61" i="15"/>
  <c r="I62" i="15"/>
  <c r="I54" i="15"/>
  <c r="I63" i="15"/>
  <c r="G20" i="16"/>
  <c r="G21" i="16"/>
  <c r="G29" i="16" s="1"/>
  <c r="J21" i="16"/>
  <c r="J29" i="16" s="1"/>
  <c r="J20" i="16"/>
  <c r="G53" i="15"/>
  <c r="G56" i="15"/>
  <c r="G63" i="15"/>
  <c r="F52" i="15"/>
  <c r="G52" i="15" s="1"/>
  <c r="F54" i="15"/>
  <c r="G54" i="15" s="1"/>
  <c r="F57" i="15"/>
  <c r="G57" i="15" s="1"/>
  <c r="F59" i="15"/>
  <c r="G59" i="15" s="1"/>
  <c r="F61" i="15"/>
  <c r="G61" i="15" s="1"/>
  <c r="F55" i="15"/>
  <c r="G55" i="15" s="1"/>
  <c r="F58" i="15"/>
  <c r="G58" i="15" s="1"/>
  <c r="F62" i="15"/>
  <c r="G62" i="15" s="1"/>
  <c r="H51" i="15"/>
  <c r="J51" i="15" s="1"/>
  <c r="F51" i="15"/>
  <c r="G51" i="15" s="1"/>
  <c r="F53" i="15"/>
  <c r="F56" i="15"/>
  <c r="F60" i="15"/>
  <c r="G60" i="15" s="1"/>
  <c r="F63" i="15"/>
  <c r="H55" i="15"/>
  <c r="J55" i="15" s="1"/>
  <c r="H59" i="15"/>
  <c r="J59" i="15" s="1"/>
  <c r="H60" i="15"/>
  <c r="J60" i="15" s="1"/>
  <c r="H52" i="15"/>
  <c r="J52" i="15" s="1"/>
  <c r="H56" i="15"/>
  <c r="J56" i="15" s="1"/>
  <c r="H61" i="15"/>
  <c r="J61" i="15" s="1"/>
  <c r="H53" i="15"/>
  <c r="H57" i="15"/>
  <c r="H58" i="15"/>
  <c r="H62" i="15"/>
  <c r="H54" i="15"/>
  <c r="H63" i="15"/>
  <c r="J43" i="1"/>
  <c r="J44" i="1" s="1"/>
  <c r="H50" i="1"/>
  <c r="H51" i="1" s="1"/>
  <c r="J57" i="1"/>
  <c r="J58" i="1" s="1"/>
  <c r="H57" i="1"/>
  <c r="H58" i="1" s="1"/>
  <c r="J67" i="1"/>
  <c r="J68" i="1" s="1"/>
  <c r="I50" i="1"/>
  <c r="I51" i="1" s="1"/>
  <c r="J74" i="1"/>
  <c r="J75" i="1" s="1"/>
  <c r="I57" i="1"/>
  <c r="I58" i="1" s="1"/>
  <c r="J81" i="1"/>
  <c r="J82" i="1" s="1"/>
  <c r="H67" i="1"/>
  <c r="H68" i="1" s="1"/>
  <c r="I67" i="1"/>
  <c r="I68" i="1" s="1"/>
  <c r="I74" i="1"/>
  <c r="I75" i="1" s="1"/>
  <c r="I81" i="1"/>
  <c r="I82" i="1" s="1"/>
  <c r="J21" i="1"/>
  <c r="J20" i="1"/>
  <c r="J50" i="1"/>
  <c r="J51" i="1" s="1"/>
  <c r="J9" i="1"/>
  <c r="H74" i="1"/>
  <c r="H75" i="1" s="1"/>
  <c r="G57" i="1"/>
  <c r="G58" i="1" s="1"/>
  <c r="H81" i="1"/>
  <c r="H82" i="1" s="1"/>
  <c r="G43" i="1"/>
  <c r="G44" i="1" s="1"/>
  <c r="I43" i="1"/>
  <c r="I44" i="1" s="1"/>
  <c r="G50" i="1"/>
  <c r="G51" i="1" s="1"/>
  <c r="G67" i="1"/>
  <c r="G68" i="1" s="1"/>
  <c r="G74" i="1"/>
  <c r="G75" i="1" s="1"/>
  <c r="G81" i="1"/>
  <c r="G82" i="1" s="1"/>
  <c r="H43" i="1"/>
  <c r="H44" i="1" s="1"/>
  <c r="I16" i="1"/>
  <c r="I17" i="1" s="1"/>
  <c r="I21" i="1" s="1"/>
  <c r="I27" i="1" s="1"/>
  <c r="H16" i="1"/>
  <c r="H17" i="1" s="1"/>
  <c r="I21" i="16" l="1"/>
  <c r="I29" i="16" s="1"/>
  <c r="AS55" i="19"/>
  <c r="AS57" i="19"/>
  <c r="AP56" i="19"/>
  <c r="AS46" i="19"/>
  <c r="AP46" i="19"/>
  <c r="AS45" i="19"/>
  <c r="AP45" i="19"/>
  <c r="AP55" i="19"/>
  <c r="AP57" i="19"/>
  <c r="AS47" i="19"/>
  <c r="AP47" i="19"/>
  <c r="G103" i="16"/>
  <c r="G104" i="16" s="1"/>
  <c r="AM58" i="19" s="1"/>
  <c r="J74" i="16"/>
  <c r="I47" i="16"/>
  <c r="I49" i="16" s="1"/>
  <c r="I50" i="16" s="1"/>
  <c r="I51" i="16" s="1"/>
  <c r="I54" i="16" s="1"/>
  <c r="G47" i="16"/>
  <c r="G49" i="16" s="1"/>
  <c r="G50" i="16" s="1"/>
  <c r="G51" i="16" s="1"/>
  <c r="G54" i="16" s="1"/>
  <c r="I80" i="16"/>
  <c r="I82" i="16" s="1"/>
  <c r="I83" i="16" s="1"/>
  <c r="I84" i="16" s="1"/>
  <c r="I87" i="16" s="1"/>
  <c r="G80" i="16"/>
  <c r="G82" i="16" s="1"/>
  <c r="AJ53" i="19" s="1"/>
  <c r="AM43" i="19" s="1"/>
  <c r="I90" i="16"/>
  <c r="I92" i="16" s="1"/>
  <c r="I93" i="16" s="1"/>
  <c r="I94" i="16" s="1"/>
  <c r="I97" i="16" s="1"/>
  <c r="G57" i="16"/>
  <c r="G59" i="16" s="1"/>
  <c r="G60" i="16" s="1"/>
  <c r="G61" i="16" s="1"/>
  <c r="G64" i="16" s="1"/>
  <c r="G90" i="16"/>
  <c r="G92" i="16" s="1"/>
  <c r="AJ54" i="19" s="1"/>
  <c r="AM44" i="19" s="1"/>
  <c r="I57" i="16"/>
  <c r="I59" i="16" s="1"/>
  <c r="I60" i="16" s="1"/>
  <c r="I61" i="16" s="1"/>
  <c r="I63" i="16" s="1"/>
  <c r="H64" i="16"/>
  <c r="J107" i="16"/>
  <c r="J106" i="16"/>
  <c r="J97" i="16"/>
  <c r="J96" i="16"/>
  <c r="H96" i="16"/>
  <c r="H97" i="16"/>
  <c r="I107" i="16"/>
  <c r="I106" i="16"/>
  <c r="G107" i="16"/>
  <c r="H107" i="16"/>
  <c r="H106" i="16"/>
  <c r="J87" i="16"/>
  <c r="J86" i="16"/>
  <c r="H86" i="16"/>
  <c r="H87" i="16"/>
  <c r="I74" i="16"/>
  <c r="I73" i="16"/>
  <c r="H74" i="16"/>
  <c r="H73" i="16"/>
  <c r="G74" i="16"/>
  <c r="G73" i="16"/>
  <c r="J64" i="16"/>
  <c r="J63" i="16"/>
  <c r="J54" i="16"/>
  <c r="J53" i="16"/>
  <c r="H20" i="16"/>
  <c r="H23" i="16" s="1"/>
  <c r="I52" i="1"/>
  <c r="J54" i="15"/>
  <c r="J58" i="15"/>
  <c r="J63" i="15"/>
  <c r="J62" i="15"/>
  <c r="J57" i="15"/>
  <c r="J53" i="15"/>
  <c r="J22" i="16"/>
  <c r="J27" i="16"/>
  <c r="J23" i="16"/>
  <c r="I22" i="16"/>
  <c r="I27" i="16"/>
  <c r="I23" i="16"/>
  <c r="H27" i="16"/>
  <c r="H22" i="16"/>
  <c r="G22" i="16"/>
  <c r="G27" i="16"/>
  <c r="G23" i="16"/>
  <c r="J23" i="1"/>
  <c r="I76" i="1"/>
  <c r="I83" i="1"/>
  <c r="I69" i="1"/>
  <c r="J25" i="1"/>
  <c r="J22" i="1"/>
  <c r="J27" i="1"/>
  <c r="I59" i="1"/>
  <c r="I22" i="1"/>
  <c r="I45" i="1"/>
  <c r="I25" i="1"/>
  <c r="I20" i="1"/>
  <c r="I23" i="1" s="1"/>
  <c r="H21" i="1"/>
  <c r="H27" i="1" s="1"/>
  <c r="H20" i="1"/>
  <c r="G106" i="16" l="1"/>
  <c r="AS48" i="19"/>
  <c r="AP48" i="19"/>
  <c r="G93" i="16"/>
  <c r="G94" i="16" s="1"/>
  <c r="AM54" i="19" s="1"/>
  <c r="G83" i="16"/>
  <c r="G84" i="16" s="1"/>
  <c r="AM53" i="19" s="1"/>
  <c r="I53" i="16"/>
  <c r="G63" i="16"/>
  <c r="I64" i="16"/>
  <c r="G53" i="16"/>
  <c r="I86" i="16"/>
  <c r="I96" i="16"/>
  <c r="G52" i="16"/>
  <c r="G62" i="16"/>
  <c r="G72" i="16"/>
  <c r="G105" i="16"/>
  <c r="G85" i="16"/>
  <c r="H85" i="16"/>
  <c r="H52" i="16"/>
  <c r="H72" i="16"/>
  <c r="H62" i="16"/>
  <c r="H95" i="16"/>
  <c r="H105" i="16"/>
  <c r="I72" i="16"/>
  <c r="I85" i="16"/>
  <c r="I62" i="16"/>
  <c r="I105" i="16"/>
  <c r="I52" i="16"/>
  <c r="I95" i="16"/>
  <c r="J52" i="16"/>
  <c r="J72" i="16"/>
  <c r="J85" i="16"/>
  <c r="J62" i="16"/>
  <c r="J95" i="16"/>
  <c r="J105" i="16"/>
  <c r="H23" i="1"/>
  <c r="J59" i="1"/>
  <c r="J69" i="1"/>
  <c r="J45" i="1"/>
  <c r="J76" i="1"/>
  <c r="J83" i="1"/>
  <c r="J52" i="1"/>
  <c r="H52" i="1"/>
  <c r="H59" i="1"/>
  <c r="H69" i="1"/>
  <c r="H83" i="1"/>
  <c r="H76" i="1"/>
  <c r="H22" i="1"/>
  <c r="H45" i="1"/>
  <c r="H25" i="1"/>
  <c r="G6" i="1"/>
  <c r="G12" i="1"/>
  <c r="G13" i="1"/>
  <c r="G14" i="1" s="1"/>
  <c r="G33" i="1"/>
  <c r="G19" i="1"/>
  <c r="G8" i="1"/>
  <c r="G9" i="1" s="1"/>
  <c r="G15" i="1"/>
  <c r="G95" i="16" l="1"/>
  <c r="AS43" i="19"/>
  <c r="AP43" i="19"/>
  <c r="AP44" i="19"/>
  <c r="AS44" i="19"/>
  <c r="AS54" i="19"/>
  <c r="AP54" i="19"/>
  <c r="AS53" i="19"/>
  <c r="AP53" i="19"/>
  <c r="AP58" i="19"/>
  <c r="AS58" i="19"/>
  <c r="G87" i="16"/>
  <c r="G86" i="16"/>
  <c r="G96" i="16"/>
  <c r="G97" i="16"/>
  <c r="G16" i="1"/>
  <c r="G17" i="1" s="1"/>
  <c r="G21" i="1" l="1"/>
  <c r="G20" i="1"/>
  <c r="G23" i="1" l="1"/>
  <c r="G22" i="1"/>
  <c r="G27" i="1"/>
  <c r="G25" i="1"/>
  <c r="G59" i="1" l="1"/>
  <c r="G45" i="1"/>
  <c r="G83" i="1"/>
  <c r="G76" i="1"/>
  <c r="G69" i="1"/>
  <c r="G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B298ECB1-8960-9A4D-8183-887471F949D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4" authorId="0" shapeId="0" xr:uid="{16743F62-C6C5-6443-9694-41A87E8273C8}">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8" authorId="0" shapeId="0" xr:uid="{8B693BA1-93C6-3E41-A5C5-CF1F02304C43}">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8" authorId="0" shapeId="0" xr:uid="{389FC856-0B53-7E42-8057-35738B51BD79}">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48" authorId="0" shapeId="0" xr:uid="{E5043428-D5A2-ED4E-AE6C-3557D575021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8" authorId="0" shapeId="0" xr:uid="{25613824-9549-404A-AEA0-A34323C76842}">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58" authorId="0" shapeId="0" xr:uid="{90312B91-03B7-3C4D-8CC8-7EBA9C5C46B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58" authorId="0" shapeId="0" xr:uid="{96A1F8F7-75D4-6E42-AEF6-CDDA9FA6F142}">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58" authorId="0" shapeId="0" xr:uid="{FC742179-E8EB-DF46-B823-D00372A3AA55}">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58" authorId="0" shapeId="0" xr:uid="{743F2A8E-D4E3-3644-984D-989C14ACE223}">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68" authorId="0" shapeId="0" xr:uid="{C5CB71C0-F7BB-9244-AE81-E331D978D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68" authorId="0" shapeId="0" xr:uid="{C94A0AAD-6A4B-8E46-82F9-4A776B8500F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68" authorId="0" shapeId="0" xr:uid="{07FA6B0F-C54E-5646-8FE8-2C10468245C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68" authorId="0" shapeId="0" xr:uid="{1E79EA93-14E0-B04C-A055-D78ED923C5A8}">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81" authorId="0" shapeId="0" xr:uid="{71F67876-4BF6-B74C-B26A-D8CAA12F0C7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81" authorId="0" shapeId="0" xr:uid="{4D6B1231-8CC0-D04A-B5AD-19FA4DA52AA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81" authorId="0" shapeId="0" xr:uid="{9DEF9132-BAF9-EB48-97E0-AEDD75448B0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81" authorId="0" shapeId="0" xr:uid="{03F7C2E3-9A1D-C249-B6CD-319904017587}">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91" authorId="0" shapeId="0" xr:uid="{3BD17A23-83C4-604A-AD23-1AA339A3D72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91" authorId="0" shapeId="0" xr:uid="{28047719-6EC6-1649-9D9F-E1C477BFD5C4}">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91" authorId="0" shapeId="0" xr:uid="{C9FF1048-F445-8345-A48F-26C90488913A}">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91" authorId="0" shapeId="0" xr:uid="{C2C3FA2E-6CBA-184E-B7B2-FE9B44C0C75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101" authorId="0" shapeId="0" xr:uid="{143D5E85-2867-9142-85ED-6738BEE06115}">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101" authorId="0" shapeId="0" xr:uid="{8F34C43E-56F7-7741-9B61-E34D065CD3D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101" authorId="0" shapeId="0" xr:uid="{CD6E378D-5C31-C545-A6BA-7DE0BEE69313}">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101" authorId="0" shapeId="0" xr:uid="{759259CF-9674-2B4D-ADAE-1BBF2503E222}">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E16" authorId="0" shapeId="0" xr:uid="{25A23DB9-E441-2B48-ABD9-94C8E8E6F68C}">
      <text>
        <r>
          <rPr>
            <b/>
            <sz val="10"/>
            <color rgb="FF000000"/>
            <rFont val="Tahoma"/>
            <family val="2"/>
          </rPr>
          <t>Birmingham, Amanda:</t>
        </r>
        <r>
          <rPr>
            <sz val="10"/>
            <color rgb="FF000000"/>
            <rFont val="Tahoma"/>
            <family val="2"/>
          </rPr>
          <t xml:space="preserve">
</t>
        </r>
        <r>
          <rPr>
            <sz val="10"/>
            <color rgb="FF000000"/>
            <rFont val="Tahoma"/>
            <family val="2"/>
          </rPr>
          <t xml:space="preserve">This is (only) the portion of the syndna pool mass that can actually contribute to the read counts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E16" authorId="0" shapeId="0" xr:uid="{BBFF4746-A725-7F41-8854-A4F0971FA4CE}">
      <text>
        <r>
          <rPr>
            <b/>
            <sz val="10"/>
            <color rgb="FF000000"/>
            <rFont val="Tahoma"/>
            <family val="2"/>
          </rPr>
          <t>Birmingham, Amanda:</t>
        </r>
        <r>
          <rPr>
            <sz val="10"/>
            <color rgb="FF000000"/>
            <rFont val="Tahoma"/>
            <family val="2"/>
          </rPr>
          <t xml:space="preserve">
</t>
        </r>
        <r>
          <rPr>
            <sz val="10"/>
            <color rgb="FF000000"/>
            <rFont val="Calibri"/>
            <family val="2"/>
            <scheme val="minor"/>
          </rPr>
          <t>This is (only) the portion of the syndna pool mass that can actually contribute to the read counts</t>
        </r>
        <r>
          <rPr>
            <sz val="10"/>
            <color rgb="FF000000"/>
            <rFont val="Calibri"/>
            <family val="2"/>
            <scheme val="minor"/>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Birmingham, Amanda</author>
  </authors>
  <commentList>
    <comment ref="I19" authorId="0" shapeId="0" xr:uid="{50F599BF-0111-5548-891C-069FC61D6F2F}">
      <text>
        <r>
          <rPr>
            <b/>
            <sz val="10"/>
            <color rgb="FF000000"/>
            <rFont val="Tahoma"/>
            <family val="2"/>
          </rPr>
          <t>Birmingham, Amanda:</t>
        </r>
        <r>
          <rPr>
            <sz val="10"/>
            <color rgb="FF000000"/>
            <rFont val="Tahoma"/>
            <family val="2"/>
          </rPr>
          <t xml:space="preserve">
</t>
        </r>
        <r>
          <rPr>
            <sz val="10"/>
            <color rgb="FF000000"/>
            <rFont val="Tahoma"/>
            <family val="2"/>
          </rPr>
          <t>should this also be 70 if vol_elute_ul is 70?  I don't know if these move in lockstep.</t>
        </r>
      </text>
    </comment>
    <comment ref="E30" authorId="0" shapeId="0" xr:uid="{DB9104BA-2C26-9A40-A56A-F44128EB7A89}">
      <text>
        <r>
          <rPr>
            <b/>
            <sz val="10"/>
            <color rgb="FF000000"/>
            <rFont val="Tahoma"/>
            <family val="2"/>
          </rPr>
          <t>Birmingham, Amanda:</t>
        </r>
        <r>
          <rPr>
            <sz val="10"/>
            <color rgb="FF000000"/>
            <rFont val="Tahoma"/>
            <family val="2"/>
          </rPr>
          <t xml:space="preserve">
</t>
        </r>
        <r>
          <rPr>
            <sz val="10"/>
            <color rgb="FF000000"/>
            <rFont val="Tahoma"/>
            <family val="2"/>
          </rPr>
          <t>Hmm, this actually*isn't* a fixed known, is it?  bc sometimes a sample doesn't have enough gdna ... if its concentration is &lt; 5ng-per-3.4 ul (i.e., 1.47 ng/ul), then you can't get 5 ng of it in the 3.4 ul that you are allowed to move into the normalized plate ...</t>
        </r>
      </text>
    </comment>
    <comment ref="G41" authorId="0" shapeId="0" xr:uid="{AA475370-3B78-D741-A72C-689482C719D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41" authorId="0" shapeId="0" xr:uid="{A3419703-6246-A14D-9FC6-A4BC4A33CFE6}">
      <text>
        <r>
          <rPr>
            <b/>
            <sz val="10"/>
            <color rgb="FF000000"/>
            <rFont val="Tahoma"/>
            <family val="2"/>
          </rPr>
          <t>Birmingham, Amanda:</t>
        </r>
        <r>
          <rPr>
            <sz val="10"/>
            <color rgb="FF000000"/>
            <rFont val="Tahoma"/>
            <family val="2"/>
          </rPr>
          <t xml:space="preserve">
</t>
        </r>
        <r>
          <rPr>
            <sz val="10"/>
            <color rgb="FF000000"/>
            <rFont val="Calibri"/>
            <family val="2"/>
          </rPr>
          <t>Lactobacillus gasseri</t>
        </r>
      </text>
    </comment>
    <comment ref="I41" authorId="0" shapeId="0" xr:uid="{7F9AE615-13EF-8D40-9662-2AD544054A9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41" authorId="0" shapeId="0" xr:uid="{96C49864-C4AE-4341-8004-501231293EDD}">
      <text>
        <r>
          <rPr>
            <b/>
            <sz val="10"/>
            <color rgb="FF000000"/>
            <rFont val="Tahoma"/>
            <family val="2"/>
          </rPr>
          <t>Birmingham, Amanda:</t>
        </r>
        <r>
          <rPr>
            <sz val="10"/>
            <color rgb="FF000000"/>
            <rFont val="Tahoma"/>
            <family val="2"/>
          </rPr>
          <t xml:space="preserve">
</t>
        </r>
        <r>
          <rPr>
            <sz val="10"/>
            <color rgb="FF000000"/>
            <rFont val="Tahoma"/>
            <family val="2"/>
          </rPr>
          <t xml:space="preserve">Lactobacillus gasseri
</t>
        </r>
        <r>
          <rPr>
            <sz val="10"/>
            <color rgb="FF000000"/>
            <rFont val="Calibri"/>
            <family val="2"/>
          </rPr>
          <t xml:space="preserve">
</t>
        </r>
      </text>
    </comment>
    <comment ref="G42" authorId="0" shapeId="0" xr:uid="{874008C1-BCB6-F14F-BE70-53339D4C231E}">
      <text>
        <r>
          <rPr>
            <b/>
            <sz val="10"/>
            <color rgb="FF000000"/>
            <rFont val="Tahoma"/>
            <family val="2"/>
          </rPr>
          <t>Birmingham, Amanda:</t>
        </r>
        <r>
          <rPr>
            <sz val="10"/>
            <color rgb="FF000000"/>
            <rFont val="Tahoma"/>
            <family val="2"/>
          </rPr>
          <t xml:space="preserve">
</t>
        </r>
        <r>
          <rPr>
            <sz val="10"/>
            <color rgb="FF000000"/>
            <rFont val="Tahoma"/>
            <family val="2"/>
          </rPr>
          <t>Livia gets 263469.8016</t>
        </r>
      </text>
    </comment>
    <comment ref="I42" authorId="0" shapeId="0" xr:uid="{A7E8CE4F-7E3C-E249-BE1D-3FA34F7BACE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263469.8016
</t>
        </r>
        <r>
          <rPr>
            <sz val="10"/>
            <color rgb="FF000000"/>
            <rFont val="Calibri"/>
            <family val="2"/>
          </rPr>
          <t xml:space="preserve">
</t>
        </r>
      </text>
    </comment>
    <comment ref="G48" authorId="0" shapeId="0" xr:uid="{2090EE33-8BCF-0E41-914E-7D6637A9B4BD}">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48" authorId="0" shapeId="0" xr:uid="{EDB8955D-843A-3244-8439-0DEB2EF67B90}">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48" authorId="0" shapeId="0" xr:uid="{0B1483C4-DDB6-9546-99BD-CCCF992FADFF}">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48" authorId="0" shapeId="0" xr:uid="{B976D1D4-318B-4D41-8AA7-20F9B49B6726}">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49" authorId="0" shapeId="0" xr:uid="{C5069586-B034-EE43-863C-BB8398D91B16}">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I49" authorId="0" shapeId="0" xr:uid="{81F3CFC6-0610-BF46-863D-BF0BDFEFECD5}">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138550.8742
</t>
        </r>
      </text>
    </comment>
    <comment ref="G55" authorId="0" shapeId="0" xr:uid="{D8D6993D-BBE7-E146-8A5F-5F2BEADA073F}">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H55" authorId="0" shapeId="0" xr:uid="{885C51D8-90E1-6649-A5DF-7F623805A48D}">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55" authorId="0" shapeId="0" xr:uid="{74D2C221-B1EC-AF4E-9A70-ACEB831797F6}">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J55" authorId="0" shapeId="0" xr:uid="{3EECE223-BE27-504A-9588-71FC037B41A4}">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G56" authorId="0" shapeId="0" xr:uid="{DB7BA20E-9B5A-F94B-90BE-EBFFDF82A8D7}">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I56" authorId="0" shapeId="0" xr:uid="{38DC108E-B429-F94F-A3CF-3AE646334659}">
      <text>
        <r>
          <rPr>
            <b/>
            <sz val="10"/>
            <color rgb="FF000000"/>
            <rFont val="Tahoma"/>
            <family val="2"/>
          </rPr>
          <t>Birmingham, Amanda:</t>
        </r>
        <r>
          <rPr>
            <sz val="10"/>
            <color rgb="FF000000"/>
            <rFont val="Tahoma"/>
            <family val="2"/>
          </rPr>
          <t xml:space="preserve">
</t>
        </r>
        <r>
          <rPr>
            <sz val="10"/>
            <color rgb="FF000000"/>
            <rFont val="Tahoma"/>
            <family val="2"/>
          </rPr>
          <t xml:space="preserve">Livia gets </t>
        </r>
        <r>
          <rPr>
            <sz val="10"/>
            <color rgb="FF000000"/>
            <rFont val="Calibri"/>
            <family val="2"/>
          </rPr>
          <t xml:space="preserve">56114.06446
</t>
        </r>
        <r>
          <rPr>
            <sz val="10"/>
            <color rgb="FF000000"/>
            <rFont val="Calibri"/>
            <family val="2"/>
          </rPr>
          <t xml:space="preserve">
</t>
        </r>
      </text>
    </comment>
    <comment ref="G65" authorId="0" shapeId="0" xr:uid="{045B5BF2-F59F-F543-BFA8-38CF034123C1}">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H65" authorId="0" shapeId="0" xr:uid="{9F182E9C-2DC4-934D-8D3D-922B1D1FF6CF}">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I65" authorId="0" shapeId="0" xr:uid="{FB6FFE58-8E82-C946-A91E-9A63C5F51AB8}">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J65" authorId="0" shapeId="0" xr:uid="{04867C78-F0B1-B846-93E5-CA4DB4591C15}">
      <text>
        <r>
          <rPr>
            <b/>
            <sz val="10"/>
            <color rgb="FF000000"/>
            <rFont val="Tahoma"/>
            <family val="2"/>
          </rPr>
          <t>Birmingham, Amanda:</t>
        </r>
        <r>
          <rPr>
            <sz val="10"/>
            <color rgb="FF000000"/>
            <rFont val="Tahoma"/>
            <family val="2"/>
          </rPr>
          <t xml:space="preserve">
</t>
        </r>
        <r>
          <rPr>
            <sz val="10"/>
            <color rgb="FF000000"/>
            <rFont val="Calibri"/>
            <family val="2"/>
          </rPr>
          <t xml:space="preserve">Lactobacillus gasseri
</t>
        </r>
      </text>
    </comment>
    <comment ref="G72" authorId="0" shapeId="0" xr:uid="{D63204C2-3236-6D4B-939B-31CFBD1DC2C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H72" authorId="0" shapeId="0" xr:uid="{55235FD0-FC6E-044E-8BAE-EBE2697353C7}">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I72" authorId="0" shapeId="0" xr:uid="{99B111DB-056A-864E-B4F5-0685149067A8}">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J72" authorId="0" shapeId="0" xr:uid="{96746696-0CC3-F749-9404-DF71B1E57929}">
      <text>
        <r>
          <rPr>
            <b/>
            <sz val="10"/>
            <color rgb="FF000000"/>
            <rFont val="Tahoma"/>
            <family val="2"/>
          </rPr>
          <t>Birmingham, Amanda:</t>
        </r>
        <r>
          <rPr>
            <sz val="10"/>
            <color rgb="FF000000"/>
            <rFont val="Tahoma"/>
            <family val="2"/>
          </rPr>
          <t xml:space="preserve">
</t>
        </r>
        <r>
          <rPr>
            <sz val="10"/>
            <color rgb="FF000000"/>
            <rFont val="Calibri"/>
            <family val="2"/>
          </rPr>
          <t xml:space="preserve">Ruminococcus albus
</t>
        </r>
      </text>
    </comment>
    <comment ref="G79" authorId="0" shapeId="0" xr:uid="{C7A36AE2-6DE4-9B46-A9AD-91CD5AB13F36}">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H79" authorId="0" shapeId="0" xr:uid="{0DF16FD0-6E38-BB47-9CD3-683F56A471E1}">
      <text>
        <r>
          <rPr>
            <b/>
            <sz val="10"/>
            <color rgb="FF000000"/>
            <rFont val="Tahoma"/>
            <family val="2"/>
          </rPr>
          <t>Birmingham, Amanda:</t>
        </r>
        <r>
          <rPr>
            <sz val="10"/>
            <color rgb="FF000000"/>
            <rFont val="Tahoma"/>
            <family val="2"/>
          </rPr>
          <t xml:space="preserve">
</t>
        </r>
        <r>
          <rPr>
            <sz val="10"/>
            <color rgb="FF000000"/>
            <rFont val="Calibri"/>
            <family val="2"/>
          </rPr>
          <t xml:space="preserve">Leptolyngbya valderiana
</t>
        </r>
      </text>
    </comment>
    <comment ref="I79" authorId="0" shapeId="0" xr:uid="{E0CC71BB-7DF3-2846-B2B4-5D02F979881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 ref="J79" authorId="0" shapeId="0" xr:uid="{74691669-EBAD-6641-81AE-5D184F3E0B82}">
      <text>
        <r>
          <rPr>
            <b/>
            <sz val="10"/>
            <color rgb="FF000000"/>
            <rFont val="Tahoma"/>
            <family val="2"/>
          </rPr>
          <t>Birmingham, Amanda:</t>
        </r>
        <r>
          <rPr>
            <sz val="10"/>
            <color rgb="FF000000"/>
            <rFont val="Tahoma"/>
            <family val="2"/>
          </rPr>
          <t xml:space="preserve">
</t>
        </r>
        <r>
          <rPr>
            <sz val="10"/>
            <color rgb="FF000000"/>
            <rFont val="Calibri"/>
            <family val="2"/>
            <scheme val="minor"/>
          </rPr>
          <t xml:space="preserve">Leptolyngbya valderiana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<sst xmlns="http://schemas.openxmlformats.org/spreadsheetml/2006/main" count="1657" uniqueCount="320">
  <si>
    <t>variable name</t>
  </si>
  <si>
    <t>variable type</t>
  </si>
  <si>
    <t>is_real_value</t>
  </si>
  <si>
    <t>stage number</t>
  </si>
  <si>
    <t>stage description</t>
  </si>
  <si>
    <t xml:space="preserve">before sample collection </t>
  </si>
  <si>
    <t>mass_storage_tube_only_g</t>
  </si>
  <si>
    <t>variable_units</t>
  </si>
  <si>
    <t>known</t>
  </si>
  <si>
    <t>g</t>
  </si>
  <si>
    <t>mass_storage_tube_and_storage_liquid_before_sample_g</t>
  </si>
  <si>
    <t>density_storage_liquid_g_ml</t>
  </si>
  <si>
    <t>g/ml</t>
  </si>
  <si>
    <t>calculated</t>
  </si>
  <si>
    <t>after sample collection</t>
  </si>
  <si>
    <t>mass_storage_tube_and_storage_liquid_after_sample_g</t>
  </si>
  <si>
    <t>note</t>
  </si>
  <si>
    <t>definition says this includes sample weight</t>
  </si>
  <si>
    <t>measured</t>
  </si>
  <si>
    <t>density_sample_g_ml</t>
  </si>
  <si>
    <t>i.e. density of poop, from Brown et al 1996</t>
  </si>
  <si>
    <t>calc_vol_storage_liquid_only_ml</t>
  </si>
  <si>
    <t>ml</t>
  </si>
  <si>
    <t>formula description</t>
  </si>
  <si>
    <t>calc_vol_sample_in_storage_tube_ml</t>
  </si>
  <si>
    <t>definition says this is the volume of the sample only</t>
  </si>
  <si>
    <t>mass of sample only/density of sample = (mass_storage_tube_and_storage_liquid_after_sample_g - mass_storage_tube_and_storage_liquid_before_sample_g)/density_sample_g_ml</t>
  </si>
  <si>
    <t>calc_vol_homogenate_in_storage_tube_ml</t>
  </si>
  <si>
    <t>after homogenization</t>
  </si>
  <si>
    <t>calc_vol_storage_liquid_only_ml + calc_vol_sample_in_storage_tube_ml</t>
  </si>
  <si>
    <t>calc_density_homogenate_g_ml</t>
  </si>
  <si>
    <t>mass of homogenate/ volume of homogenate = (mass_storage_tube_and_storage_liquid_after_sample_g - mass_storage_tube_only_g)/calc_vol_homogenate_in_storage_tube_ml</t>
  </si>
  <si>
    <t>after aliquotting</t>
  </si>
  <si>
    <t>vol_homogenate_aliquot_input_ml</t>
  </si>
  <si>
    <t>vol_homogenate_aliquot_input_ul</t>
  </si>
  <si>
    <t>ul</t>
  </si>
  <si>
    <t>calc_mass_sample_aliquot_input_g</t>
  </si>
  <si>
    <t>[(vol_homogenate_aliquot_input_ml*density_sample_g_ml*density_storage_liquid_g_ml) - (vol_homogenate_aliquot_input_ml*density_sample_g_ml*calc_density_homogenate_g_ml)]/(density_storage_liquid_g_ml-density_sample_g_ml)</t>
  </si>
  <si>
    <t>mass of storage liquid/density of storage liquid = (mass_storage_tube_and_storage_liquid_before_sample_g - mass_storage_tube_only_g)/density_storage_liquid_g_ml</t>
  </si>
  <si>
    <t>vol_elute_ul</t>
  </si>
  <si>
    <t>after extraction into 96-well plate</t>
  </si>
  <si>
    <t>after quantitation</t>
  </si>
  <si>
    <t>ng/ul</t>
  </si>
  <si>
    <t>ASK MacKenzie: need a realistic value</t>
  </si>
  <si>
    <t>ng</t>
  </si>
  <si>
    <t>density_sample_in_elute_ng_ul</t>
  </si>
  <si>
    <t>NA</t>
  </si>
  <si>
    <t>calc_gdna_mass_to_sample_mass_ratio</t>
  </si>
  <si>
    <t>after input normalization</t>
  </si>
  <si>
    <t>density_syndna_pool_ng_ul</t>
  </si>
  <si>
    <t>NB: value is specific to pool 1</t>
  </si>
  <si>
    <t>after syndna addition</t>
  </si>
  <si>
    <t>vol_max_normalized_ul</t>
  </si>
  <si>
    <t>mass_target_normalized_gdna_ng</t>
  </si>
  <si>
    <t>calc_mass_normalized_gdna_ng</t>
  </si>
  <si>
    <t>calc_mass_syndna_pool_ng</t>
  </si>
  <si>
    <t>calc_mass_normalized_gdna_ng / 20</t>
  </si>
  <si>
    <t>syndna_pool_number</t>
  </si>
  <si>
    <t>density_gdna_at_quantitation_ng_ul</t>
  </si>
  <si>
    <t>needed for pysyndna calc</t>
  </si>
  <si>
    <t>calc_mass_sample_aliquot_input_mg</t>
  </si>
  <si>
    <t>calc_mass_sample_aliquot_input_g * 1000 ng/g</t>
  </si>
  <si>
    <t>calc_mass_storage_liquid_only_g</t>
  </si>
  <si>
    <t>calc_vol_storage_liquid_only_ml * density_storage_liquid_g_ml</t>
  </si>
  <si>
    <t>calc_mass_sample_in_storage_tube_g</t>
  </si>
  <si>
    <t>calc_mass_sample_in_storage_tube_g - mass_storage_tube_and_storage_liquid_before_sample_g</t>
  </si>
  <si>
    <t>calc_mass_sample_in_storage_tube_mg</t>
  </si>
  <si>
    <t>mg</t>
  </si>
  <si>
    <t>calc_mass_sample_in_storage_tube_g * 1000 mg/g</t>
  </si>
  <si>
    <t>calc_mass_homogenate_aliquot_input_g</t>
  </si>
  <si>
    <t>calc_density_homogenate_g_ml * vol_homogenate_aliquot_input_ml</t>
  </si>
  <si>
    <t>calc_mass_storage_liquid_aliquot_input_g</t>
  </si>
  <si>
    <t>calc_mass_homogenate_aliquot_input_g - calc_mass_sample_aliquot_input_g</t>
  </si>
  <si>
    <t>mass_storage_tube_and_storage_liquid_after_sample_mg</t>
  </si>
  <si>
    <t>mass_storage_tube_and_storage_liquid_after_sample_g * 1000 mg/g</t>
  </si>
  <si>
    <t>mass_storage_tube_and_storage_liquid_before_sample_mg</t>
  </si>
  <si>
    <t>mass_storage_tube_and_storage_liquid_before_sample_g * 1000 mg/g</t>
  </si>
  <si>
    <t>calculated??</t>
  </si>
  <si>
    <t>example1</t>
  </si>
  <si>
    <t>example2</t>
  </si>
  <si>
    <t>(calc_mass_sample_aliquot_input_g * 10^9 ng/g)/vol_elute_ul</t>
  </si>
  <si>
    <t>g of gdna/g of sample</t>
  </si>
  <si>
    <t>after sequencing</t>
  </si>
  <si>
    <t>ogu_gdna_mass_ng</t>
  </si>
  <si>
    <t>bp</t>
  </si>
  <si>
    <t>ogu_len_in_bp</t>
  </si>
  <si>
    <t>ogu_cells_in_sample</t>
  </si>
  <si>
    <t>cells/sample</t>
  </si>
  <si>
    <t>avogadros_num</t>
  </si>
  <si>
    <t>particles/mol</t>
  </si>
  <si>
    <t>note this is a truncated avogadro's number to match Livia's paper</t>
  </si>
  <si>
    <t>bp_g_per_mol</t>
  </si>
  <si>
    <t>Livia gets 263469.8016. this is a value for one specific OGU (Lactobacillus gasseri); there are of course others</t>
  </si>
  <si>
    <t>g/mol * bp</t>
  </si>
  <si>
    <t>(ogu_gdna_mass_ng * avogadros_num)/(ogu_len_in_bp * bp_g_per_mol * 10^9 ng/g)</t>
  </si>
  <si>
    <t>ogu_cells_per_ng_gdna</t>
  </si>
  <si>
    <t>cells/ng of gdna</t>
  </si>
  <si>
    <t>ogu_cells_in_sample/calc_mass_normalized_gdna_ng</t>
  </si>
  <si>
    <t>ogu_cells_per_g_gdna</t>
  </si>
  <si>
    <t>cells/g of gdna</t>
  </si>
  <si>
    <t>ogu_cells_per_ng_gdna * 10^9 ng/g</t>
  </si>
  <si>
    <t>ogu_cells_per_g_of_sample</t>
  </si>
  <si>
    <t>cells/g of sample material</t>
  </si>
  <si>
    <t>ogu_cells_per_g_gdna * calc_gdna_mass_to_sample_mass_ratio</t>
  </si>
  <si>
    <t>this is a value for one specific OGU</t>
  </si>
  <si>
    <t>mass_target_normalized_gdna_ng if density_gdna_at_quantitation_ng_ul(which is the density of gdna in the elute) &gt;= mass_target_normalized_gdna_ng/vol_max_normalized_ul else density_gdna_at_quantitation_ng_ul*vol_max_normalized_ul</t>
  </si>
  <si>
    <t>(density_gdna_at_quantitation_ng_ul * vol_elute_ul/ calc_mass_sample_aliquot_input_g) * (1/10^9 ng/g)</t>
  </si>
  <si>
    <t>p126</t>
  </si>
  <si>
    <t>A</t>
  </si>
  <si>
    <t>p136</t>
  </si>
  <si>
    <t>p146</t>
  </si>
  <si>
    <t>p156</t>
  </si>
  <si>
    <t>p226</t>
  </si>
  <si>
    <t>p236</t>
  </si>
  <si>
    <t>p246</t>
  </si>
  <si>
    <t>p256</t>
  </si>
  <si>
    <t>p266</t>
  </si>
  <si>
    <t>B</t>
  </si>
  <si>
    <t>syndna_id</t>
  </si>
  <si>
    <t>sample_name</t>
  </si>
  <si>
    <t>read_count</t>
  </si>
  <si>
    <t>raw_reads_r1r2</t>
  </si>
  <si>
    <t>mass_syndna_input_ng</t>
  </si>
  <si>
    <t>syndna_indiv_ng_ul</t>
  </si>
  <si>
    <t>syndna_fraction_of_pool</t>
  </si>
  <si>
    <t>syndna_ng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</si>
  <si>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</si>
  <si>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</si>
  <si>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</si>
  <si>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</si>
  <si>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</si>
  <si>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</si>
  <si>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</si>
  <si>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</si>
  <si>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</si>
  <si>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</si>
  <si>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</si>
  <si>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</si>
  <si>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</si>
  <si>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</si>
  <si>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</si>
  <si>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</si>
  <si>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</si>
  <si>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</si>
  <si>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</si>
  <si>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</si>
  <si>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</si>
  <si>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</si>
  <si>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</si>
  <si>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</si>
  <si>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CPM</t>
  </si>
  <si>
    <t>log10_CPM</t>
  </si>
  <si>
    <t>log10_syndna_ng</t>
  </si>
  <si>
    <t>p166</t>
  </si>
  <si>
    <t>Although not all the info below is actually per-sample (e.g. the various "known" values), the intention is that all these values be provided individually for *each* sample</t>
  </si>
  <si>
    <t>full data</t>
  </si>
  <si>
    <t>and "A1_pool2_S22_L001_R1_001.fastq_output_forward_paired.fq.sam.bam.f13_r1.fq_synDNA"</t>
  </si>
  <si>
    <t>The below read count values for A and B come from the "A1_pool1_S21_L001_R1_001.fastq_output_forward_paired.fq.sam.bam.f13_r1.fq_synDNA"</t>
  </si>
  <si>
    <t>columns, respectively, of https://github.com/lzaramela/SynDNA/blob/main/data/synDNA_Fwd_Rev_sam.biom.tsv ,</t>
  </si>
  <si>
    <t>while the syndna ids are inferred from the contents of the "OTUID" column pf that file and a knowledge of the Zaramela naming scheme.</t>
  </si>
  <si>
    <t>come from the "TotalReads" column of https://github.com/lzaramela/SynDNA/blob/main/data/synDNA_metadata_updated.tsv</t>
  </si>
  <si>
    <t xml:space="preserve">The raw_reads_r1r2 values for A and B </t>
  </si>
  <si>
    <t>The mass_syndna_input_ng values are plausible values for our experimental system.</t>
  </si>
  <si>
    <t>The syndna_indiv_ng_ul values come from the</t>
  </si>
  <si>
    <t>table in Fig. 1A of https://www.ncbi.nlm.nih.gov/pmc/articles/PMC9765022/ .</t>
  </si>
  <si>
    <t>The remaining values are calculated here, as shown in the spreadsheet formulas.</t>
  </si>
  <si>
    <t>X Variable 1</t>
  </si>
  <si>
    <t>sample A regression for full data</t>
  </si>
  <si>
    <t>sample B regression for full data</t>
  </si>
  <si>
    <t>A1_pool1_Fwd</t>
  </si>
  <si>
    <t>known from adding up concentrations of all the indiv syndnas in pool1</t>
  </si>
  <si>
    <t>data having syndnas with &lt;200 total reads across all samples removed</t>
  </si>
  <si>
    <t>sample A regression for data without syndnas having &lt;200 total reads across all samples removed</t>
  </si>
  <si>
    <t>sample B regression for data without syndnas having &lt;200 total reads across all samples removed</t>
  </si>
  <si>
    <t>for the record with "ID" of "A1_pool1_Fwd" and "C1_pool1_Fwd".  Note that this means that sample A is essentially identical to Zaramela's first sample,</t>
  </si>
  <si>
    <t>while sample B is a made-up chimera composed of reads for "A1_pool_Rev" but the total read count from "C1_pool1_Fwd".</t>
  </si>
  <si>
    <t xml:space="preserve">values from test_calc_counts.py TestCalcCellCounts.test__calc_long_format_ogu_cell_counts_df; values for example1 (which uses data from Zaramela's "A1_pool_Fwd" sample) match the values from the Zaramela </t>
  </si>
  <si>
    <t>example3 (same as example1 except for lower vol_elute_ul and higher density_gdna_at_quantitation_ng_ul)</t>
  </si>
  <si>
    <t>example4 (same as example 2 with 70 uL elute vol)</t>
  </si>
  <si>
    <t>SampleID</t>
  </si>
  <si>
    <t>AlignedReads</t>
  </si>
  <si>
    <t>Species</t>
  </si>
  <si>
    <t>RawCounts</t>
  </si>
  <si>
    <t>GenomeLenght</t>
  </si>
  <si>
    <t>TotalReads</t>
  </si>
  <si>
    <t>Cov</t>
  </si>
  <si>
    <t>Relab</t>
  </si>
  <si>
    <t>Norm</t>
  </si>
  <si>
    <t>reads2weigth</t>
  </si>
  <si>
    <t>CellNumber</t>
  </si>
  <si>
    <t>Predicted</t>
  </si>
  <si>
    <t>FC_cells_per_ul_r1</t>
  </si>
  <si>
    <t>CellFlow</t>
  </si>
  <si>
    <t>PercFlow</t>
  </si>
  <si>
    <t>Prevotella sp. oral taxon 299</t>
  </si>
  <si>
    <t>Lactobacillus gasseri</t>
  </si>
  <si>
    <t>Ruminococcus albus</t>
  </si>
  <si>
    <t>Escherichia coli</t>
  </si>
  <si>
    <t>Tyzzerella nexilis</t>
  </si>
  <si>
    <t>Streptococcus mitis</t>
  </si>
  <si>
    <t>Leptolyngbya valderiana</t>
  </si>
  <si>
    <t>Neisseria subflava</t>
  </si>
  <si>
    <t>Neisseria flavescens</t>
  </si>
  <si>
    <t>Fusobacterium periodonticum</t>
  </si>
  <si>
    <t>Streptococcus pneumoniae</t>
  </si>
  <si>
    <t>Haemophilus influenzae</t>
  </si>
  <si>
    <t>Veillonella dispar</t>
  </si>
  <si>
    <t>https://github.com/lzaramela/SynDNA/blob/main/SynDNA_saliva_samples_analysis.ipynb</t>
  </si>
  <si>
    <t>These values are taken from cell directly under the</t>
  </si>
  <si>
    <t>header "Applying the linear models to sequencing data" of the</t>
  </si>
  <si>
    <t>notebook by capturing the value of the dataframe when i=1, with an</t>
  </si>
  <si>
    <t>added column holding the "reads2weigth" [sic] values.</t>
  </si>
  <si>
    <t>Specific OTU being checked</t>
  </si>
  <si>
    <t># Note that these do not and *should* NOT be expected to match any results in Zaramela's linear models because sample A is directly comparable to Zaramela's sample "A1_pool1_Fwd" *but* we use a different pool mass than Zaramela, so the same syndna counts are based on different masses.</t>
  </si>
  <si>
    <t>See set of calcs above (done with truncated Avogadro's number) for row descriptions</t>
  </si>
  <si>
    <t># Note that the regressions on this page do not and *should* NOT be expected to match any results in Zaramela's linear models because sample A is directly comparable to Zaramela's sample "A1_pool1_Fwd" *but* we use a different pool mass than Zaramela, so the same syndna counts are based on different masses.</t>
  </si>
  <si>
    <t>The mass_syndna_input_ng values are what we infer were used in the Zaramela experiment based on the notebooks.</t>
  </si>
  <si>
    <t>Zaramela mass</t>
  </si>
  <si>
    <t>Results check (data linked from syndna_saliva_analysis_ex1 sheet EXCEPT for TotalReadsZaramela ... Zaramela used 3216923 as the TotalReads for the linear regression but used 472140 for the mass calculation):</t>
  </si>
  <si>
    <t>TotalReadsZaramela</t>
  </si>
  <si>
    <t>log10_read_count</t>
  </si>
  <si>
    <t>sample A regression of log10_syndna_ng from log10_CPM</t>
  </si>
  <si>
    <t>sample A regression of log10_syndna_ng from log10_raw_counts</t>
  </si>
  <si>
    <t>Local mass using CPM and TotalReadsZaramela</t>
  </si>
  <si>
    <t>Local mass using CPM and TotalReads</t>
  </si>
  <si>
    <t>Local mass using RawCounts (no TotalReads)</t>
  </si>
  <si>
    <t># This is the regression Zaramela did</t>
  </si>
  <si>
    <t># This is a different regression that Oriane did, based on only the raw counts, not the CPM</t>
  </si>
  <si>
    <t>Local mass using CPM+TotalReads = Local mass using RawCounts (only) within &lt;0.000001</t>
  </si>
  <si>
    <t>Zaramela=Local mass using CPM and TotalReadsZaramela within 0.000001</t>
  </si>
  <si>
    <t xml:space="preserve">The table above shows that: </t>
  </si>
  <si>
    <t>(A) we can recreate Zaramela mass results (see "Local mass using CPM and TotalReadsZaramela" and "Zaramela=Local mass using CPM and TotalReadsZaramela within 0.000001" columns</t>
  </si>
  <si>
    <t>(B) Zaramela mass results were off due to the use of different TotalReads values at the linear regression step and the mass calculation step (see "Local mass using CPM and TotalReads" column)</t>
  </si>
  <si>
    <t>(C) The correct masses can be recaptured using a linear regression done on log10(raw_counts) instead of on log10(CPM) (see "Local mass using RawCounts (no TotalReads)" and "Local mass using CPM+TotalReads = Local mass using RawCounts (only) within &lt;0.000001")</t>
  </si>
  <si>
    <t># Note that the log10_CPM-based regression on this page *should* match Zaramela's linear model because sample A is directly comparable to Zaramela's sample "A1_pool1_Fwd" and we use the pool mass they did (different from what we really use in the lab)</t>
  </si>
  <si>
    <t>log10_raw_count</t>
  </si>
  <si>
    <t># Note that these do not and *should* NOT be expected to match any results in Zaramela's linear models because sample A is directly comparable to Zaramela's sample "A1_pool1_Fwd" *but* we are fitting log10_raw_counts rather than log10_CPM, and we use a different pool mass than Zaramela</t>
  </si>
  <si>
    <t>sample B regression for full data on log10_read_count</t>
  </si>
  <si>
    <t>sample A regression for full data on log10_read_count</t>
  </si>
  <si>
    <t>sample A regression for data without syndnas having &lt;200 total reads across all samples removed, on log10_read_count</t>
  </si>
  <si>
    <t>sample B regression for data without syndnas having &lt;200 total reads across all samples removed, on log10_read_count</t>
  </si>
  <si>
    <t># Note that the regressions on this page do not and *should* NOT be expected to match any results in Zaramela's linear models because sample A is directly comparable to Zaramela's sample "A1_pool1_Fwd" *but* we fit to log10(read_count) instead of log10(CPM) and we use a different pool mass than Zaramela (so the same syndna counts are based on different masses).</t>
  </si>
  <si>
    <t>The below read count values for A come from the "A1_pool1_S21_L001_R1_001.fastq_output_forward_paired.fq.sam.bam.f13_r1.fq_synDNA"</t>
  </si>
  <si>
    <t>column of https://github.com/lzaramela/SynDNA/blob/main/data/synDNA_Fwd_Rev_sam.biom.tsv ,</t>
  </si>
  <si>
    <t>The raw_reads_r1r2 values</t>
  </si>
  <si>
    <t>for the record with "ID" of "A1_pool1_Fwd".  Note that this means that sample A is essentially identical to Zaramela's first sample.</t>
  </si>
  <si>
    <t>Mass results for sample A regression for full data on log10_read_count</t>
  </si>
  <si>
    <t>PredictedOguMass</t>
  </si>
  <si>
    <t>(RawCounts come from syndna_saliva_analysis_ex1 sheet)</t>
  </si>
  <si>
    <t>(RawCounts are slightly manually modified fromSample A, differing by 1 count L. gasseri, 26130 counts for N. subflava (bc Sample B has zero counts here), by a factor of 10 for F. periodonticum (bc Sample B has 10x the counts of Sample A), and by 12045 for H. influenzae, (bc Sample B has 100 counts here instead of 12145). All other positions are identical.)</t>
  </si>
  <si>
    <t>Mass results for sample B regression for full data on log10_read_count</t>
  </si>
  <si>
    <t>Mass results for sample A regression for data without syndnas having &lt;200 total reads across all samples removed, on log10_read_count</t>
  </si>
  <si>
    <t>Mass results for sample B regression for data without syndnas having &lt;200 total reads across all samples removed, on log10_read_count</t>
  </si>
  <si>
    <t>(RawCounts come from above in "Mass results for sample B regression for full data on log10_read_count" section; see comments there for explanation of source)</t>
  </si>
  <si>
    <t>See set of calcs above for row descriptions</t>
  </si>
  <si>
    <t>example1 (Sample A)</t>
  </si>
  <si>
    <t>example2 (Sample B)</t>
  </si>
  <si>
    <t>values from PredictedOguMass column on "linear regressions counts" sheet, in Mass results for sample A regression for full data on log10_read_count table for example1&amp;3, and in Mass results for sample B regression for full data on log10_read_count for example2&amp;4</t>
  </si>
  <si>
    <t>sample_volume_ul</t>
  </si>
  <si>
    <t>sample_surface_area_cm2</t>
  </si>
  <si>
    <t>cm2</t>
  </si>
  <si>
    <t>NB: different from the elute volume! This is the volume (of the sample) that goes *into* the extraction, not the volume (of the elute) that comes out.</t>
  </si>
  <si>
    <t>gdna_mass_to_sample_mass_ratio</t>
  </si>
  <si>
    <t>gdna_mass_to_sample_vol_ratio</t>
  </si>
  <si>
    <t>gdna_mass_to_sample_surface_area_ratio</t>
  </si>
  <si>
    <t>g of gdna/ul of sample</t>
  </si>
  <si>
    <t>g of gdna/cm2 of sample</t>
  </si>
  <si>
    <t>((density_gdna_at_quantitation_ng_ul * vol_elute_ul) * (1/10^9 ng/g))/ calc_mass_sample_aliquot_input_g</t>
  </si>
  <si>
    <t>((density_gdna_at_quantitation_ng_ul * vol_elute_ul) * (1/10^9 ng/g))/ sample_volume_ul</t>
  </si>
  <si>
    <t>((density_gdna_at_quantitation_ng_ul * vol_elute_ul) * (1/10^9 ng/g))/ sample_surface_area_cm2</t>
  </si>
  <si>
    <t>ogu_cells_per_ul_of_sample</t>
  </si>
  <si>
    <t>cells/ul of sample material</t>
  </si>
  <si>
    <t>ogu_cells_per_cm2_of_sample</t>
  </si>
  <si>
    <t>cells/cm2 of sample material</t>
  </si>
  <si>
    <t>ogu_cells_per_g_gdna * gdna_mass_to_sample_mass_ratio</t>
  </si>
  <si>
    <t>ogu_cells_per_g_gdna * gdna_mass_to_sample_vol_ratio</t>
  </si>
  <si>
    <t>ogu_cells_per_g_gdna * gdna_mass_to_sample_surface_area_ratio</t>
  </si>
  <si>
    <t>read_counts</t>
  </si>
  <si>
    <t>sampleA</t>
  </si>
  <si>
    <t>sampleA:</t>
  </si>
  <si>
    <t>slope: 1.24487652379132</t>
  </si>
  <si>
    <t>intercept: -7.35593916054843</t>
  </si>
  <si>
    <t>rvalue: 0.986503097515657</t>
  </si>
  <si>
    <t>pvalue: 1.42844356065977E-07</t>
  </si>
  <si>
    <t>stderr: 0.073657952553024</t>
  </si>
  <si>
    <t>intercept_stderr: 0.271274537363401</t>
  </si>
  <si>
    <t>OGU_ID</t>
  </si>
  <si>
    <t>G100014425</t>
  </si>
  <si>
    <t>*THESE ARE FAKE. t is not possible to match up all of these species with lineage values in the "lineages.txt" file from http://ftp.microbio.me/pub/wol2/taxonomy/ , and where it is, the lengths in the lengths.map file don't exactly match the lengths used in the Zaramela calcs (and thus in the test calcs).  I picked the closest OGU id I could find and replaced the leftmost zero with a 1 to indicate it is a dummy</t>
  </si>
  <si>
    <t>G100179635</t>
  </si>
  <si>
    <t>G100026325</t>
  </si>
  <si>
    <t>G100185145</t>
  </si>
  <si>
    <t>G100027165</t>
  </si>
  <si>
    <t>G101485215</t>
  </si>
  <si>
    <t>OGU_id</t>
  </si>
  <si>
    <t>G101488575</t>
  </si>
  <si>
    <t>&lt;- this one is made up, just to have something to throw out in illustration for having low overall OGU genome coverage</t>
  </si>
  <si>
    <t>coverage_percent</t>
  </si>
  <si>
    <t>These OGU coverage percentages are MADE UP (kinda have to be since the ogu ids are made up) ... just shows G101488575 as having &lt;1% coverage, for use in illustration</t>
  </si>
  <si>
    <t>gdna_ng</t>
  </si>
  <si>
    <t>length_in_bp</t>
  </si>
  <si>
    <t>&lt;-for Lactobacillus gasseri, from full_calcs on correct masses sheet, truncated to integer</t>
  </si>
  <si>
    <t>&lt;-for Ruminococcus albus, from full_calcs on correct masses sheet</t>
  </si>
  <si>
    <t>&lt;-for Leptolyngbya valderiana, from full_calcs on correct masses sheet</t>
  </si>
  <si>
    <t>made up value</t>
  </si>
  <si>
    <t>num_genomes</t>
  </si>
  <si>
    <t>num_genomes_per_g_gdna</t>
  </si>
  <si>
    <t>num_genomes_per_g_sample</t>
  </si>
  <si>
    <t>num_cells_per_g_sample</t>
  </si>
  <si>
    <t>*</t>
  </si>
  <si>
    <t>* below tables are same as above except that values with asterisk are taken directly from "full calcs on correct masses" worksheet rather than calculated on this sheet. Note the match to values calculated here.</t>
  </si>
  <si>
    <t>syndna_factor</t>
  </si>
  <si>
    <t>the factor by which the gdna mass is multiplied to get the amount of syndna pool added.  Note that the syndna amount is added *in addition* to the gdna amount, so if the gdna amount is 5 ng and the syndna factor is 1/20 (0.05) then the added syndna is 5 ng * 0.05 = 0.25 ng and the *total* amount of mass in the well after syndna addition is 5.25 ng</t>
  </si>
  <si>
    <t>syndna_contributing_fraction</t>
  </si>
  <si>
    <t>len(syndna insert) in bp/len(entire syndna plasmid including insert) in bp</t>
  </si>
  <si>
    <t>this represents the fraction of the syndna pool mass that can actually contribute to the reads used to fit the model (since only reads hitting the insert part of the plasmid are used). A shearing factor can additionally be included here for long plasmids if found necessary in the protocol.</t>
  </si>
  <si>
    <t>calc_contributing_mass_syndna_pool_ng</t>
  </si>
  <si>
    <t>calc_mass_normalized_gdna_ng * syndna_factor</t>
  </si>
  <si>
    <t>example3 (same as example1 except for lower vol_elute_ul, higher density_gdna_at_quantitation_ng_ul, higher syndna_factor, lower syndna_contributing_fraction)</t>
  </si>
  <si>
    <t>mass_syndna_pool_ng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</si>
</sst>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00000E+00"/>
    <numFmt numFmtId="166" formatCode="0.000E+00"/>
    <numFmt numFmtId="167" formatCode="0.0000000000E+00"/>
    <numFmt numFmtId="168" formatCode="0.000000000000000E+00"/>
    <numFmt numFmtId="169" formatCode="0.0"/>
    <numFmt numFmtId="170" formatCode="0.000000E+00"/>
  </numFmts>
  <fonts count="9" x14ac:knownFonts="1">
    <font>
      <sz val="12"/>
      <color theme="1"/>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u/>
      <sz val="12"/>
      <color theme="10"/>
      <name val="Calibri"/>
      <family val="2"/>
      <scheme val="minor"/>
    </font>
    <font>
      <i/>
      <sz val="12"/>
      <color theme="1"/>
      <name val="Calibri"/>
      <family val="2"/>
      <scheme val="minor"/>
    </font>
    <font>
      <sz val="10"/>
      <color theme="1"/>
      <name val="Courier New"/>
      <family val="3"/>
    </font>
  </fonts>
  <fills count="8">
    <fill>
      <patternFill patternType="none"/>
    </fill>
    <fill>
      <patternFill patternType="gray125"/>
    </fill>
    <fill>
      <patternFill patternType="solid">
        <fgColor theme="9" tint="0.59996337778862885"/>
        <bgColor indexed="64"/>
      </patternFill>
    </fill>
    <fill>
      <patternFill patternType="solid">
        <fgColor theme="2" tint="-0.24994659260841701"/>
        <bgColor indexed="64"/>
      </patternFill>
    </fill>
    <fill>
      <patternFill patternType="solid">
        <fgColor theme="8" tint="0.59996337778862885"/>
        <bgColor indexed="64"/>
      </patternFill>
    </fill>
    <fill>
      <patternFill patternType="solid">
        <fgColor theme="8" tint="-0.24994659260841701"/>
        <bgColor indexed="64"/>
      </patternFill>
    </fill>
    <fill>
      <patternFill patternType="solid">
        <fgColor rgb="FFBAD3AA"/>
        <bgColor indexed="64"/>
      </patternFill>
    </fill>
    <fill>
      <patternFill patternType="solid">
        <fgColor rgb="FFA2A5FF"/>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0" fillId="0" borderId="0" xfId="0" quotePrefix="1"/>
    <xf numFmtId="0" fontId="1" fillId="0" borderId="0" xfId="0" applyFont="1"/>
    <xf numFmtId="11" fontId="0" fillId="0" borderId="0" xfId="0" applyNumberFormat="1"/>
    <xf numFmtId="1" fontId="0" fillId="0" borderId="0" xfId="0" applyNumberFormat="1"/>
    <xf numFmtId="164" fontId="0" fillId="0" borderId="0" xfId="0" applyNumberForma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164" fontId="0" fillId="0" borderId="5" xfId="0" applyNumberFormat="1" applyBorder="1"/>
    <xf numFmtId="0" fontId="0" fillId="0" borderId="6" xfId="0" applyBorder="1"/>
    <xf numFmtId="0" fontId="0" fillId="0" borderId="7" xfId="0" applyBorder="1"/>
    <xf numFmtId="0" fontId="0" fillId="0" borderId="8" xfId="0" applyBorder="1"/>
    <xf numFmtId="0" fontId="0" fillId="2" borderId="0" xfId="0" applyFill="1"/>
    <xf numFmtId="0" fontId="1" fillId="3" borderId="1" xfId="0" applyFont="1" applyFill="1" applyBorder="1"/>
    <xf numFmtId="0" fontId="0" fillId="3" borderId="2" xfId="0" applyFill="1" applyBorder="1"/>
    <xf numFmtId="0" fontId="0" fillId="3" borderId="4" xfId="0" applyFill="1" applyBorder="1"/>
    <xf numFmtId="0" fontId="0" fillId="3" borderId="0" xfId="0" applyFill="1"/>
    <xf numFmtId="164" fontId="0" fillId="3" borderId="0" xfId="0" applyNumberFormat="1" applyFill="1"/>
    <xf numFmtId="0" fontId="0" fillId="3" borderId="6" xfId="0" applyFill="1" applyBorder="1"/>
    <xf numFmtId="0" fontId="0" fillId="3" borderId="7" xfId="0" applyFill="1" applyBorder="1"/>
    <xf numFmtId="0" fontId="1" fillId="3" borderId="0" xfId="0" applyFont="1" applyFill="1"/>
    <xf numFmtId="0" fontId="0" fillId="3" borderId="3" xfId="0" applyFill="1" applyBorder="1"/>
    <xf numFmtId="0" fontId="0" fillId="3" borderId="5" xfId="0" applyFill="1" applyBorder="1"/>
    <xf numFmtId="165" fontId="0" fillId="2" borderId="0" xfId="0" applyNumberFormat="1" applyFill="1"/>
    <xf numFmtId="168" fontId="0" fillId="0" borderId="0" xfId="0" applyNumberFormat="1"/>
    <xf numFmtId="168" fontId="0" fillId="0" borderId="5" xfId="0" applyNumberFormat="1" applyBorder="1"/>
    <xf numFmtId="167" fontId="0" fillId="0" borderId="0" xfId="0" applyNumberFormat="1"/>
    <xf numFmtId="0" fontId="0" fillId="0" borderId="9" xfId="0" applyBorder="1"/>
    <xf numFmtId="0" fontId="7" fillId="0" borderId="10" xfId="0" applyFont="1" applyBorder="1" applyAlignment="1">
      <alignment horizontal="center"/>
    </xf>
    <xf numFmtId="0" fontId="7" fillId="0" borderId="10" xfId="0" applyFont="1" applyBorder="1" applyAlignment="1">
      <alignment horizontal="centerContinuous"/>
    </xf>
    <xf numFmtId="168" fontId="0" fillId="3" borderId="0" xfId="0" applyNumberFormat="1" applyFill="1"/>
    <xf numFmtId="0" fontId="0" fillId="4" borderId="0" xfId="0" applyFill="1"/>
    <xf numFmtId="0" fontId="0" fillId="5" borderId="0" xfId="0" applyFill="1"/>
    <xf numFmtId="1" fontId="0" fillId="0" borderId="7" xfId="0" applyNumberFormat="1" applyBorder="1"/>
    <xf numFmtId="1" fontId="0" fillId="0" borderId="8" xfId="0" applyNumberFormat="1" applyBorder="1"/>
    <xf numFmtId="1" fontId="0" fillId="3" borderId="7" xfId="0" applyNumberFormat="1" applyFill="1" applyBorder="1"/>
    <xf numFmtId="1" fontId="0" fillId="3" borderId="0" xfId="0" applyNumberFormat="1" applyFill="1"/>
    <xf numFmtId="1" fontId="0" fillId="3" borderId="8" xfId="0" applyNumberFormat="1" applyFill="1" applyBorder="1"/>
    <xf numFmtId="168" fontId="0" fillId="3" borderId="5" xfId="0" applyNumberFormat="1" applyFill="1" applyBorder="1"/>
    <xf numFmtId="0" fontId="6" fillId="0" borderId="0" xfId="1"/>
    <xf numFmtId="166" fontId="0" fillId="6" borderId="0" xfId="0" applyNumberFormat="1" applyFill="1"/>
    <xf numFmtId="11" fontId="0" fillId="0" borderId="9" xfId="0" applyNumberFormat="1" applyBorder="1"/>
    <xf numFmtId="169" fontId="0" fillId="0" borderId="0" xfId="0" applyNumberFormat="1"/>
    <xf numFmtId="1" fontId="0" fillId="0" borderId="5" xfId="0" applyNumberFormat="1" applyBorder="1"/>
    <xf numFmtId="1" fontId="0" fillId="3" borderId="5" xfId="0" applyNumberFormat="1" applyFill="1" applyBorder="1"/>
    <xf numFmtId="0" fontId="0" fillId="0" borderId="11" xfId="0" applyBorder="1"/>
    <xf numFmtId="0" fontId="0" fillId="0" borderId="0" xfId="0" applyAlignment="1">
      <alignment horizontal="center"/>
    </xf>
    <xf numFmtId="0" fontId="8" fillId="0" borderId="0" xfId="0" applyFont="1"/>
    <xf numFmtId="1" fontId="0" fillId="0" borderId="11" xfId="0" applyNumberFormat="1" applyBorder="1"/>
    <xf numFmtId="170" fontId="0" fillId="0" borderId="11" xfId="0" applyNumberFormat="1" applyBorder="1"/>
    <xf numFmtId="0" fontId="0" fillId="0" borderId="12" xfId="0" applyBorder="1"/>
    <xf numFmtId="0" fontId="0" fillId="0" borderId="0" xfId="0" applyNumberFormat="1"/>
    <xf numFmtId="0" fontId="0" fillId="7" borderId="0" xfId="0" applyFill="1"/>
  </cellXfs>
  <cellStyles count="2">
    <cellStyle name="Hyperlink" xfId="1" builtinId="8"/>
    <cellStyle name="Normal" xfId="0" builtinId="0"/>
  </cellStyles>
  <dxfs count="0"/>
  <tableStyles count="0" defaultTableStyle="TableStyleMedium2" defaultPivotStyle="PivotStyleLight16"/>
  <colors>
    <mruColors>
      <color rgb="FFA2A5FF"/>
      <color rgb="FFBAD3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'diagrm artifacts from linregcts'!$I$17:$I$26</c:f>
              <c:numCache>
                <c:formatCode>General</c:formatCode>
                <c:ptCount val="10"/>
                <c:pt idx="0">
                  <c:v>4.9691129189016641</c:v>
                </c:pt>
                <c:pt idx="1">
                  <c:v>4.181557773862786</c:v>
                </c:pt>
                <c:pt idx="2">
                  <c:v>3.3886339693517891</c:v>
                </c:pt>
                <c:pt idx="3">
                  <c:v>2.4885507165004443</c:v>
                </c:pt>
                <c:pt idx="4">
                  <c:v>1.8864907251724818</c:v>
                </c:pt>
                <c:pt idx="5">
                  <c:v>2.173186268412274</c:v>
                </c:pt>
                <c:pt idx="6">
                  <c:v>3.0314084642516241</c:v>
                </c:pt>
                <c:pt idx="7">
                  <c:v>3.5036545192429593</c:v>
                </c:pt>
                <c:pt idx="8">
                  <c:v>4.4039265648312682</c:v>
                </c:pt>
                <c:pt idx="9">
                  <c:v>5.3753508093107225</c:v>
                </c:pt>
              </c:numCache>
            </c:numRef>
          </c:xVal>
          <c:yVal>
            <c:numRef>
              <c:f>'diagrm artifacts from linregcts'!$J$17:$J$26</c:f>
              <c:numCache>
                <c:formatCode>General</c:formatCode>
                <c:ptCount val="10"/>
                <c:pt idx="0">
                  <c:v>-0.94884313458608482</c:v>
                </c:pt>
                <c:pt idx="1">
                  <c:v>-1.9488431345860848</c:v>
                </c:pt>
                <c:pt idx="2">
                  <c:v>-2.9488431345860846</c:v>
                </c:pt>
                <c:pt idx="3">
                  <c:v>-3.9488431345860846</c:v>
                </c:pt>
                <c:pt idx="4">
                  <c:v>-4.9488431345860846</c:v>
                </c:pt>
                <c:pt idx="5">
                  <c:v>-4.9488431345860846</c:v>
                </c:pt>
                <c:pt idx="6">
                  <c:v>-3.9488431345860846</c:v>
                </c:pt>
                <c:pt idx="7">
                  <c:v>-2.9488431345860846</c:v>
                </c:pt>
                <c:pt idx="8">
                  <c:v>-1.9488431345860848</c:v>
                </c:pt>
                <c:pt idx="9">
                  <c:v>-0.94884313458608482</c:v>
                </c:pt>
              </c:numCache>
            </c:numRef>
          </c:yVal>
          <c:smooth val="0"/>
          <c:extLst>
            <c:ext xmlns:c16="http://schemas.microsoft.com/office/drawing/2014/chart" uri="{C3380CC4-5D6E-409C-BE32-E72D297353CC}">
              <c16:uniqueId val="{00000002-C89A-D242-9DD4-C182935FE840}"/>
            </c:ext>
          </c:extLst>
        </c:ser>
        <c:dLbls>
          <c:showLegendKey val="0"/>
          <c:showVal val="0"/>
          <c:showCatName val="0"/>
          <c:showSerName val="0"/>
          <c:showPercent val="0"/>
          <c:showBubbleSize val="0"/>
        </c:dLbls>
        <c:axId val="1853351567"/>
        <c:axId val="1660587999"/>
      </c:scatterChart>
      <c:valAx>
        <c:axId val="1853351567"/>
        <c:scaling>
          <c:orientation val="minMax"/>
          <c:min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log10(syndna</a:t>
                </a:r>
                <a:r>
                  <a:rPr lang="en-US" baseline="0"/>
                  <a:t> read</a:t>
                </a:r>
                <a:r>
                  <a:rPr lang="en-US"/>
                  <a:t> counts)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587999"/>
        <c:crossesAt val="-6"/>
        <c:crossBetween val="midCat"/>
      </c:valAx>
      <c:valAx>
        <c:axId val="1660587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log10(syndna 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3351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539750</xdr:colOff>
      <xdr:row>11</xdr:row>
      <xdr:rowOff>44450</xdr:rowOff>
    </xdr:from>
    <xdr:to>
      <xdr:col>15</xdr:col>
      <xdr:colOff>330200</xdr:colOff>
      <xdr:row>24</xdr:row>
      <xdr:rowOff>146050</xdr:rowOff>
    </xdr:to>
    <xdr:graphicFrame macro="">
      <xdr:nvGraphicFramePr>
        <xdr:cNvPr id="2" name="Chart 1">
          <a:extLst>
            <a:ext uri="{FF2B5EF4-FFF2-40B4-BE49-F238E27FC236}">
              <a16:creationId xmlns:a16="http://schemas.microsoft.com/office/drawing/2014/main" id="{5B255ED9-38DC-EB45-8691-A9E5E0B00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lzaramela/SynDNA/blob/main/SynDNA_saliva_samples_analysis.ipyn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768D-892A-3A42-8EA4-41D4B20C5948}">
  <dimension ref="A1:M109"/>
  <sheetViews>
    <sheetView workbookViewId="0">
      <pane ySplit="2" topLeftCell="A65" activePane="bottomLeft" state="frozen"/>
      <selection activeCell="G37" sqref="G37"/>
      <selection pane="bottomLeft" activeCell="I4" sqref="I4"/>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318</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ht="14" x14ac:dyDescent="0.2">
      <c r="A24">
        <v>4</v>
      </c>
      <c r="B24" t="s">
        <v>32</v>
      </c>
      <c r="C24" t="b">
        <v>1</v>
      </c>
      <c r="D24" t="s">
        <v>258</v>
      </c>
      <c r="E24" t="s">
        <v>8</v>
      </c>
      <c r="F24" t="s">
        <v>35</v>
      </c>
      <c r="G24">
        <v>200</v>
      </c>
      <c r="H24">
        <v>150</v>
      </c>
      <c r="I24">
        <v>200</v>
      </c>
      <c r="J24">
        <v>150</v>
      </c>
      <c r="K24" t="b">
        <v>0</v>
      </c>
      <c r="M24" t="s">
        <v>261</v>
      </c>
    </row>
    <row r="25" spans="1:13" ht="1" x14ac:dyDescent="0.2">
      <c r="A25">
        <v>4</v>
      </c>
      <c r="B25" t="s">
        <v>32</v>
      </c>
      <c r="C25" t="b">
        <v>1</v>
      </c>
      <c r="D25" t="s">
        <v>259</v>
      </c>
      <c r="E25" t="s">
        <v>8</v>
      </c>
      <c r="F25" t="s">
        <v>260</v>
      </c>
      <c r="G25">
        <v>4</v>
      </c>
      <c r="H25">
        <v>6</v>
      </c>
      <c r="I25">
        <v>4</v>
      </c>
      <c r="J25">
        <v>6</v>
      </c>
      <c r="K25" t="b">
        <v>0</v>
      </c>
    </row>
    <row r="26" spans="1:13" x14ac:dyDescent="0.2">
      <c r="A26">
        <v>5</v>
      </c>
      <c r="B26" t="s">
        <v>40</v>
      </c>
      <c r="C26" t="b">
        <v>1</v>
      </c>
      <c r="D26" t="s">
        <v>39</v>
      </c>
      <c r="E26" t="s">
        <v>8</v>
      </c>
      <c r="F26" t="s">
        <v>35</v>
      </c>
      <c r="G26">
        <v>100</v>
      </c>
      <c r="H26">
        <v>100</v>
      </c>
      <c r="I26" s="15">
        <v>70</v>
      </c>
      <c r="J26" s="15">
        <v>70</v>
      </c>
      <c r="K26" t="b">
        <v>0</v>
      </c>
      <c r="M26" s="1"/>
    </row>
    <row r="27" spans="1:13" x14ac:dyDescent="0.2">
      <c r="A27">
        <v>5</v>
      </c>
      <c r="B27" t="s">
        <v>40</v>
      </c>
      <c r="C27" t="b">
        <v>1</v>
      </c>
      <c r="D27" t="s">
        <v>45</v>
      </c>
      <c r="E27" t="s">
        <v>13</v>
      </c>
      <c r="F27" t="s">
        <v>42</v>
      </c>
      <c r="G27">
        <f>(G21*10^9)/G26</f>
        <v>278290.17437445314</v>
      </c>
      <c r="H27">
        <f>(H21*10^9)/H26</f>
        <v>294916.96544534899</v>
      </c>
      <c r="I27">
        <f>(I21*10^9)/I26</f>
        <v>397557.39196350449</v>
      </c>
      <c r="J27">
        <f>(J21*10^9)/J26</f>
        <v>421309.95063621283</v>
      </c>
      <c r="K27" t="b">
        <v>0</v>
      </c>
      <c r="L27" t="s">
        <v>80</v>
      </c>
    </row>
    <row r="28" spans="1:13" x14ac:dyDescent="0.2">
      <c r="A28">
        <v>7</v>
      </c>
      <c r="B28" t="s">
        <v>41</v>
      </c>
      <c r="C28" t="b">
        <v>1</v>
      </c>
      <c r="D28" t="s">
        <v>58</v>
      </c>
      <c r="E28" t="s">
        <v>18</v>
      </c>
      <c r="F28" t="s">
        <v>42</v>
      </c>
      <c r="G28">
        <v>2</v>
      </c>
      <c r="H28" s="34">
        <v>1.4</v>
      </c>
      <c r="I28" s="35">
        <v>6</v>
      </c>
      <c r="J28" s="34">
        <v>1.4</v>
      </c>
      <c r="K28" t="b">
        <v>0</v>
      </c>
      <c r="L28" t="s">
        <v>43</v>
      </c>
    </row>
    <row r="29" spans="1:13" x14ac:dyDescent="0.2">
      <c r="A29" s="2">
        <v>7</v>
      </c>
      <c r="B29" s="2" t="s">
        <v>41</v>
      </c>
      <c r="C29" t="b">
        <v>1</v>
      </c>
      <c r="D29" t="s">
        <v>262</v>
      </c>
      <c r="E29" t="s">
        <v>13</v>
      </c>
      <c r="F29" t="s">
        <v>81</v>
      </c>
      <c r="G29" s="29">
        <f>(G28* G26) * (1/(10^9))/G21</f>
        <v>7.186743134196688E-6</v>
      </c>
      <c r="H29" s="29">
        <f>(H28* H26) * (1/(10^9))/H21</f>
        <v>4.7470988923471535E-6</v>
      </c>
      <c r="I29" s="29">
        <f>(I28* I26) * (1/(10^9))/I21</f>
        <v>1.5092160581813043E-5</v>
      </c>
      <c r="J29" s="29">
        <f>(J28* J26) * (1/(10^9))/J21</f>
        <v>3.3229692246430076E-6</v>
      </c>
      <c r="K29" t="b">
        <v>0</v>
      </c>
      <c r="L29" t="s">
        <v>267</v>
      </c>
    </row>
    <row r="30" spans="1:13" x14ac:dyDescent="0.2">
      <c r="A30" s="2">
        <v>7</v>
      </c>
      <c r="B30" s="2" t="s">
        <v>41</v>
      </c>
      <c r="C30" t="b">
        <v>1</v>
      </c>
      <c r="D30" t="s">
        <v>263</v>
      </c>
      <c r="E30" t="s">
        <v>13</v>
      </c>
      <c r="F30" t="s">
        <v>265</v>
      </c>
      <c r="G30" s="29">
        <f>(G28* G26) * (1/(10^9))/G24</f>
        <v>1.0000000000000001E-9</v>
      </c>
      <c r="H30" s="29">
        <f>(H28* H26) * (1/(10^9))/H24</f>
        <v>9.3333333333333342E-10</v>
      </c>
      <c r="I30" s="29">
        <f>(I28* I26) * (1/(10^9))/I24</f>
        <v>2.1000000000000002E-9</v>
      </c>
      <c r="J30" s="29">
        <f>(J28* J26) * (1/(10^9))/J24</f>
        <v>6.5333333333333335E-10</v>
      </c>
      <c r="K30" t="b">
        <v>0</v>
      </c>
      <c r="L30" t="s">
        <v>268</v>
      </c>
    </row>
    <row r="31" spans="1:13" x14ac:dyDescent="0.2">
      <c r="A31" s="2">
        <v>7</v>
      </c>
      <c r="B31" s="2" t="s">
        <v>41</v>
      </c>
      <c r="C31" t="b">
        <v>1</v>
      </c>
      <c r="D31" t="s">
        <v>264</v>
      </c>
      <c r="E31" t="s">
        <v>13</v>
      </c>
      <c r="F31" t="s">
        <v>266</v>
      </c>
      <c r="G31" s="29">
        <f>(G28* G26) * (1/(10^9))/G25</f>
        <v>5.0000000000000004E-8</v>
      </c>
      <c r="H31" s="29">
        <f>(H28* H26) * (1/(10^9))/H25</f>
        <v>2.3333333333333334E-8</v>
      </c>
      <c r="I31" s="29">
        <f>(I28* I26) * (1/(10^9))/I25</f>
        <v>1.05E-7</v>
      </c>
      <c r="J31" s="29">
        <f>(J28* J26) * (1/(10^9))/J25</f>
        <v>1.6333333333333334E-8</v>
      </c>
      <c r="K31" t="b">
        <v>0</v>
      </c>
      <c r="L31" t="s">
        <v>269</v>
      </c>
    </row>
    <row r="32" spans="1:13" x14ac:dyDescent="0.2">
      <c r="A32" s="2">
        <v>8</v>
      </c>
      <c r="B32" s="2" t="s">
        <v>48</v>
      </c>
      <c r="C32" t="b">
        <v>1</v>
      </c>
      <c r="D32" t="s">
        <v>52</v>
      </c>
      <c r="E32" t="s">
        <v>8</v>
      </c>
      <c r="F32" t="s">
        <v>35</v>
      </c>
      <c r="G32">
        <v>3.4</v>
      </c>
      <c r="H32">
        <v>3.4</v>
      </c>
      <c r="I32">
        <v>3.4</v>
      </c>
      <c r="J32">
        <v>3.4</v>
      </c>
      <c r="K32" t="b">
        <v>1</v>
      </c>
    </row>
    <row r="33" spans="1:13" x14ac:dyDescent="0.2">
      <c r="A33" s="2">
        <v>8</v>
      </c>
      <c r="B33" s="2" t="s">
        <v>48</v>
      </c>
      <c r="C33" t="b">
        <v>1</v>
      </c>
      <c r="D33" t="s">
        <v>53</v>
      </c>
      <c r="E33" t="s">
        <v>8</v>
      </c>
      <c r="F33" t="s">
        <v>44</v>
      </c>
      <c r="G33">
        <v>5</v>
      </c>
      <c r="H33">
        <v>5</v>
      </c>
      <c r="I33">
        <v>5</v>
      </c>
      <c r="J33">
        <v>5</v>
      </c>
      <c r="K33" t="b">
        <v>1</v>
      </c>
    </row>
    <row r="34" spans="1:13" x14ac:dyDescent="0.2">
      <c r="A34">
        <v>8</v>
      </c>
      <c r="B34" t="s">
        <v>48</v>
      </c>
      <c r="C34" t="b">
        <v>1</v>
      </c>
      <c r="D34" t="s">
        <v>54</v>
      </c>
      <c r="E34" t="s">
        <v>13</v>
      </c>
      <c r="F34" t="s">
        <v>44</v>
      </c>
      <c r="G34">
        <f>IF(G28&gt;=(G33/G32),G33,G28*G32)</f>
        <v>5</v>
      </c>
      <c r="H34">
        <f>IF(H28&gt;=(H33/H32),H33,H28*H32)</f>
        <v>4.76</v>
      </c>
      <c r="I34">
        <f>IF(I28&gt;=(I33/I32),I33,I28*I32)</f>
        <v>5</v>
      </c>
      <c r="J34">
        <f>IF(J28&gt;=(J33/J32),J33,J28*J32)</f>
        <v>4.76</v>
      </c>
      <c r="K34" t="b">
        <v>0</v>
      </c>
      <c r="L34" t="s">
        <v>105</v>
      </c>
    </row>
    <row r="35" spans="1:13" x14ac:dyDescent="0.2">
      <c r="A35" s="2">
        <v>9</v>
      </c>
      <c r="B35" s="2" t="s">
        <v>51</v>
      </c>
      <c r="C35" t="b">
        <v>1</v>
      </c>
      <c r="D35" t="s">
        <v>57</v>
      </c>
      <c r="E35" t="s">
        <v>8</v>
      </c>
      <c r="F35" t="s">
        <v>46</v>
      </c>
      <c r="G35">
        <v>1</v>
      </c>
      <c r="H35">
        <v>1</v>
      </c>
      <c r="I35">
        <v>1</v>
      </c>
      <c r="J35">
        <v>1</v>
      </c>
      <c r="K35" t="b">
        <v>1</v>
      </c>
    </row>
    <row r="36" spans="1:13" x14ac:dyDescent="0.2">
      <c r="A36">
        <v>9</v>
      </c>
      <c r="B36" t="s">
        <v>51</v>
      </c>
      <c r="C36" t="b">
        <v>0</v>
      </c>
      <c r="D36" t="s">
        <v>49</v>
      </c>
      <c r="E36" t="s">
        <v>8</v>
      </c>
      <c r="F36" t="s">
        <v>42</v>
      </c>
      <c r="G36">
        <v>2.2222</v>
      </c>
      <c r="H36">
        <v>2.2222</v>
      </c>
      <c r="I36">
        <v>2.2222</v>
      </c>
      <c r="J36">
        <v>2.2222</v>
      </c>
      <c r="K36" t="b">
        <v>1</v>
      </c>
      <c r="L36" t="s">
        <v>170</v>
      </c>
      <c r="M36" t="s">
        <v>50</v>
      </c>
    </row>
    <row r="37" spans="1:13" x14ac:dyDescent="0.2">
      <c r="A37" s="2">
        <v>9</v>
      </c>
      <c r="B37" s="2" t="s">
        <v>51</v>
      </c>
      <c r="C37" t="b">
        <v>0</v>
      </c>
      <c r="D37" t="s">
        <v>311</v>
      </c>
      <c r="E37" t="s">
        <v>8</v>
      </c>
      <c r="F37" t="s">
        <v>46</v>
      </c>
      <c r="G37" s="54">
        <v>0.05</v>
      </c>
      <c r="H37" s="54">
        <v>0.05</v>
      </c>
      <c r="I37" s="54">
        <v>0.125</v>
      </c>
      <c r="J37" s="54">
        <v>0.05</v>
      </c>
      <c r="K37" t="b">
        <v>1</v>
      </c>
      <c r="M37" t="s">
        <v>312</v>
      </c>
    </row>
    <row r="38" spans="1:13" ht="18" customHeight="1" x14ac:dyDescent="0.2">
      <c r="A38" s="2">
        <v>9</v>
      </c>
      <c r="B38" s="2" t="s">
        <v>51</v>
      </c>
      <c r="C38" t="b">
        <v>1</v>
      </c>
      <c r="D38" t="s">
        <v>55</v>
      </c>
      <c r="E38" t="s">
        <v>13</v>
      </c>
      <c r="F38" t="s">
        <v>44</v>
      </c>
      <c r="G38">
        <f>G34*G37</f>
        <v>0.25</v>
      </c>
      <c r="H38">
        <f t="shared" ref="H38:J38" si="0">H34*H37</f>
        <v>0.23799999999999999</v>
      </c>
      <c r="I38" s="55">
        <f t="shared" si="0"/>
        <v>0.625</v>
      </c>
      <c r="J38">
        <f t="shared" si="0"/>
        <v>0.23799999999999999</v>
      </c>
      <c r="K38" t="b">
        <v>0</v>
      </c>
      <c r="L38" t="s">
        <v>317</v>
      </c>
    </row>
    <row r="39" spans="1:13" x14ac:dyDescent="0.2">
      <c r="A39" s="2">
        <v>9</v>
      </c>
      <c r="B39" s="2" t="s">
        <v>51</v>
      </c>
      <c r="C39" t="b">
        <v>1</v>
      </c>
      <c r="D39" t="s">
        <v>313</v>
      </c>
      <c r="E39" t="s">
        <v>13</v>
      </c>
      <c r="F39" t="s">
        <v>46</v>
      </c>
      <c r="G39">
        <v>1</v>
      </c>
      <c r="H39">
        <v>1</v>
      </c>
      <c r="I39" s="55">
        <v>0.4</v>
      </c>
      <c r="J39">
        <v>1</v>
      </c>
      <c r="K39" t="b">
        <v>0</v>
      </c>
      <c r="L39" t="s">
        <v>314</v>
      </c>
      <c r="M39" t="s">
        <v>315</v>
      </c>
    </row>
    <row r="40" spans="1:13" x14ac:dyDescent="0.2">
      <c r="A40" s="2">
        <v>9</v>
      </c>
      <c r="B40" s="2" t="s">
        <v>51</v>
      </c>
      <c r="C40" t="b">
        <v>1</v>
      </c>
      <c r="D40" t="s">
        <v>316</v>
      </c>
      <c r="E40" t="s">
        <v>13</v>
      </c>
      <c r="F40" t="s">
        <v>44</v>
      </c>
      <c r="G40">
        <f>G39*G38</f>
        <v>0.25</v>
      </c>
      <c r="H40">
        <f t="shared" ref="H40:J40" si="1">H39*H38</f>
        <v>0.23799999999999999</v>
      </c>
      <c r="I40">
        <f t="shared" si="1"/>
        <v>0.25</v>
      </c>
      <c r="J40">
        <f t="shared" si="1"/>
        <v>0.23799999999999999</v>
      </c>
    </row>
    <row r="41" spans="1:13" x14ac:dyDescent="0.2">
      <c r="A41" s="2"/>
      <c r="B41" s="2"/>
    </row>
    <row r="42" spans="1:13" x14ac:dyDescent="0.2">
      <c r="B42" s="2" t="s">
        <v>82</v>
      </c>
      <c r="C42" t="b">
        <v>1</v>
      </c>
      <c r="D42" t="s">
        <v>91</v>
      </c>
      <c r="E42" t="s">
        <v>8</v>
      </c>
      <c r="F42" t="s">
        <v>93</v>
      </c>
      <c r="G42" s="4">
        <v>650</v>
      </c>
      <c r="H42" s="4">
        <v>650</v>
      </c>
      <c r="I42" s="4">
        <v>650</v>
      </c>
      <c r="J42" s="4">
        <v>650</v>
      </c>
    </row>
    <row r="43" spans="1:13" x14ac:dyDescent="0.2">
      <c r="B43" s="2"/>
      <c r="G43" s="4"/>
      <c r="H43" s="4"/>
      <c r="I43" s="4"/>
      <c r="J43" s="4"/>
    </row>
    <row r="44" spans="1:13" x14ac:dyDescent="0.2">
      <c r="B44" s="2"/>
      <c r="G44" t="s">
        <v>255</v>
      </c>
      <c r="H44" t="s">
        <v>256</v>
      </c>
      <c r="I44" t="s">
        <v>177</v>
      </c>
      <c r="J44" t="s">
        <v>178</v>
      </c>
    </row>
    <row r="45" spans="1:13" x14ac:dyDescent="0.2">
      <c r="G45" t="s">
        <v>195</v>
      </c>
      <c r="H45" t="s">
        <v>195</v>
      </c>
      <c r="I45" t="s">
        <v>195</v>
      </c>
      <c r="J45" t="s">
        <v>195</v>
      </c>
      <c r="L45" t="s">
        <v>212</v>
      </c>
    </row>
    <row r="46" spans="1:13" x14ac:dyDescent="0.2">
      <c r="B46" s="2" t="s">
        <v>82</v>
      </c>
      <c r="C46" t="b">
        <v>1</v>
      </c>
      <c r="D46" t="s">
        <v>88</v>
      </c>
      <c r="E46" t="s">
        <v>8</v>
      </c>
      <c r="F46" t="s">
        <v>89</v>
      </c>
      <c r="G46" s="43">
        <v>6.0220000000000003E+23</v>
      </c>
      <c r="H46" s="43">
        <v>6.0220000000000003E+23</v>
      </c>
      <c r="I46" s="43">
        <v>6.0220000000000003E+23</v>
      </c>
      <c r="J46" s="43">
        <v>6.0220000000000003E+23</v>
      </c>
      <c r="M46" t="s">
        <v>90</v>
      </c>
    </row>
    <row r="47" spans="1:13" x14ac:dyDescent="0.2">
      <c r="B47" s="6" t="s">
        <v>82</v>
      </c>
      <c r="C47" s="7" t="b">
        <v>1</v>
      </c>
      <c r="D47" s="7" t="s">
        <v>83</v>
      </c>
      <c r="E47" s="7" t="s">
        <v>13</v>
      </c>
      <c r="F47" s="7" t="s">
        <v>44</v>
      </c>
      <c r="G47" s="7">
        <f>'linear regressions counts'!M42</f>
        <v>5.5906776314467152E-2</v>
      </c>
      <c r="H47" s="7">
        <f>'linear regressions counts'!M65</f>
        <v>4.5983249626623479E-2</v>
      </c>
      <c r="I47" s="7">
        <f>'linear regressions counts'!M42</f>
        <v>5.5906776314467152E-2</v>
      </c>
      <c r="J47" s="7">
        <f>'linear regressions counts'!M65</f>
        <v>4.5983249626623479E-2</v>
      </c>
      <c r="K47" t="b">
        <v>1</v>
      </c>
      <c r="L47" t="s">
        <v>257</v>
      </c>
      <c r="M47" t="s">
        <v>104</v>
      </c>
    </row>
    <row r="48" spans="1:13" x14ac:dyDescent="0.2">
      <c r="B48" s="9" t="s">
        <v>82</v>
      </c>
      <c r="C48" t="b">
        <v>1</v>
      </c>
      <c r="D48" t="s">
        <v>85</v>
      </c>
      <c r="E48" t="s">
        <v>8</v>
      </c>
      <c r="F48" t="s">
        <v>84</v>
      </c>
      <c r="G48">
        <v>1904788.3330000001</v>
      </c>
      <c r="H48">
        <v>1904788.3330000001</v>
      </c>
      <c r="I48">
        <v>1904788.3330000001</v>
      </c>
      <c r="J48">
        <v>1904788.3330000001</v>
      </c>
      <c r="K48" t="b">
        <v>1</v>
      </c>
      <c r="M48" t="s">
        <v>104</v>
      </c>
    </row>
    <row r="49" spans="2:13" x14ac:dyDescent="0.2">
      <c r="B49" s="9" t="s">
        <v>82</v>
      </c>
      <c r="C49" t="b">
        <v>1</v>
      </c>
      <c r="D49" t="s">
        <v>86</v>
      </c>
      <c r="E49" t="s">
        <v>13</v>
      </c>
      <c r="F49" t="s">
        <v>87</v>
      </c>
      <c r="G49" s="5">
        <f>(G47*G$46)/(G48*G$42*10^9)</f>
        <v>27192.248659539819</v>
      </c>
      <c r="H49" s="5">
        <f>(H47*H46)/(H48*H42*10^9)</f>
        <v>22365.588582457232</v>
      </c>
      <c r="I49" s="11">
        <f>(I47*I46)/(I48*I42*10^9)</f>
        <v>27192.248659539819</v>
      </c>
      <c r="J49" s="5">
        <f>(J47*J46)/(J48*J42*10^9)</f>
        <v>22365.588582457232</v>
      </c>
      <c r="K49" t="b">
        <v>1</v>
      </c>
      <c r="L49" t="s">
        <v>94</v>
      </c>
      <c r="M49" t="s">
        <v>92</v>
      </c>
    </row>
    <row r="50" spans="2:13" x14ac:dyDescent="0.2">
      <c r="B50" s="9" t="s">
        <v>82</v>
      </c>
      <c r="C50" t="b">
        <v>1</v>
      </c>
      <c r="D50" t="s">
        <v>95</v>
      </c>
      <c r="E50" t="s">
        <v>13</v>
      </c>
      <c r="F50" t="s">
        <v>96</v>
      </c>
      <c r="G50">
        <f>G49/G$34</f>
        <v>5438.4497319079637</v>
      </c>
      <c r="H50">
        <f>H49/H34</f>
        <v>4698.6530635414356</v>
      </c>
      <c r="I50" s="10">
        <f>I49/I34</f>
        <v>5438.4497319079637</v>
      </c>
      <c r="J50">
        <f>J49/J34</f>
        <v>4698.6530635414356</v>
      </c>
      <c r="L50" t="s">
        <v>97</v>
      </c>
      <c r="M50" t="s">
        <v>104</v>
      </c>
    </row>
    <row r="51" spans="2:13" x14ac:dyDescent="0.2">
      <c r="B51" s="9" t="s">
        <v>82</v>
      </c>
      <c r="C51" t="b">
        <v>1</v>
      </c>
      <c r="D51" t="s">
        <v>98</v>
      </c>
      <c r="E51" t="s">
        <v>13</v>
      </c>
      <c r="F51" t="s">
        <v>99</v>
      </c>
      <c r="G51" s="27">
        <f>G50*10^9</f>
        <v>5438449731907.9639</v>
      </c>
      <c r="H51" s="27">
        <f>H50*10^9</f>
        <v>4698653063541.4355</v>
      </c>
      <c r="I51" s="28">
        <f>I50*10^9</f>
        <v>5438449731907.9639</v>
      </c>
      <c r="J51" s="27">
        <f>J50*10^9</f>
        <v>4698653063541.4355</v>
      </c>
      <c r="L51" t="s">
        <v>100</v>
      </c>
      <c r="M51" t="s">
        <v>104</v>
      </c>
    </row>
    <row r="52" spans="2:13" x14ac:dyDescent="0.2">
      <c r="B52" s="9" t="s">
        <v>82</v>
      </c>
      <c r="C52" t="b">
        <v>1</v>
      </c>
      <c r="D52" t="s">
        <v>101</v>
      </c>
      <c r="E52" t="s">
        <v>13</v>
      </c>
      <c r="F52" t="s">
        <v>102</v>
      </c>
      <c r="G52" s="4">
        <f>G51*G$29</f>
        <v>39084741.271463379</v>
      </c>
      <c r="H52" s="4">
        <f>H51*H29</f>
        <v>22304970.753461108</v>
      </c>
      <c r="I52" s="10">
        <f>I51*I29</f>
        <v>82077956.670073092</v>
      </c>
      <c r="J52" s="4">
        <f>J51*J29</f>
        <v>15613479.527422776</v>
      </c>
      <c r="L52" t="s">
        <v>274</v>
      </c>
      <c r="M52" t="s">
        <v>104</v>
      </c>
    </row>
    <row r="53" spans="2:13" x14ac:dyDescent="0.2">
      <c r="B53" s="9" t="s">
        <v>82</v>
      </c>
      <c r="C53" t="b">
        <v>1</v>
      </c>
      <c r="D53" t="s">
        <v>270</v>
      </c>
      <c r="E53" t="s">
        <v>13</v>
      </c>
      <c r="F53" t="s">
        <v>271</v>
      </c>
      <c r="G53" s="4">
        <f>G51*G$30</f>
        <v>5438.4497319079646</v>
      </c>
      <c r="H53" s="4">
        <f>H51*H30</f>
        <v>4385.409525972007</v>
      </c>
      <c r="I53" s="4">
        <f>I51*I30</f>
        <v>11420.744437006726</v>
      </c>
      <c r="J53" s="4">
        <f>J51*J30</f>
        <v>3069.7866681804048</v>
      </c>
      <c r="L53" t="s">
        <v>275</v>
      </c>
      <c r="M53" t="s">
        <v>104</v>
      </c>
    </row>
    <row r="54" spans="2:13" x14ac:dyDescent="0.2">
      <c r="B54" s="12" t="s">
        <v>82</v>
      </c>
      <c r="C54" s="13" t="b">
        <v>1</v>
      </c>
      <c r="D54" s="13" t="s">
        <v>272</v>
      </c>
      <c r="E54" s="13" t="s">
        <v>13</v>
      </c>
      <c r="F54" s="13" t="s">
        <v>273</v>
      </c>
      <c r="G54" s="36">
        <f>G51*G$31</f>
        <v>271922.48659539822</v>
      </c>
      <c r="H54" s="36">
        <f>H51*H$31</f>
        <v>109635.23814930016</v>
      </c>
      <c r="I54" s="36">
        <f>I51*I$31</f>
        <v>571037.22185033618</v>
      </c>
      <c r="J54" s="36">
        <f>J51*J$31</f>
        <v>76744.66670451012</v>
      </c>
      <c r="L54" t="s">
        <v>276</v>
      </c>
      <c r="M54" t="s">
        <v>104</v>
      </c>
    </row>
    <row r="55" spans="2:13" x14ac:dyDescent="0.2">
      <c r="G55" s="4"/>
      <c r="H55" s="4"/>
      <c r="I55" s="4"/>
      <c r="J55" s="4"/>
    </row>
    <row r="56" spans="2:13" x14ac:dyDescent="0.2">
      <c r="G56" s="4" t="s">
        <v>196</v>
      </c>
      <c r="H56" s="4" t="s">
        <v>196</v>
      </c>
      <c r="I56" s="4" t="s">
        <v>196</v>
      </c>
      <c r="J56" s="4" t="s">
        <v>196</v>
      </c>
      <c r="L56" s="2" t="s">
        <v>254</v>
      </c>
    </row>
    <row r="57" spans="2:13" x14ac:dyDescent="0.2">
      <c r="B57" s="2" t="s">
        <v>82</v>
      </c>
      <c r="C57" t="b">
        <v>1</v>
      </c>
      <c r="D57" t="s">
        <v>83</v>
      </c>
      <c r="E57" t="s">
        <v>13</v>
      </c>
      <c r="F57" t="s">
        <v>44</v>
      </c>
      <c r="G57">
        <f>'linear regressions counts'!M43</f>
        <v>6.7506893569518861E-2</v>
      </c>
      <c r="H57">
        <f>'linear regressions counts'!M66</f>
        <v>5.5539298723601756E-2</v>
      </c>
      <c r="I57">
        <f>'linear regressions counts'!M43</f>
        <v>6.7506893569518861E-2</v>
      </c>
      <c r="J57">
        <f>'linear regressions counts'!M66</f>
        <v>5.5539298723601756E-2</v>
      </c>
    </row>
    <row r="58" spans="2:13" x14ac:dyDescent="0.2">
      <c r="B58" t="s">
        <v>82</v>
      </c>
      <c r="C58" t="b">
        <v>1</v>
      </c>
      <c r="D58" t="s">
        <v>85</v>
      </c>
      <c r="E58" t="s">
        <v>8</v>
      </c>
      <c r="F58" t="s">
        <v>84</v>
      </c>
      <c r="G58">
        <v>4373730</v>
      </c>
      <c r="H58">
        <v>4373730</v>
      </c>
      <c r="I58">
        <v>4373730</v>
      </c>
      <c r="J58">
        <v>4373730</v>
      </c>
    </row>
    <row r="59" spans="2:13" x14ac:dyDescent="0.2">
      <c r="B59" t="s">
        <v>82</v>
      </c>
      <c r="C59" t="b">
        <v>1</v>
      </c>
      <c r="D59" t="s">
        <v>86</v>
      </c>
      <c r="E59" t="s">
        <v>13</v>
      </c>
      <c r="F59" t="s">
        <v>87</v>
      </c>
      <c r="G59" s="5">
        <f>(G57*G$46)/(G58*G$42*10^9)</f>
        <v>14299.588788785724</v>
      </c>
      <c r="H59" s="5">
        <f>(H57*H$46)/(H58*H$42*10^9)</f>
        <v>11764.563459688423</v>
      </c>
      <c r="I59" s="5">
        <f>(I57*I$46)/(I58*I$42*10^9)</f>
        <v>14299.588788785724</v>
      </c>
      <c r="J59" s="5">
        <f>(J57*J$46)/(J58*J$42*10^9)</f>
        <v>11764.563459688423</v>
      </c>
    </row>
    <row r="60" spans="2:13" x14ac:dyDescent="0.2">
      <c r="B60" t="s">
        <v>82</v>
      </c>
      <c r="C60" t="b">
        <v>1</v>
      </c>
      <c r="D60" t="s">
        <v>95</v>
      </c>
      <c r="E60" t="s">
        <v>13</v>
      </c>
      <c r="F60" t="s">
        <v>96</v>
      </c>
      <c r="G60">
        <f>G59/G$34</f>
        <v>2859.917757757145</v>
      </c>
      <c r="H60">
        <f>H59/H$34</f>
        <v>2471.5469453126939</v>
      </c>
      <c r="I60">
        <f>I59/I$34</f>
        <v>2859.917757757145</v>
      </c>
      <c r="J60">
        <f>J59/J$34</f>
        <v>2471.5469453126939</v>
      </c>
    </row>
    <row r="61" spans="2:13" x14ac:dyDescent="0.2">
      <c r="B61" t="s">
        <v>82</v>
      </c>
      <c r="C61" t="b">
        <v>1</v>
      </c>
      <c r="D61" t="s">
        <v>98</v>
      </c>
      <c r="E61" t="s">
        <v>13</v>
      </c>
      <c r="F61" t="s">
        <v>99</v>
      </c>
      <c r="G61" s="27">
        <f>G60*10^9</f>
        <v>2859917757757.145</v>
      </c>
      <c r="H61" s="27">
        <f>H60*10^9</f>
        <v>2471546945312.6938</v>
      </c>
      <c r="I61" s="27">
        <f>I60*10^9</f>
        <v>2859917757757.145</v>
      </c>
      <c r="J61" s="27">
        <f>J60*10^9</f>
        <v>2471546945312.6938</v>
      </c>
    </row>
    <row r="62" spans="2:13" x14ac:dyDescent="0.2">
      <c r="B62" t="s">
        <v>82</v>
      </c>
      <c r="C62" t="b">
        <v>1</v>
      </c>
      <c r="D62" t="s">
        <v>101</v>
      </c>
      <c r="E62" t="s">
        <v>13</v>
      </c>
      <c r="F62" t="s">
        <v>102</v>
      </c>
      <c r="G62" s="4">
        <f>G61*G$29</f>
        <v>20553494.30992835</v>
      </c>
      <c r="H62" s="4">
        <f>H61*H$29</f>
        <v>11732677.766477879</v>
      </c>
      <c r="I62" s="4">
        <f>I61*I$29</f>
        <v>43162338.050849527</v>
      </c>
      <c r="J62" s="4">
        <f>J61*J$29</f>
        <v>8212874.4365345165</v>
      </c>
    </row>
    <row r="63" spans="2:13" x14ac:dyDescent="0.2">
      <c r="B63" t="s">
        <v>82</v>
      </c>
      <c r="C63" t="b">
        <v>1</v>
      </c>
      <c r="D63" t="s">
        <v>270</v>
      </c>
      <c r="E63" t="s">
        <v>13</v>
      </c>
      <c r="F63" t="s">
        <v>271</v>
      </c>
      <c r="G63" s="4">
        <f>G61*G$30</f>
        <v>2859.9177577571454</v>
      </c>
      <c r="H63" s="4">
        <f>H61*H$30</f>
        <v>2306.7771489585143</v>
      </c>
      <c r="I63" s="4">
        <f>I61*I$30</f>
        <v>6005.8272912900047</v>
      </c>
      <c r="J63" s="4">
        <f>J61*J$30</f>
        <v>1614.74400427096</v>
      </c>
    </row>
    <row r="64" spans="2:13" x14ac:dyDescent="0.2">
      <c r="B64" t="s">
        <v>82</v>
      </c>
      <c r="C64" t="b">
        <v>1</v>
      </c>
      <c r="D64" t="s">
        <v>272</v>
      </c>
      <c r="E64" t="s">
        <v>13</v>
      </c>
      <c r="F64" t="s">
        <v>273</v>
      </c>
      <c r="G64" s="4">
        <f>G61*G$31</f>
        <v>142995.88788785727</v>
      </c>
      <c r="H64" s="4">
        <f>H61*H$31</f>
        <v>57669.428723962861</v>
      </c>
      <c r="I64" s="4">
        <f>I61*I$31</f>
        <v>300291.36456450023</v>
      </c>
      <c r="J64" s="4">
        <f>J61*J$31</f>
        <v>40368.600106774</v>
      </c>
    </row>
    <row r="65" spans="2:12" x14ac:dyDescent="0.2">
      <c r="G65" s="4"/>
      <c r="H65" s="4"/>
      <c r="I65" s="4"/>
      <c r="J65" s="4"/>
    </row>
    <row r="66" spans="2:12" x14ac:dyDescent="0.2">
      <c r="G66" s="4" t="s">
        <v>200</v>
      </c>
      <c r="H66" s="4" t="s">
        <v>200</v>
      </c>
      <c r="I66" s="4" t="s">
        <v>200</v>
      </c>
      <c r="J66" s="4" t="s">
        <v>200</v>
      </c>
      <c r="L66" s="2" t="s">
        <v>254</v>
      </c>
    </row>
    <row r="67" spans="2:12" x14ac:dyDescent="0.2">
      <c r="B67" s="6" t="s">
        <v>82</v>
      </c>
      <c r="C67" s="7" t="b">
        <v>1</v>
      </c>
      <c r="D67" s="7" t="s">
        <v>83</v>
      </c>
      <c r="E67" s="7" t="s">
        <v>13</v>
      </c>
      <c r="F67" s="7" t="s">
        <v>44</v>
      </c>
      <c r="G67" s="8">
        <f>'linear regressions counts'!M48</f>
        <v>5.5800097113146443E-4</v>
      </c>
      <c r="H67" s="8">
        <f>'linear regressions counts'!M71</f>
        <v>4.5576142039897643E-4</v>
      </c>
      <c r="I67" s="8">
        <f>'linear regressions counts'!M48</f>
        <v>5.5800097113146443E-4</v>
      </c>
      <c r="J67" s="8">
        <f>'linear regressions counts'!M71</f>
        <v>4.5576142039897643E-4</v>
      </c>
    </row>
    <row r="68" spans="2:12" x14ac:dyDescent="0.2">
      <c r="B68" s="9" t="s">
        <v>82</v>
      </c>
      <c r="C68" t="b">
        <v>1</v>
      </c>
      <c r="D68" t="s">
        <v>85</v>
      </c>
      <c r="E68" t="s">
        <v>8</v>
      </c>
      <c r="F68" t="s">
        <v>84</v>
      </c>
      <c r="G68" s="10">
        <v>89264</v>
      </c>
      <c r="H68" s="10">
        <v>89264</v>
      </c>
      <c r="I68" s="10">
        <v>89264</v>
      </c>
      <c r="J68" s="10">
        <v>89264</v>
      </c>
    </row>
    <row r="69" spans="2:12" x14ac:dyDescent="0.2">
      <c r="B69" s="9" t="s">
        <v>82</v>
      </c>
      <c r="C69" t="b">
        <v>1</v>
      </c>
      <c r="D69" t="s">
        <v>86</v>
      </c>
      <c r="E69" t="s">
        <v>13</v>
      </c>
      <c r="F69" t="s">
        <v>87</v>
      </c>
      <c r="G69" s="11">
        <f>(G67*G$46)/(G68*G$42*10^9)</f>
        <v>5791.432583992304</v>
      </c>
      <c r="H69" s="11">
        <f>(H67*H$46)/(H68*H$42*10^9)</f>
        <v>4730.2991879621313</v>
      </c>
      <c r="I69" s="11">
        <f>(I67*I$46)/(I68*I$42*10^9)</f>
        <v>5791.432583992304</v>
      </c>
      <c r="J69" s="11">
        <f>(J67*J$46)/(J68*J$42*10^9)</f>
        <v>4730.2991879621313</v>
      </c>
    </row>
    <row r="70" spans="2:12" x14ac:dyDescent="0.2">
      <c r="B70" s="9" t="s">
        <v>82</v>
      </c>
      <c r="C70" t="b">
        <v>1</v>
      </c>
      <c r="D70" t="s">
        <v>95</v>
      </c>
      <c r="E70" t="s">
        <v>13</v>
      </c>
      <c r="F70" t="s">
        <v>96</v>
      </c>
      <c r="G70" s="10">
        <f>G69/G$34</f>
        <v>1158.2865167984608</v>
      </c>
      <c r="H70" s="10">
        <f>H69/H$34</f>
        <v>993.76033360548979</v>
      </c>
      <c r="I70" s="10">
        <f>I69/I$34</f>
        <v>1158.2865167984608</v>
      </c>
      <c r="J70" s="10">
        <f>J69/J$34</f>
        <v>993.76033360548979</v>
      </c>
    </row>
    <row r="71" spans="2:12" x14ac:dyDescent="0.2">
      <c r="B71" s="9" t="s">
        <v>82</v>
      </c>
      <c r="C71" t="b">
        <v>1</v>
      </c>
      <c r="D71" t="s">
        <v>98</v>
      </c>
      <c r="E71" t="s">
        <v>13</v>
      </c>
      <c r="F71" t="s">
        <v>99</v>
      </c>
      <c r="G71" s="28">
        <f>G70*10^9</f>
        <v>1158286516798.4607</v>
      </c>
      <c r="H71" s="28">
        <f>H70*10^9</f>
        <v>993760333605.48975</v>
      </c>
      <c r="I71" s="28">
        <f>I70*10^9</f>
        <v>1158286516798.4607</v>
      </c>
      <c r="J71" s="28">
        <f>J70*10^9</f>
        <v>993760333605.48975</v>
      </c>
    </row>
    <row r="72" spans="2:12" x14ac:dyDescent="0.2">
      <c r="B72" s="9" t="s">
        <v>82</v>
      </c>
      <c r="C72" t="b">
        <v>1</v>
      </c>
      <c r="D72" t="s">
        <v>101</v>
      </c>
      <c r="E72" t="s">
        <v>13</v>
      </c>
      <c r="F72" t="s">
        <v>102</v>
      </c>
      <c r="G72" s="46">
        <f>G71*G$29</f>
        <v>8324307.6720339339</v>
      </c>
      <c r="H72" s="46">
        <f>H71*H$29</f>
        <v>4717478.5789171578</v>
      </c>
      <c r="I72" s="46">
        <f>I71*I$29</f>
        <v>17481046.111271258</v>
      </c>
      <c r="J72" s="46">
        <f>J71*J$29</f>
        <v>3302235.005242011</v>
      </c>
    </row>
    <row r="73" spans="2:12" x14ac:dyDescent="0.2">
      <c r="B73" s="9" t="s">
        <v>82</v>
      </c>
      <c r="C73" t="b">
        <v>1</v>
      </c>
      <c r="D73" t="s">
        <v>270</v>
      </c>
      <c r="E73" t="s">
        <v>13</v>
      </c>
      <c r="F73" t="s">
        <v>271</v>
      </c>
      <c r="G73" s="4">
        <f>G71*G$30</f>
        <v>1158.2865167984608</v>
      </c>
      <c r="H73" s="4">
        <f>H71*H$30</f>
        <v>927.50964469845724</v>
      </c>
      <c r="I73" s="4">
        <f>I71*I$30</f>
        <v>2432.4016852767677</v>
      </c>
      <c r="J73" s="4">
        <f>J71*J$30</f>
        <v>649.25675128891999</v>
      </c>
    </row>
    <row r="74" spans="2:12" x14ac:dyDescent="0.2">
      <c r="B74" s="12" t="s">
        <v>82</v>
      </c>
      <c r="C74" s="13" t="b">
        <v>1</v>
      </c>
      <c r="D74" s="13" t="s">
        <v>272</v>
      </c>
      <c r="E74" s="13" t="s">
        <v>13</v>
      </c>
      <c r="F74" s="13" t="s">
        <v>273</v>
      </c>
      <c r="G74" s="36">
        <f>G71*G$31</f>
        <v>57914.32583992304</v>
      </c>
      <c r="H74" s="36">
        <f>H71*H$31</f>
        <v>23187.741117461428</v>
      </c>
      <c r="I74" s="36">
        <f>I71*I$31</f>
        <v>121620.08426383838</v>
      </c>
      <c r="J74" s="36">
        <f>J71*J$31</f>
        <v>16231.418782223</v>
      </c>
    </row>
    <row r="75" spans="2:12" x14ac:dyDescent="0.2">
      <c r="G75" s="4"/>
      <c r="H75" s="4"/>
      <c r="I75" s="4"/>
      <c r="J75" s="4"/>
    </row>
    <row r="76" spans="2:12" x14ac:dyDescent="0.2">
      <c r="G76" s="4"/>
      <c r="H76" s="4"/>
      <c r="I76" s="4"/>
      <c r="J76" s="4"/>
    </row>
    <row r="77" spans="2:12" x14ac:dyDescent="0.2">
      <c r="G77" t="s">
        <v>255</v>
      </c>
      <c r="H77" t="s">
        <v>256</v>
      </c>
      <c r="I77" t="s">
        <v>177</v>
      </c>
      <c r="J77" t="s">
        <v>178</v>
      </c>
    </row>
    <row r="78" spans="2:12" x14ac:dyDescent="0.2">
      <c r="G78" t="s">
        <v>195</v>
      </c>
      <c r="H78" t="s">
        <v>195</v>
      </c>
      <c r="I78" t="s">
        <v>195</v>
      </c>
      <c r="J78" t="s">
        <v>195</v>
      </c>
      <c r="L78" t="s">
        <v>214</v>
      </c>
    </row>
    <row r="79" spans="2:12" x14ac:dyDescent="0.2">
      <c r="B79" s="23" t="s">
        <v>82</v>
      </c>
      <c r="C79" s="19" t="b">
        <v>1</v>
      </c>
      <c r="D79" s="19" t="s">
        <v>88</v>
      </c>
      <c r="E79" s="19" t="s">
        <v>8</v>
      </c>
      <c r="F79" s="19" t="s">
        <v>89</v>
      </c>
      <c r="G79" s="26">
        <v>6.0221407599999999E+23</v>
      </c>
      <c r="H79" s="26">
        <v>6.0221407599999999E+23</v>
      </c>
      <c r="I79" s="26">
        <v>6.0221407599999999E+23</v>
      </c>
      <c r="J79" s="26">
        <v>6.0221407599999999E+23</v>
      </c>
    </row>
    <row r="80" spans="2:12" x14ac:dyDescent="0.2">
      <c r="B80" s="16" t="s">
        <v>82</v>
      </c>
      <c r="C80" s="17" t="b">
        <v>1</v>
      </c>
      <c r="D80" s="17" t="s">
        <v>83</v>
      </c>
      <c r="E80" s="17" t="s">
        <v>13</v>
      </c>
      <c r="F80" s="17" t="s">
        <v>44</v>
      </c>
      <c r="G80" s="17">
        <f>'linear regressions counts'!M42</f>
        <v>5.5906776314467152E-2</v>
      </c>
      <c r="H80" s="17">
        <f>'linear regressions counts'!M65</f>
        <v>4.5983249626623479E-2</v>
      </c>
      <c r="I80" s="17">
        <f>'linear regressions counts'!M42</f>
        <v>5.5906776314467152E-2</v>
      </c>
      <c r="J80" s="17">
        <f>'linear regressions counts'!M65</f>
        <v>4.5983249626623479E-2</v>
      </c>
    </row>
    <row r="81" spans="2:12" x14ac:dyDescent="0.2">
      <c r="B81" s="18" t="s">
        <v>82</v>
      </c>
      <c r="C81" s="19" t="b">
        <v>1</v>
      </c>
      <c r="D81" s="19" t="s">
        <v>85</v>
      </c>
      <c r="E81" s="19" t="s">
        <v>8</v>
      </c>
      <c r="F81" s="19" t="s">
        <v>84</v>
      </c>
      <c r="G81" s="19">
        <v>1904788.3330000001</v>
      </c>
      <c r="H81" s="19">
        <v>1904788.3330000001</v>
      </c>
      <c r="I81" s="19">
        <v>1904788.3330000001</v>
      </c>
      <c r="J81" s="19">
        <v>1904788.3330000001</v>
      </c>
      <c r="L81" s="45"/>
    </row>
    <row r="82" spans="2:12" x14ac:dyDescent="0.2">
      <c r="B82" s="18" t="s">
        <v>82</v>
      </c>
      <c r="C82" s="19" t="b">
        <v>1</v>
      </c>
      <c r="D82" s="19" t="s">
        <v>86</v>
      </c>
      <c r="E82" s="19" t="s">
        <v>13</v>
      </c>
      <c r="F82" s="19" t="s">
        <v>87</v>
      </c>
      <c r="G82" s="20">
        <f>(G80*G$79)/(G81*G$42*10^9)</f>
        <v>27192.884259161423</v>
      </c>
      <c r="H82" s="20">
        <f>(H80*H$79)/(H81*H$42*10^9)</f>
        <v>22366.111362305932</v>
      </c>
      <c r="I82" s="20">
        <f>(I80*I$79)/(I81*I$42*10^9)</f>
        <v>27192.884259161423</v>
      </c>
      <c r="J82" s="20">
        <f>(J80*J$79)/(J81*J$42*10^9)</f>
        <v>22366.111362305932</v>
      </c>
      <c r="L82" s="45"/>
    </row>
    <row r="83" spans="2:12" x14ac:dyDescent="0.2">
      <c r="B83" s="18" t="s">
        <v>82</v>
      </c>
      <c r="C83" s="19" t="b">
        <v>1</v>
      </c>
      <c r="D83" s="19" t="s">
        <v>95</v>
      </c>
      <c r="E83" s="19" t="s">
        <v>13</v>
      </c>
      <c r="F83" s="19" t="s">
        <v>96</v>
      </c>
      <c r="G83" s="19">
        <f>G82/G$34</f>
        <v>5438.5768518322848</v>
      </c>
      <c r="H83" s="19">
        <f>H82/H$34</f>
        <v>4698.7628912407426</v>
      </c>
      <c r="I83" s="19">
        <f>I82/I$34</f>
        <v>5438.5768518322848</v>
      </c>
      <c r="J83" s="19">
        <f>J82/J$34</f>
        <v>4698.7628912407426</v>
      </c>
    </row>
    <row r="84" spans="2:12" x14ac:dyDescent="0.2">
      <c r="B84" s="18" t="s">
        <v>82</v>
      </c>
      <c r="C84" s="19" t="b">
        <v>1</v>
      </c>
      <c r="D84" s="19" t="s">
        <v>98</v>
      </c>
      <c r="E84" s="19" t="s">
        <v>13</v>
      </c>
      <c r="F84" s="19" t="s">
        <v>99</v>
      </c>
      <c r="G84" s="33">
        <f>G83*10^9</f>
        <v>5438576851832.2852</v>
      </c>
      <c r="H84" s="33">
        <f>H83*10^9</f>
        <v>4698762891240.7422</v>
      </c>
      <c r="I84" s="33">
        <f>I83*10^9</f>
        <v>5438576851832.2852</v>
      </c>
      <c r="J84" s="33">
        <f>J83*10^9</f>
        <v>4698762891240.7422</v>
      </c>
    </row>
    <row r="85" spans="2:12" x14ac:dyDescent="0.2">
      <c r="B85" s="18" t="s">
        <v>82</v>
      </c>
      <c r="C85" s="19" t="b">
        <v>1</v>
      </c>
      <c r="D85" s="19" t="s">
        <v>101</v>
      </c>
      <c r="E85" s="19" t="s">
        <v>13</v>
      </c>
      <c r="F85" s="19" t="s">
        <v>102</v>
      </c>
      <c r="G85" s="39">
        <f>G84*G$29</f>
        <v>39085654.849706717</v>
      </c>
      <c r="H85" s="39">
        <f>H84*H$29</f>
        <v>22305492.116410837</v>
      </c>
      <c r="I85" s="39">
        <f>I84*I$29</f>
        <v>82079875.184384093</v>
      </c>
      <c r="J85" s="39">
        <f>J84*J$29</f>
        <v>15613844.481487585</v>
      </c>
    </row>
    <row r="86" spans="2:12" x14ac:dyDescent="0.2">
      <c r="B86" s="18" t="s">
        <v>82</v>
      </c>
      <c r="C86" s="19" t="b">
        <v>1</v>
      </c>
      <c r="D86" s="19" t="s">
        <v>270</v>
      </c>
      <c r="E86" s="19" t="s">
        <v>13</v>
      </c>
      <c r="F86" s="19" t="s">
        <v>271</v>
      </c>
      <c r="G86" s="39">
        <f>G84*G$30</f>
        <v>5438.5768518322857</v>
      </c>
      <c r="H86" s="39">
        <f>H84*H$30</f>
        <v>4385.5120318246927</v>
      </c>
      <c r="I86" s="39">
        <f>I84*I$30</f>
        <v>11421.011388847799</v>
      </c>
      <c r="J86" s="39">
        <f>J84*J$30</f>
        <v>3069.8584222772852</v>
      </c>
    </row>
    <row r="87" spans="2:12" x14ac:dyDescent="0.2">
      <c r="B87" s="21" t="s">
        <v>82</v>
      </c>
      <c r="C87" s="22" t="b">
        <v>1</v>
      </c>
      <c r="D87" s="22" t="s">
        <v>272</v>
      </c>
      <c r="E87" s="22" t="s">
        <v>13</v>
      </c>
      <c r="F87" s="22" t="s">
        <v>273</v>
      </c>
      <c r="G87" s="38">
        <f>G84*G$31</f>
        <v>271928.84259161429</v>
      </c>
      <c r="H87" s="38">
        <f>H84*H$31</f>
        <v>109637.80079561732</v>
      </c>
      <c r="I87" s="38">
        <f>I84*I$31</f>
        <v>571050.56944239</v>
      </c>
      <c r="J87" s="38">
        <f>J84*J$31</f>
        <v>76746.460556932128</v>
      </c>
    </row>
    <row r="88" spans="2:12" x14ac:dyDescent="0.2">
      <c r="G88" s="4"/>
      <c r="H88" s="4"/>
      <c r="I88" s="4"/>
      <c r="J88" s="4"/>
    </row>
    <row r="89" spans="2:12" x14ac:dyDescent="0.2">
      <c r="G89" s="4" t="s">
        <v>196</v>
      </c>
      <c r="H89" s="4" t="s">
        <v>196</v>
      </c>
      <c r="I89" s="4" t="s">
        <v>196</v>
      </c>
      <c r="J89" s="4" t="s">
        <v>196</v>
      </c>
      <c r="L89" t="s">
        <v>214</v>
      </c>
    </row>
    <row r="90" spans="2:12" x14ac:dyDescent="0.2">
      <c r="B90" s="23" t="s">
        <v>82</v>
      </c>
      <c r="C90" s="19" t="b">
        <v>1</v>
      </c>
      <c r="D90" s="19" t="s">
        <v>83</v>
      </c>
      <c r="E90" s="19" t="s">
        <v>13</v>
      </c>
      <c r="F90" s="19" t="s">
        <v>44</v>
      </c>
      <c r="G90" s="19">
        <f>'linear regressions counts'!M43</f>
        <v>6.7506893569518861E-2</v>
      </c>
      <c r="H90" s="19">
        <f>'linear regressions counts'!M66</f>
        <v>5.5539298723601756E-2</v>
      </c>
      <c r="I90" s="19">
        <f>'linear regressions counts'!M43</f>
        <v>6.7506893569518861E-2</v>
      </c>
      <c r="J90" s="19">
        <f>'linear regressions counts'!M66</f>
        <v>5.5539298723601756E-2</v>
      </c>
    </row>
    <row r="91" spans="2:12" x14ac:dyDescent="0.2">
      <c r="B91" s="19" t="s">
        <v>82</v>
      </c>
      <c r="C91" s="19" t="b">
        <v>1</v>
      </c>
      <c r="D91" s="19" t="s">
        <v>85</v>
      </c>
      <c r="E91" s="19" t="s">
        <v>8</v>
      </c>
      <c r="F91" s="19" t="s">
        <v>84</v>
      </c>
      <c r="G91" s="19">
        <v>4373730</v>
      </c>
      <c r="H91" s="19">
        <v>4373730</v>
      </c>
      <c r="I91" s="19">
        <v>4373730</v>
      </c>
      <c r="J91" s="19">
        <v>4373730</v>
      </c>
    </row>
    <row r="92" spans="2:12" x14ac:dyDescent="0.2">
      <c r="B92" s="19" t="s">
        <v>82</v>
      </c>
      <c r="C92" s="19" t="b">
        <v>1</v>
      </c>
      <c r="D92" s="19" t="s">
        <v>86</v>
      </c>
      <c r="E92" s="19" t="s">
        <v>13</v>
      </c>
      <c r="F92" s="19" t="s">
        <v>87</v>
      </c>
      <c r="G92" s="20">
        <f>(G90*G$79)/(G91*G$42*10^9)</f>
        <v>14299.923031581789</v>
      </c>
      <c r="H92" s="20">
        <f>(H90*H$79)/(H91*H$42*10^9)</f>
        <v>11764.838448056504</v>
      </c>
      <c r="I92" s="20">
        <f>(I90*I$79)/(I91*I$42*10^9)</f>
        <v>14299.923031581789</v>
      </c>
      <c r="J92" s="20">
        <f>(J90*J$79)/(J91*J$42*10^9)</f>
        <v>11764.838448056504</v>
      </c>
    </row>
    <row r="93" spans="2:12" x14ac:dyDescent="0.2">
      <c r="B93" s="19" t="s">
        <v>82</v>
      </c>
      <c r="C93" s="19" t="b">
        <v>1</v>
      </c>
      <c r="D93" s="19" t="s">
        <v>95</v>
      </c>
      <c r="E93" s="19" t="s">
        <v>13</v>
      </c>
      <c r="F93" s="19" t="s">
        <v>96</v>
      </c>
      <c r="G93" s="19">
        <f>G92/G$34</f>
        <v>2859.9846063163577</v>
      </c>
      <c r="H93" s="19">
        <f>H92/H$34</f>
        <v>2471.604715978257</v>
      </c>
      <c r="I93" s="19">
        <f>I92/I$34</f>
        <v>2859.9846063163577</v>
      </c>
      <c r="J93" s="19">
        <f>J92/J$34</f>
        <v>2471.604715978257</v>
      </c>
    </row>
    <row r="94" spans="2:12" x14ac:dyDescent="0.2">
      <c r="B94" s="19" t="s">
        <v>82</v>
      </c>
      <c r="C94" s="19" t="b">
        <v>1</v>
      </c>
      <c r="D94" s="19" t="s">
        <v>98</v>
      </c>
      <c r="E94" s="19" t="s">
        <v>13</v>
      </c>
      <c r="F94" s="19" t="s">
        <v>99</v>
      </c>
      <c r="G94" s="33">
        <f>G93*10^9</f>
        <v>2859984606316.3579</v>
      </c>
      <c r="H94" s="33">
        <f>H93*10^9</f>
        <v>2471604715978.2568</v>
      </c>
      <c r="I94" s="33">
        <f>I93*10^9</f>
        <v>2859984606316.3579</v>
      </c>
      <c r="J94" s="33">
        <f>J93*10^9</f>
        <v>2471604715978.2568</v>
      </c>
    </row>
    <row r="95" spans="2:12" x14ac:dyDescent="0.2">
      <c r="B95" s="19" t="s">
        <v>82</v>
      </c>
      <c r="C95" s="19" t="b">
        <v>1</v>
      </c>
      <c r="D95" s="19" t="s">
        <v>101</v>
      </c>
      <c r="E95" s="19" t="s">
        <v>13</v>
      </c>
      <c r="F95" s="19" t="s">
        <v>102</v>
      </c>
      <c r="G95" s="39">
        <f>G94*G$29</f>
        <v>20553974.733352304</v>
      </c>
      <c r="H95" s="39">
        <f>H94*H$29</f>
        <v>11732952.009540385</v>
      </c>
      <c r="I95" s="39">
        <f>I94*I$29</f>
        <v>43163346.940039828</v>
      </c>
      <c r="J95" s="39">
        <f>J94*J$29</f>
        <v>8213066.4066782696</v>
      </c>
    </row>
    <row r="96" spans="2:12" x14ac:dyDescent="0.2">
      <c r="B96" s="19" t="s">
        <v>82</v>
      </c>
      <c r="C96" s="19" t="b">
        <v>1</v>
      </c>
      <c r="D96" s="19" t="s">
        <v>270</v>
      </c>
      <c r="E96" s="19" t="s">
        <v>13</v>
      </c>
      <c r="F96" s="19" t="s">
        <v>271</v>
      </c>
      <c r="G96" s="39">
        <f>G94*G$30</f>
        <v>2859.9846063163582</v>
      </c>
      <c r="H96" s="39">
        <f>H94*H$30</f>
        <v>2306.8310682463734</v>
      </c>
      <c r="I96" s="39">
        <f>I94*I$30</f>
        <v>6005.967673264352</v>
      </c>
      <c r="J96" s="39">
        <f>J94*J$30</f>
        <v>1614.7817477724611</v>
      </c>
    </row>
    <row r="97" spans="2:12" x14ac:dyDescent="0.2">
      <c r="B97" s="19" t="s">
        <v>82</v>
      </c>
      <c r="C97" s="19" t="b">
        <v>1</v>
      </c>
      <c r="D97" s="19" t="s">
        <v>272</v>
      </c>
      <c r="E97" s="19" t="s">
        <v>13</v>
      </c>
      <c r="F97" s="19" t="s">
        <v>273</v>
      </c>
      <c r="G97" s="39">
        <f>G94*G$31</f>
        <v>142999.2303158179</v>
      </c>
      <c r="H97" s="39">
        <f>H94*H$31</f>
        <v>57670.776706159326</v>
      </c>
      <c r="I97" s="39">
        <f>I94*I$31</f>
        <v>300298.3836632176</v>
      </c>
      <c r="J97" s="39">
        <f>J94*J$31</f>
        <v>40369.543694311527</v>
      </c>
    </row>
    <row r="98" spans="2:12" x14ac:dyDescent="0.2">
      <c r="G98" s="4"/>
      <c r="H98" s="4"/>
      <c r="I98" s="4"/>
      <c r="J98" s="4"/>
    </row>
    <row r="99" spans="2:12" x14ac:dyDescent="0.2">
      <c r="G99" s="4" t="s">
        <v>200</v>
      </c>
      <c r="H99" s="4" t="s">
        <v>200</v>
      </c>
      <c r="I99" s="4" t="s">
        <v>200</v>
      </c>
      <c r="J99" s="4" t="s">
        <v>200</v>
      </c>
      <c r="L99" t="s">
        <v>214</v>
      </c>
    </row>
    <row r="100" spans="2:12" x14ac:dyDescent="0.2">
      <c r="B100" s="16" t="s">
        <v>82</v>
      </c>
      <c r="C100" s="17" t="b">
        <v>1</v>
      </c>
      <c r="D100" s="17" t="s">
        <v>83</v>
      </c>
      <c r="E100" s="17" t="s">
        <v>13</v>
      </c>
      <c r="F100" s="17" t="s">
        <v>44</v>
      </c>
      <c r="G100" s="24">
        <f>'linear regressions counts'!M48</f>
        <v>5.5800097113146443E-4</v>
      </c>
      <c r="H100" s="24">
        <f>'linear regressions counts'!M71</f>
        <v>4.5576142039897643E-4</v>
      </c>
      <c r="I100" s="24">
        <f>'linear regressions counts'!M48</f>
        <v>5.5800097113146443E-4</v>
      </c>
      <c r="J100" s="24">
        <f>'linear regressions counts'!M71</f>
        <v>4.5576142039897643E-4</v>
      </c>
    </row>
    <row r="101" spans="2:12" x14ac:dyDescent="0.2">
      <c r="B101" s="18" t="s">
        <v>82</v>
      </c>
      <c r="C101" s="19" t="b">
        <v>1</v>
      </c>
      <c r="D101" s="19" t="s">
        <v>85</v>
      </c>
      <c r="E101" s="19" t="s">
        <v>8</v>
      </c>
      <c r="F101" s="19" t="s">
        <v>84</v>
      </c>
      <c r="G101" s="25">
        <v>89264</v>
      </c>
      <c r="H101" s="25">
        <v>89264</v>
      </c>
      <c r="I101" s="25">
        <v>89264</v>
      </c>
      <c r="J101" s="25">
        <v>89264</v>
      </c>
    </row>
    <row r="102" spans="2:12" x14ac:dyDescent="0.2">
      <c r="B102" s="18" t="s">
        <v>82</v>
      </c>
      <c r="C102" s="19" t="b">
        <v>1</v>
      </c>
      <c r="D102" s="19" t="s">
        <v>86</v>
      </c>
      <c r="E102" s="19" t="s">
        <v>13</v>
      </c>
      <c r="F102" s="19" t="s">
        <v>87</v>
      </c>
      <c r="G102" s="20">
        <f>(G100*G$79)/(G101*G$42*10^9)</f>
        <v>5791.5679546416768</v>
      </c>
      <c r="H102" s="20">
        <f>(H100*H$79)/(H101*H$42*10^9)</f>
        <v>4730.4097553672618</v>
      </c>
      <c r="I102" s="20">
        <f>(I100*I$79)/(I101*I$42*10^9)</f>
        <v>5791.5679546416768</v>
      </c>
      <c r="J102" s="20">
        <f>(J100*J$79)/(J101*J$42*10^9)</f>
        <v>4730.4097553672618</v>
      </c>
    </row>
    <row r="103" spans="2:12" x14ac:dyDescent="0.2">
      <c r="B103" s="18" t="s">
        <v>82</v>
      </c>
      <c r="C103" s="19" t="b">
        <v>1</v>
      </c>
      <c r="D103" s="19" t="s">
        <v>95</v>
      </c>
      <c r="E103" s="19" t="s">
        <v>13</v>
      </c>
      <c r="F103" s="19" t="s">
        <v>96</v>
      </c>
      <c r="G103" s="25">
        <f>G102/G$34</f>
        <v>1158.3135909283353</v>
      </c>
      <c r="H103" s="25">
        <f>H102/H$34</f>
        <v>993.78356205194575</v>
      </c>
      <c r="I103" s="25">
        <f>I102/I$34</f>
        <v>1158.3135909283353</v>
      </c>
      <c r="J103" s="25">
        <f>J102/J$34</f>
        <v>993.78356205194575</v>
      </c>
    </row>
    <row r="104" spans="2:12" x14ac:dyDescent="0.2">
      <c r="B104" s="18" t="s">
        <v>82</v>
      </c>
      <c r="C104" s="19" t="b">
        <v>1</v>
      </c>
      <c r="D104" s="19" t="s">
        <v>98</v>
      </c>
      <c r="E104" s="19" t="s">
        <v>13</v>
      </c>
      <c r="F104" s="19" t="s">
        <v>99</v>
      </c>
      <c r="G104" s="41">
        <f>G103*10^9</f>
        <v>1158313590928.3352</v>
      </c>
      <c r="H104" s="41">
        <f>H103*10^9</f>
        <v>993783562051.9458</v>
      </c>
      <c r="I104" s="41">
        <f>I103*10^9</f>
        <v>1158313590928.3352</v>
      </c>
      <c r="J104" s="41">
        <f>J103*10^9</f>
        <v>993783562051.9458</v>
      </c>
    </row>
    <row r="105" spans="2:12" x14ac:dyDescent="0.2">
      <c r="B105" s="18" t="s">
        <v>82</v>
      </c>
      <c r="C105" s="19" t="b">
        <v>1</v>
      </c>
      <c r="D105" s="19" t="s">
        <v>101</v>
      </c>
      <c r="E105" s="19" t="s">
        <v>13</v>
      </c>
      <c r="F105" s="19" t="s">
        <v>102</v>
      </c>
      <c r="G105" s="47">
        <f>G104*G$29</f>
        <v>8324502.2468509236</v>
      </c>
      <c r="H105" s="47">
        <f>H104*H$29</f>
        <v>4717588.8466496002</v>
      </c>
      <c r="I105" s="47">
        <f>I104*I$29</f>
        <v>17481454.718386941</v>
      </c>
      <c r="J105" s="47">
        <f>J104*J$29</f>
        <v>3302312.1926547205</v>
      </c>
    </row>
    <row r="106" spans="2:12" x14ac:dyDescent="0.2">
      <c r="B106" s="18" t="s">
        <v>82</v>
      </c>
      <c r="C106" s="19" t="b">
        <v>1</v>
      </c>
      <c r="D106" s="19" t="s">
        <v>270</v>
      </c>
      <c r="E106" s="19" t="s">
        <v>13</v>
      </c>
      <c r="F106" s="19" t="s">
        <v>271</v>
      </c>
      <c r="G106" s="39">
        <f>G104*G$30</f>
        <v>1158.3135909283353</v>
      </c>
      <c r="H106" s="39">
        <f>H104*H$30</f>
        <v>927.53132458181619</v>
      </c>
      <c r="I106" s="39">
        <f>I104*I$30</f>
        <v>2432.4585409495044</v>
      </c>
      <c r="J106" s="39">
        <f>J104*J$30</f>
        <v>649.27192720727123</v>
      </c>
    </row>
    <row r="107" spans="2:12" x14ac:dyDescent="0.2">
      <c r="B107" s="21" t="s">
        <v>82</v>
      </c>
      <c r="C107" s="22" t="b">
        <v>1</v>
      </c>
      <c r="D107" s="22" t="s">
        <v>272</v>
      </c>
      <c r="E107" s="22" t="s">
        <v>13</v>
      </c>
      <c r="F107" s="22" t="s">
        <v>273</v>
      </c>
      <c r="G107" s="38">
        <f>G104*G$31</f>
        <v>57915.679546416766</v>
      </c>
      <c r="H107" s="38">
        <f>H104*H$31</f>
        <v>23188.283114545404</v>
      </c>
      <c r="I107" s="38">
        <f>I104*I$31</f>
        <v>121622.9270474752</v>
      </c>
      <c r="J107" s="38">
        <f>J104*J$31</f>
        <v>16231.798180181782</v>
      </c>
    </row>
    <row r="109" spans="2:12" x14ac:dyDescent="0.2">
      <c r="G109" s="3"/>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DD12-9F50-4C4C-88FA-79E5E161A3E2}">
  <dimension ref="A1:M146"/>
  <sheetViews>
    <sheetView topLeftCell="A10" workbookViewId="0">
      <selection activeCell="K12" sqref="K12"/>
    </sheetView>
  </sheetViews>
  <sheetFormatPr baseColWidth="10" defaultRowHeight="16" x14ac:dyDescent="0.2"/>
  <cols>
    <col min="11" max="11" width="23.6640625" customWidth="1"/>
  </cols>
  <sheetData>
    <row r="1" spans="1:10" x14ac:dyDescent="0.2">
      <c r="A1" t="s">
        <v>241</v>
      </c>
    </row>
    <row r="2" spans="1:10" x14ac:dyDescent="0.2">
      <c r="A2" t="s">
        <v>157</v>
      </c>
    </row>
    <row r="3" spans="1:10" x14ac:dyDescent="0.2">
      <c r="A3" t="s">
        <v>156</v>
      </c>
    </row>
    <row r="4" spans="1:10" x14ac:dyDescent="0.2">
      <c r="A4" t="s">
        <v>158</v>
      </c>
    </row>
    <row r="5" spans="1:10" x14ac:dyDescent="0.2">
      <c r="A5" t="s">
        <v>159</v>
      </c>
    </row>
    <row r="6" spans="1:10" x14ac:dyDescent="0.2">
      <c r="A6" t="s">
        <v>161</v>
      </c>
    </row>
    <row r="7" spans="1:10" x14ac:dyDescent="0.2">
      <c r="A7" t="s">
        <v>160</v>
      </c>
    </row>
    <row r="8" spans="1:10" x14ac:dyDescent="0.2">
      <c r="A8" t="s">
        <v>174</v>
      </c>
    </row>
    <row r="9" spans="1:10" x14ac:dyDescent="0.2">
      <c r="A9" t="s">
        <v>175</v>
      </c>
    </row>
    <row r="10" spans="1:10" x14ac:dyDescent="0.2">
      <c r="A10" t="s">
        <v>162</v>
      </c>
    </row>
    <row r="11" spans="1:10" x14ac:dyDescent="0.2">
      <c r="A11" t="s">
        <v>163</v>
      </c>
    </row>
    <row r="12" spans="1:10" x14ac:dyDescent="0.2">
      <c r="A12" t="s">
        <v>164</v>
      </c>
    </row>
    <row r="13" spans="1:10" x14ac:dyDescent="0.2">
      <c r="A13" t="s">
        <v>165</v>
      </c>
    </row>
    <row r="15" spans="1:10" x14ac:dyDescent="0.2">
      <c r="A15" t="s">
        <v>155</v>
      </c>
    </row>
    <row r="16" spans="1:10" x14ac:dyDescent="0.2">
      <c r="A16" t="s">
        <v>118</v>
      </c>
      <c r="B16" t="s">
        <v>119</v>
      </c>
      <c r="C16" t="s">
        <v>120</v>
      </c>
      <c r="D16" t="s">
        <v>121</v>
      </c>
      <c r="E16" t="s">
        <v>319</v>
      </c>
      <c r="F16" t="s">
        <v>123</v>
      </c>
      <c r="G16" t="s">
        <v>124</v>
      </c>
      <c r="H16" t="s">
        <v>125</v>
      </c>
      <c r="I16" t="s">
        <v>235</v>
      </c>
      <c r="J16" t="s">
        <v>152</v>
      </c>
    </row>
    <row r="17" spans="1:12" x14ac:dyDescent="0.2">
      <c r="A17" t="s">
        <v>107</v>
      </c>
      <c r="B17" t="s">
        <v>108</v>
      </c>
      <c r="C17">
        <v>93135</v>
      </c>
      <c r="D17">
        <v>3216923</v>
      </c>
      <c r="E17">
        <v>0.25</v>
      </c>
      <c r="F17">
        <v>1</v>
      </c>
      <c r="G17">
        <f>F17/(2*(1+0.1+0.01+0.001+0.0001))</f>
        <v>0.45000450004500048</v>
      </c>
      <c r="H17">
        <f>E17*G17</f>
        <v>0.11250112501125012</v>
      </c>
      <c r="I17">
        <f>LOG10(C17)</f>
        <v>4.9691129189016641</v>
      </c>
      <c r="J17" s="2">
        <f>LOG10(H17)</f>
        <v>-0.94884313458608482</v>
      </c>
      <c r="K17" s="2"/>
      <c r="L17" s="2"/>
    </row>
    <row r="18" spans="1:12"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LOG10(C18)</f>
        <v>4.181557773862786</v>
      </c>
      <c r="J18" s="2">
        <f t="shared" ref="J18:J36" si="3">LOG10(H18)</f>
        <v>-1.9488431345860848</v>
      </c>
    </row>
    <row r="19" spans="1:12" x14ac:dyDescent="0.2">
      <c r="A19" t="s">
        <v>110</v>
      </c>
      <c r="B19" t="s">
        <v>108</v>
      </c>
      <c r="C19">
        <v>2447</v>
      </c>
      <c r="D19">
        <v>3216923</v>
      </c>
      <c r="E19">
        <v>0.25</v>
      </c>
      <c r="F19">
        <v>0.01</v>
      </c>
      <c r="G19">
        <f t="shared" si="0"/>
        <v>4.5000450004500049E-3</v>
      </c>
      <c r="H19">
        <f t="shared" si="1"/>
        <v>1.1250112501125012E-3</v>
      </c>
      <c r="I19">
        <f t="shared" si="2"/>
        <v>3.3886339693517891</v>
      </c>
      <c r="J19" s="2">
        <f t="shared" si="3"/>
        <v>-2.9488431345860846</v>
      </c>
    </row>
    <row r="20" spans="1:12" x14ac:dyDescent="0.2">
      <c r="A20" t="s">
        <v>111</v>
      </c>
      <c r="B20" t="s">
        <v>108</v>
      </c>
      <c r="C20">
        <v>308</v>
      </c>
      <c r="D20">
        <v>3216923</v>
      </c>
      <c r="E20">
        <v>0.25</v>
      </c>
      <c r="F20">
        <v>1E-3</v>
      </c>
      <c r="G20">
        <f t="shared" si="0"/>
        <v>4.5000450004500047E-4</v>
      </c>
      <c r="H20">
        <f t="shared" si="1"/>
        <v>1.1250112501125012E-4</v>
      </c>
      <c r="I20">
        <f t="shared" si="2"/>
        <v>2.4885507165004443</v>
      </c>
      <c r="J20" s="2">
        <f t="shared" si="3"/>
        <v>-3.9488431345860846</v>
      </c>
    </row>
    <row r="21" spans="1:12" x14ac:dyDescent="0.2">
      <c r="A21" t="s">
        <v>153</v>
      </c>
      <c r="B21" t="s">
        <v>108</v>
      </c>
      <c r="C21">
        <v>77</v>
      </c>
      <c r="D21">
        <v>3216923</v>
      </c>
      <c r="E21">
        <v>0.25</v>
      </c>
      <c r="F21">
        <v>1E-4</v>
      </c>
      <c r="G21">
        <f t="shared" si="0"/>
        <v>4.5000450004500049E-5</v>
      </c>
      <c r="H21">
        <f>E21*G21</f>
        <v>1.1250112501125012E-5</v>
      </c>
      <c r="I21">
        <f t="shared" si="2"/>
        <v>1.8864907251724818</v>
      </c>
      <c r="J21" s="2">
        <f>LOG10(H21)</f>
        <v>-4.9488431345860846</v>
      </c>
    </row>
    <row r="22" spans="1:12" x14ac:dyDescent="0.2">
      <c r="A22" t="s">
        <v>112</v>
      </c>
      <c r="B22" t="s">
        <v>108</v>
      </c>
      <c r="C22">
        <v>149</v>
      </c>
      <c r="D22">
        <v>3216923</v>
      </c>
      <c r="E22">
        <v>0.25</v>
      </c>
      <c r="F22">
        <v>1E-4</v>
      </c>
      <c r="G22">
        <f t="shared" si="0"/>
        <v>4.5000450004500049E-5</v>
      </c>
      <c r="H22">
        <f t="shared" si="1"/>
        <v>1.1250112501125012E-5</v>
      </c>
      <c r="I22">
        <f t="shared" si="2"/>
        <v>2.173186268412274</v>
      </c>
      <c r="J22" s="2">
        <f t="shared" si="3"/>
        <v>-4.9488431345860846</v>
      </c>
    </row>
    <row r="23" spans="1:12" x14ac:dyDescent="0.2">
      <c r="A23" t="s">
        <v>113</v>
      </c>
      <c r="B23" t="s">
        <v>108</v>
      </c>
      <c r="C23">
        <v>1075</v>
      </c>
      <c r="D23">
        <v>3216923</v>
      </c>
      <c r="E23">
        <v>0.25</v>
      </c>
      <c r="F23">
        <v>1E-3</v>
      </c>
      <c r="G23">
        <f t="shared" si="0"/>
        <v>4.5000450004500047E-4</v>
      </c>
      <c r="H23">
        <f t="shared" si="1"/>
        <v>1.1250112501125012E-4</v>
      </c>
      <c r="I23">
        <f t="shared" si="2"/>
        <v>3.0314084642516241</v>
      </c>
      <c r="J23" s="2">
        <f t="shared" si="3"/>
        <v>-3.9488431345860846</v>
      </c>
    </row>
    <row r="24" spans="1:12" x14ac:dyDescent="0.2">
      <c r="A24" t="s">
        <v>114</v>
      </c>
      <c r="B24" t="s">
        <v>108</v>
      </c>
      <c r="C24">
        <v>3189</v>
      </c>
      <c r="D24">
        <v>3216923</v>
      </c>
      <c r="E24">
        <v>0.25</v>
      </c>
      <c r="F24">
        <v>0.01</v>
      </c>
      <c r="G24">
        <f t="shared" si="0"/>
        <v>4.5000450004500049E-3</v>
      </c>
      <c r="H24">
        <f t="shared" si="1"/>
        <v>1.1250112501125012E-3</v>
      </c>
      <c r="I24">
        <f t="shared" si="2"/>
        <v>3.5036545192429593</v>
      </c>
      <c r="J24" s="2">
        <f t="shared" si="3"/>
        <v>-2.9488431345860846</v>
      </c>
    </row>
    <row r="25" spans="1:12" x14ac:dyDescent="0.2">
      <c r="A25" t="s">
        <v>115</v>
      </c>
      <c r="B25" t="s">
        <v>108</v>
      </c>
      <c r="C25">
        <v>25347</v>
      </c>
      <c r="D25">
        <v>3216923</v>
      </c>
      <c r="E25">
        <v>0.25</v>
      </c>
      <c r="F25">
        <v>0.1</v>
      </c>
      <c r="G25">
        <f t="shared" si="0"/>
        <v>4.5000450004500051E-2</v>
      </c>
      <c r="H25">
        <f t="shared" si="1"/>
        <v>1.1250112501125013E-2</v>
      </c>
      <c r="I25">
        <f t="shared" si="2"/>
        <v>4.4039265648312682</v>
      </c>
      <c r="J25" s="2">
        <f t="shared" si="3"/>
        <v>-1.9488431345860848</v>
      </c>
    </row>
    <row r="26" spans="1:12" x14ac:dyDescent="0.2">
      <c r="A26" t="s">
        <v>116</v>
      </c>
      <c r="B26" t="s">
        <v>108</v>
      </c>
      <c r="C26">
        <v>237329</v>
      </c>
      <c r="D26">
        <v>3216923</v>
      </c>
      <c r="E26">
        <v>0.25</v>
      </c>
      <c r="F26">
        <v>1</v>
      </c>
      <c r="G26">
        <f t="shared" si="0"/>
        <v>0.45000450004500048</v>
      </c>
      <c r="H26">
        <f t="shared" si="1"/>
        <v>0.11250112501125012</v>
      </c>
      <c r="I26">
        <f t="shared" si="2"/>
        <v>5.3753508093107225</v>
      </c>
      <c r="J26" s="2">
        <f t="shared" si="3"/>
        <v>-0.94884313458608482</v>
      </c>
    </row>
    <row r="27" spans="1:12" x14ac:dyDescent="0.2">
      <c r="A27" t="s">
        <v>107</v>
      </c>
      <c r="B27" t="s">
        <v>117</v>
      </c>
      <c r="C27">
        <v>90897</v>
      </c>
      <c r="D27">
        <v>1723417</v>
      </c>
      <c r="E27">
        <v>0.2</v>
      </c>
      <c r="F27">
        <v>1</v>
      </c>
      <c r="G27">
        <f t="shared" si="0"/>
        <v>0.45000450004500048</v>
      </c>
      <c r="H27">
        <f t="shared" si="1"/>
        <v>9.0000900009000101E-2</v>
      </c>
      <c r="I27">
        <f t="shared" si="2"/>
        <v>4.958549549834224</v>
      </c>
      <c r="J27" s="2">
        <f t="shared" si="3"/>
        <v>-1.0457531475941411</v>
      </c>
    </row>
    <row r="28" spans="1:12" x14ac:dyDescent="0.2">
      <c r="A28" t="s">
        <v>109</v>
      </c>
      <c r="B28" t="s">
        <v>117</v>
      </c>
      <c r="C28">
        <v>15002</v>
      </c>
      <c r="D28">
        <v>1723417</v>
      </c>
      <c r="E28">
        <v>0.2</v>
      </c>
      <c r="F28">
        <v>0.1</v>
      </c>
      <c r="G28">
        <f t="shared" si="0"/>
        <v>4.5000450004500051E-2</v>
      </c>
      <c r="H28">
        <f t="shared" si="1"/>
        <v>9.0000900009000098E-3</v>
      </c>
      <c r="I28">
        <f t="shared" si="2"/>
        <v>4.1761491611265491</v>
      </c>
      <c r="J28" s="2">
        <f t="shared" si="3"/>
        <v>-2.0457531475941413</v>
      </c>
    </row>
    <row r="29" spans="1:12" x14ac:dyDescent="0.2">
      <c r="A29" t="s">
        <v>110</v>
      </c>
      <c r="B29" t="s">
        <v>117</v>
      </c>
      <c r="C29">
        <v>2421</v>
      </c>
      <c r="D29">
        <v>1723417</v>
      </c>
      <c r="E29">
        <v>0.2</v>
      </c>
      <c r="F29">
        <v>0.01</v>
      </c>
      <c r="G29">
        <f t="shared" si="0"/>
        <v>4.5000450004500049E-3</v>
      </c>
      <c r="H29">
        <f t="shared" si="1"/>
        <v>9.0000900009000104E-4</v>
      </c>
      <c r="I29">
        <f t="shared" si="2"/>
        <v>3.3839947894417328</v>
      </c>
      <c r="J29" s="2">
        <f t="shared" si="3"/>
        <v>-3.0457531475941413</v>
      </c>
    </row>
    <row r="30" spans="1:12" x14ac:dyDescent="0.2">
      <c r="A30" t="s">
        <v>111</v>
      </c>
      <c r="B30" t="s">
        <v>117</v>
      </c>
      <c r="C30">
        <v>296</v>
      </c>
      <c r="D30">
        <v>1723417</v>
      </c>
      <c r="E30">
        <v>0.2</v>
      </c>
      <c r="F30">
        <v>1E-3</v>
      </c>
      <c r="G30">
        <f t="shared" si="0"/>
        <v>4.5000450004500047E-4</v>
      </c>
      <c r="H30">
        <f t="shared" si="1"/>
        <v>9.0000900009000099E-5</v>
      </c>
      <c r="I30">
        <f t="shared" si="2"/>
        <v>2.4712917110589387</v>
      </c>
      <c r="J30" s="2">
        <f t="shared" si="3"/>
        <v>-4.0457531475941408</v>
      </c>
    </row>
    <row r="31" spans="1:12" x14ac:dyDescent="0.2">
      <c r="A31" t="s">
        <v>153</v>
      </c>
      <c r="B31" t="s">
        <v>117</v>
      </c>
      <c r="C31">
        <v>77</v>
      </c>
      <c r="D31">
        <v>1723417</v>
      </c>
      <c r="E31">
        <v>0.2</v>
      </c>
      <c r="F31">
        <v>1E-4</v>
      </c>
      <c r="G31">
        <f t="shared" si="0"/>
        <v>4.5000450004500049E-5</v>
      </c>
      <c r="H31">
        <f>E31*G31</f>
        <v>9.0000900009000095E-6</v>
      </c>
      <c r="I31">
        <f t="shared" si="2"/>
        <v>1.8864907251724818</v>
      </c>
      <c r="J31" s="2">
        <f>LOG10(H31)</f>
        <v>-5.0457531475941408</v>
      </c>
    </row>
    <row r="32" spans="1:12" x14ac:dyDescent="0.2">
      <c r="A32" t="s">
        <v>112</v>
      </c>
      <c r="B32" t="s">
        <v>117</v>
      </c>
      <c r="C32">
        <v>148</v>
      </c>
      <c r="D32">
        <v>1723417</v>
      </c>
      <c r="E32">
        <v>0.2</v>
      </c>
      <c r="F32">
        <v>1E-4</v>
      </c>
      <c r="G32">
        <f t="shared" si="0"/>
        <v>4.5000450004500049E-5</v>
      </c>
      <c r="H32">
        <f t="shared" si="1"/>
        <v>9.0000900009000095E-6</v>
      </c>
      <c r="I32">
        <f t="shared" si="2"/>
        <v>2.1702617153949575</v>
      </c>
      <c r="J32" s="2">
        <f t="shared" si="3"/>
        <v>-5.0457531475941408</v>
      </c>
    </row>
    <row r="33" spans="1:13" x14ac:dyDescent="0.2">
      <c r="A33" t="s">
        <v>113</v>
      </c>
      <c r="B33" t="s">
        <v>117</v>
      </c>
      <c r="C33">
        <v>1059</v>
      </c>
      <c r="D33">
        <v>1723417</v>
      </c>
      <c r="E33">
        <v>0.2</v>
      </c>
      <c r="F33">
        <v>1E-3</v>
      </c>
      <c r="G33">
        <f t="shared" si="0"/>
        <v>4.5000450004500047E-4</v>
      </c>
      <c r="H33">
        <f t="shared" si="1"/>
        <v>9.0000900009000099E-5</v>
      </c>
      <c r="I33">
        <f t="shared" si="2"/>
        <v>3.024895960107485</v>
      </c>
      <c r="J33" s="2">
        <f t="shared" si="3"/>
        <v>-4.0457531475941408</v>
      </c>
    </row>
    <row r="34" spans="1:13" x14ac:dyDescent="0.2">
      <c r="A34" t="s">
        <v>114</v>
      </c>
      <c r="B34" t="s">
        <v>117</v>
      </c>
      <c r="C34">
        <v>3129</v>
      </c>
      <c r="D34">
        <v>1723417</v>
      </c>
      <c r="E34">
        <v>0.2</v>
      </c>
      <c r="F34">
        <v>0.01</v>
      </c>
      <c r="G34">
        <f t="shared" si="0"/>
        <v>4.5000450004500049E-3</v>
      </c>
      <c r="H34">
        <f t="shared" si="1"/>
        <v>9.0000900009000104E-4</v>
      </c>
      <c r="I34">
        <f t="shared" si="2"/>
        <v>3.4954055631461931</v>
      </c>
      <c r="J34" s="2">
        <f t="shared" si="3"/>
        <v>-3.0457531475941413</v>
      </c>
    </row>
    <row r="35" spans="1:13" x14ac:dyDescent="0.2">
      <c r="A35" t="s">
        <v>115</v>
      </c>
      <c r="B35" t="s">
        <v>117</v>
      </c>
      <c r="C35">
        <v>24856</v>
      </c>
      <c r="D35">
        <v>1723417</v>
      </c>
      <c r="E35">
        <v>0.2</v>
      </c>
      <c r="F35">
        <v>0.1</v>
      </c>
      <c r="G35">
        <f t="shared" si="0"/>
        <v>4.5000450004500051E-2</v>
      </c>
      <c r="H35">
        <f t="shared" si="1"/>
        <v>9.0000900009000098E-3</v>
      </c>
      <c r="I35">
        <f t="shared" si="2"/>
        <v>4.3954312402469178</v>
      </c>
      <c r="J35" s="2">
        <f t="shared" si="3"/>
        <v>-2.0457531475941413</v>
      </c>
    </row>
    <row r="36" spans="1:13" x14ac:dyDescent="0.2">
      <c r="A36" t="s">
        <v>116</v>
      </c>
      <c r="B36" t="s">
        <v>117</v>
      </c>
      <c r="C36">
        <v>230898</v>
      </c>
      <c r="D36">
        <v>1723417</v>
      </c>
      <c r="E36">
        <v>0.2</v>
      </c>
      <c r="F36">
        <v>1</v>
      </c>
      <c r="G36">
        <f t="shared" si="0"/>
        <v>0.45000450004500048</v>
      </c>
      <c r="H36">
        <f t="shared" si="1"/>
        <v>9.0000900009000101E-2</v>
      </c>
      <c r="I36">
        <f t="shared" si="2"/>
        <v>5.3634201711470348</v>
      </c>
      <c r="J36" s="2">
        <f t="shared" si="3"/>
        <v>-1.0457531475941411</v>
      </c>
    </row>
    <row r="38" spans="1:13" x14ac:dyDescent="0.2">
      <c r="A38" t="s">
        <v>236</v>
      </c>
    </row>
    <row r="39" spans="1:13" x14ac:dyDescent="0.2">
      <c r="A39" t="s">
        <v>238</v>
      </c>
      <c r="K39" t="s">
        <v>246</v>
      </c>
    </row>
    <row r="40" spans="1:13" x14ac:dyDescent="0.2">
      <c r="A40" t="s">
        <v>126</v>
      </c>
      <c r="K40" t="s">
        <v>248</v>
      </c>
    </row>
    <row r="41" spans="1:13" ht="17" thickBot="1" x14ac:dyDescent="0.25">
      <c r="K41" t="str" cm="1">
        <f t="array" ref="K41:K54">syndna_saliva_analysis_ex1!D7:D20</f>
        <v>Species</v>
      </c>
      <c r="L41" t="str" cm="1">
        <f t="array" ref="L41:L54">syndna_saliva_analysis_ex1!E7:E20</f>
        <v>RawCounts</v>
      </c>
      <c r="M41" t="s">
        <v>247</v>
      </c>
    </row>
    <row r="42" spans="1:13" x14ac:dyDescent="0.2">
      <c r="A42" s="32" t="s">
        <v>127</v>
      </c>
      <c r="B42" s="32"/>
      <c r="K42" t="str">
        <v>Lactobacillus gasseri</v>
      </c>
      <c r="L42">
        <v>79950</v>
      </c>
      <c r="M42">
        <f t="shared" ref="M42:M54" si="4">10^($B$57*LOG10(L42)+$B$56)</f>
        <v>5.5906776314467152E-2</v>
      </c>
    </row>
    <row r="43" spans="1:13" x14ac:dyDescent="0.2">
      <c r="A43" t="s">
        <v>128</v>
      </c>
      <c r="B43">
        <v>0.98650309751565701</v>
      </c>
      <c r="K43" t="str">
        <v>Ruminococcus albus</v>
      </c>
      <c r="L43">
        <v>93024</v>
      </c>
      <c r="M43">
        <f t="shared" si="4"/>
        <v>6.7506893569518861E-2</v>
      </c>
    </row>
    <row r="44" spans="1:13" x14ac:dyDescent="0.2">
      <c r="A44" t="s">
        <v>129</v>
      </c>
      <c r="B44">
        <v>0.97318836140798681</v>
      </c>
      <c r="K44" t="str">
        <v>Escherichia coli</v>
      </c>
      <c r="L44">
        <v>86188</v>
      </c>
      <c r="M44">
        <f t="shared" si="4"/>
        <v>6.1387888964041307E-2</v>
      </c>
    </row>
    <row r="45" spans="1:13" x14ac:dyDescent="0.2">
      <c r="A45" t="s">
        <v>130</v>
      </c>
      <c r="B45">
        <v>0.96983690658398514</v>
      </c>
      <c r="K45" t="str">
        <v>Tyzzerella nexilis</v>
      </c>
      <c r="L45">
        <v>45441</v>
      </c>
      <c r="M45">
        <f t="shared" si="4"/>
        <v>2.7669949480603664E-2</v>
      </c>
    </row>
    <row r="46" spans="1:13" x14ac:dyDescent="0.2">
      <c r="A46" t="s">
        <v>131</v>
      </c>
      <c r="B46">
        <v>0.25889978076474535</v>
      </c>
      <c r="K46" t="str">
        <v>Prevotella sp. oral taxon 299</v>
      </c>
      <c r="L46">
        <v>31185</v>
      </c>
      <c r="M46">
        <f t="shared" si="4"/>
        <v>1.731683029216274E-2</v>
      </c>
    </row>
    <row r="47" spans="1:13" ht="17" thickBot="1" x14ac:dyDescent="0.25">
      <c r="A47" s="30" t="s">
        <v>132</v>
      </c>
      <c r="B47" s="30">
        <v>10</v>
      </c>
      <c r="K47" t="str">
        <v>Streptococcus mitis</v>
      </c>
      <c r="L47">
        <v>24929</v>
      </c>
      <c r="M47">
        <f t="shared" si="4"/>
        <v>1.3104350443761088E-2</v>
      </c>
    </row>
    <row r="48" spans="1:13" x14ac:dyDescent="0.2">
      <c r="K48" t="str">
        <v>Leptolyngbya valderiana</v>
      </c>
      <c r="L48">
        <v>1975</v>
      </c>
      <c r="M48">
        <f t="shared" si="4"/>
        <v>5.5800097113146443E-4</v>
      </c>
    </row>
    <row r="49" spans="1:13" ht="17" thickBot="1" x14ac:dyDescent="0.25">
      <c r="A49" t="s">
        <v>133</v>
      </c>
      <c r="K49" t="str">
        <v>Neisseria subflava</v>
      </c>
      <c r="L49">
        <v>26130</v>
      </c>
      <c r="M49">
        <f t="shared" si="4"/>
        <v>1.3894854164478233E-2</v>
      </c>
    </row>
    <row r="50" spans="1:13" x14ac:dyDescent="0.2">
      <c r="A50" s="31"/>
      <c r="B50" s="31" t="s">
        <v>138</v>
      </c>
      <c r="C50" s="31" t="s">
        <v>139</v>
      </c>
      <c r="D50" s="31" t="s">
        <v>140</v>
      </c>
      <c r="E50" s="31" t="s">
        <v>141</v>
      </c>
      <c r="F50" s="31" t="s">
        <v>142</v>
      </c>
      <c r="K50" t="str">
        <v>Neisseria flavescens</v>
      </c>
      <c r="L50">
        <v>22303</v>
      </c>
      <c r="M50">
        <f t="shared" si="4"/>
        <v>1.1408701284690223E-2</v>
      </c>
    </row>
    <row r="51" spans="1:13" x14ac:dyDescent="0.2">
      <c r="A51" t="s">
        <v>134</v>
      </c>
      <c r="B51">
        <v>1</v>
      </c>
      <c r="C51">
        <v>19.463767228159732</v>
      </c>
      <c r="D51">
        <v>19.463767228159732</v>
      </c>
      <c r="E51">
        <v>290.37788438574057</v>
      </c>
      <c r="F51">
        <v>1.4284435606597672E-7</v>
      </c>
      <c r="K51" t="str">
        <v>Fusobacterium periodonticum</v>
      </c>
      <c r="L51">
        <v>19783</v>
      </c>
      <c r="M51">
        <f t="shared" si="4"/>
        <v>9.8268443584452556E-3</v>
      </c>
    </row>
    <row r="52" spans="1:13" x14ac:dyDescent="0.2">
      <c r="A52" t="s">
        <v>135</v>
      </c>
      <c r="B52">
        <v>8</v>
      </c>
      <c r="C52">
        <v>0.53623277184026563</v>
      </c>
      <c r="D52">
        <v>6.7029096480033204E-2</v>
      </c>
      <c r="K52" t="str">
        <v>Streptococcus pneumoniae</v>
      </c>
      <c r="L52">
        <v>14478</v>
      </c>
      <c r="M52">
        <f t="shared" si="4"/>
        <v>6.6623779084662204E-3</v>
      </c>
    </row>
    <row r="53" spans="1:13" ht="17" thickBot="1" x14ac:dyDescent="0.25">
      <c r="A53" s="30" t="s">
        <v>136</v>
      </c>
      <c r="B53" s="30">
        <v>9</v>
      </c>
      <c r="C53" s="30">
        <v>19.999999999999996</v>
      </c>
      <c r="D53" s="30"/>
      <c r="E53" s="30"/>
      <c r="F53" s="30"/>
      <c r="K53" t="str">
        <v>Haemophilus influenzae</v>
      </c>
      <c r="L53">
        <v>12145</v>
      </c>
      <c r="M53">
        <f t="shared" si="4"/>
        <v>5.3534213285283943E-3</v>
      </c>
    </row>
    <row r="54" spans="1:13" ht="17" thickBot="1" x14ac:dyDescent="0.25">
      <c r="K54" t="str">
        <v>Veillonella dispar</v>
      </c>
      <c r="L54">
        <v>14609</v>
      </c>
      <c r="M54">
        <f t="shared" si="4"/>
        <v>6.7375052531226162E-3</v>
      </c>
    </row>
    <row r="55" spans="1:13" x14ac:dyDescent="0.2">
      <c r="A55" s="31"/>
      <c r="B55" s="31" t="s">
        <v>143</v>
      </c>
      <c r="C55" s="31" t="s">
        <v>131</v>
      </c>
      <c r="D55" s="31" t="s">
        <v>144</v>
      </c>
      <c r="E55" s="31" t="s">
        <v>145</v>
      </c>
      <c r="F55" s="31" t="s">
        <v>146</v>
      </c>
      <c r="G55" s="31" t="s">
        <v>147</v>
      </c>
      <c r="H55" s="31" t="s">
        <v>148</v>
      </c>
      <c r="I55" s="31" t="s">
        <v>149</v>
      </c>
    </row>
    <row r="56" spans="1:13" x14ac:dyDescent="0.2">
      <c r="A56" t="s">
        <v>137</v>
      </c>
      <c r="B56">
        <v>-7.3559391605484281</v>
      </c>
      <c r="C56">
        <v>0.27127453736340101</v>
      </c>
      <c r="D56">
        <v>-27.116216774500909</v>
      </c>
      <c r="E56">
        <v>3.6852336719780197E-9</v>
      </c>
      <c r="F56">
        <v>-7.9814993654840283</v>
      </c>
      <c r="G56">
        <v>-6.730378955612828</v>
      </c>
      <c r="H56">
        <v>-7.9814993654840283</v>
      </c>
      <c r="I56">
        <v>-6.730378955612828</v>
      </c>
    </row>
    <row r="57" spans="1:13" ht="17" thickBot="1" x14ac:dyDescent="0.25">
      <c r="A57" s="30" t="s">
        <v>166</v>
      </c>
      <c r="B57" s="30">
        <v>1.24487652379132</v>
      </c>
      <c r="C57" s="30">
        <v>7.30540855033502E-2</v>
      </c>
      <c r="D57" s="30">
        <v>17.040477821520749</v>
      </c>
      <c r="E57" s="44">
        <v>1.4284435606597701E-7</v>
      </c>
      <c r="F57" s="30">
        <v>1.0764135005270346</v>
      </c>
      <c r="G57" s="30">
        <v>1.4133395470556032</v>
      </c>
      <c r="H57" s="30">
        <v>1.0764135005270346</v>
      </c>
      <c r="I57" s="30">
        <v>1.4133395470556032</v>
      </c>
    </row>
    <row r="62" spans="1:13" x14ac:dyDescent="0.2">
      <c r="A62" t="s">
        <v>237</v>
      </c>
      <c r="K62" t="s">
        <v>250</v>
      </c>
    </row>
    <row r="63" spans="1:13" x14ac:dyDescent="0.2">
      <c r="A63" t="s">
        <v>126</v>
      </c>
      <c r="K63" t="s">
        <v>249</v>
      </c>
    </row>
    <row r="64" spans="1:13" ht="17" thickBot="1" x14ac:dyDescent="0.25">
      <c r="K64" t="str" cm="1">
        <f t="array" ref="K64:K77">syndna_saliva_analysis_ex1!D7:D20</f>
        <v>Species</v>
      </c>
      <c r="L64" t="s">
        <v>182</v>
      </c>
      <c r="M64" t="s">
        <v>247</v>
      </c>
    </row>
    <row r="65" spans="1:13" x14ac:dyDescent="0.2">
      <c r="A65" s="32" t="s">
        <v>127</v>
      </c>
      <c r="B65" s="32"/>
      <c r="K65" t="str">
        <v>Lactobacillus gasseri</v>
      </c>
      <c r="L65">
        <v>79951</v>
      </c>
      <c r="M65">
        <f>10^($B$80*LOG10(L65)+$B$79)</f>
        <v>4.5983249626623479E-2</v>
      </c>
    </row>
    <row r="66" spans="1:13" x14ac:dyDescent="0.2">
      <c r="A66" t="s">
        <v>128</v>
      </c>
      <c r="B66">
        <v>0.98632417973563302</v>
      </c>
      <c r="K66" t="str">
        <v>Ruminococcus albus</v>
      </c>
      <c r="L66">
        <v>93024</v>
      </c>
      <c r="M66">
        <f t="shared" ref="M66:M77" si="5">10^($B$80*LOG10(L66)+$B$79)</f>
        <v>5.5539298723601756E-2</v>
      </c>
    </row>
    <row r="67" spans="1:13" x14ac:dyDescent="0.2">
      <c r="A67" t="s">
        <v>129</v>
      </c>
      <c r="B67">
        <v>0.9728353875311686</v>
      </c>
      <c r="K67" t="str">
        <v>Escherichia coli</v>
      </c>
      <c r="L67">
        <v>86188</v>
      </c>
      <c r="M67">
        <f t="shared" si="5"/>
        <v>5.0497812064730196E-2</v>
      </c>
    </row>
    <row r="68" spans="1:13" x14ac:dyDescent="0.2">
      <c r="A68" t="s">
        <v>130</v>
      </c>
      <c r="B68">
        <v>0.9694398109725646</v>
      </c>
      <c r="K68" t="str">
        <v>Tyzzerella nexilis</v>
      </c>
      <c r="L68">
        <v>45441</v>
      </c>
      <c r="M68">
        <f t="shared" si="5"/>
        <v>2.2733948133172519E-2</v>
      </c>
    </row>
    <row r="69" spans="1:13" x14ac:dyDescent="0.2">
      <c r="A69" t="s">
        <v>131</v>
      </c>
      <c r="B69">
        <v>0.26059840976506038</v>
      </c>
      <c r="K69" t="str">
        <v>Prevotella sp. oral taxon 299</v>
      </c>
      <c r="L69">
        <v>31185</v>
      </c>
      <c r="M69">
        <f t="shared" si="5"/>
        <v>1.4217626083413358E-2</v>
      </c>
    </row>
    <row r="70" spans="1:13" ht="17" thickBot="1" x14ac:dyDescent="0.25">
      <c r="A70" s="30" t="s">
        <v>132</v>
      </c>
      <c r="B70" s="30">
        <v>10</v>
      </c>
      <c r="K70" t="str">
        <v>Streptococcus mitis</v>
      </c>
      <c r="L70">
        <v>24929</v>
      </c>
      <c r="M70">
        <f t="shared" si="5"/>
        <v>1.075452217344529E-2</v>
      </c>
    </row>
    <row r="71" spans="1:13" x14ac:dyDescent="0.2">
      <c r="K71" t="str">
        <v>Leptolyngbya valderiana</v>
      </c>
      <c r="L71">
        <v>1975</v>
      </c>
      <c r="M71">
        <f t="shared" si="5"/>
        <v>4.5576142039897643E-4</v>
      </c>
    </row>
    <row r="72" spans="1:13" ht="17" thickBot="1" x14ac:dyDescent="0.25">
      <c r="A72" t="s">
        <v>133</v>
      </c>
      <c r="K72" t="str">
        <v>Neisseria subflava</v>
      </c>
      <c r="L72">
        <v>0</v>
      </c>
      <c r="M72" t="e">
        <f t="shared" si="5"/>
        <v>#NUM!</v>
      </c>
    </row>
    <row r="73" spans="1:13" x14ac:dyDescent="0.2">
      <c r="A73" s="31"/>
      <c r="B73" s="31" t="s">
        <v>138</v>
      </c>
      <c r="C73" s="31" t="s">
        <v>139</v>
      </c>
      <c r="D73" s="31" t="s">
        <v>140</v>
      </c>
      <c r="E73" s="31" t="s">
        <v>141</v>
      </c>
      <c r="F73" s="31" t="s">
        <v>142</v>
      </c>
      <c r="K73" t="str">
        <v>Neisseria flavescens</v>
      </c>
      <c r="L73">
        <v>22303</v>
      </c>
      <c r="M73">
        <f t="shared" si="5"/>
        <v>9.3609693069967321E-3</v>
      </c>
    </row>
    <row r="74" spans="1:13" x14ac:dyDescent="0.2">
      <c r="A74" t="s">
        <v>134</v>
      </c>
      <c r="B74">
        <v>1</v>
      </c>
      <c r="C74">
        <v>19.456707750623369</v>
      </c>
      <c r="D74">
        <v>19.456707750623369</v>
      </c>
      <c r="E74">
        <v>286.5007961802952</v>
      </c>
      <c r="F74">
        <v>1.5053811468097048E-7</v>
      </c>
      <c r="K74" t="str">
        <v>Fusobacterium periodonticum</v>
      </c>
      <c r="L74">
        <v>197830</v>
      </c>
      <c r="M74">
        <f t="shared" si="5"/>
        <v>0.14228522207085967</v>
      </c>
    </row>
    <row r="75" spans="1:13" x14ac:dyDescent="0.2">
      <c r="A75" t="s">
        <v>135</v>
      </c>
      <c r="B75">
        <v>8</v>
      </c>
      <c r="C75">
        <v>0.54329224937662646</v>
      </c>
      <c r="D75">
        <v>6.7911531172078307E-2</v>
      </c>
      <c r="K75" t="str">
        <v>Streptococcus pneumoniae</v>
      </c>
      <c r="L75">
        <v>14478</v>
      </c>
      <c r="M75">
        <f t="shared" si="5"/>
        <v>5.4621119181234735E-3</v>
      </c>
    </row>
    <row r="76" spans="1:13" ht="17" thickBot="1" x14ac:dyDescent="0.25">
      <c r="A76" s="30" t="s">
        <v>136</v>
      </c>
      <c r="B76" s="30">
        <v>9</v>
      </c>
      <c r="C76" s="30">
        <v>19.999999999999996</v>
      </c>
      <c r="D76" s="30"/>
      <c r="E76" s="30"/>
      <c r="F76" s="30"/>
      <c r="K76" t="str">
        <v>Haemophilus influenzae</v>
      </c>
      <c r="L76">
        <v>100</v>
      </c>
      <c r="M76">
        <f t="shared" si="5"/>
        <v>1.1052930563393005E-5</v>
      </c>
    </row>
    <row r="77" spans="1:13" ht="17" thickBot="1" x14ac:dyDescent="0.25">
      <c r="K77" t="str">
        <v>Veillonella dispar</v>
      </c>
      <c r="L77">
        <v>14609</v>
      </c>
      <c r="M77">
        <f t="shared" si="5"/>
        <v>5.5237983062126324E-3</v>
      </c>
    </row>
    <row r="78" spans="1:13" x14ac:dyDescent="0.2">
      <c r="A78" s="31"/>
      <c r="B78" s="31" t="s">
        <v>143</v>
      </c>
      <c r="C78" s="31" t="s">
        <v>131</v>
      </c>
      <c r="D78" s="31" t="s">
        <v>144</v>
      </c>
      <c r="E78" s="31" t="s">
        <v>145</v>
      </c>
      <c r="F78" s="31" t="s">
        <v>146</v>
      </c>
      <c r="G78" s="31" t="s">
        <v>147</v>
      </c>
      <c r="H78" s="31" t="s">
        <v>148</v>
      </c>
      <c r="I78" s="31" t="s">
        <v>149</v>
      </c>
    </row>
    <row r="79" spans="1:13" x14ac:dyDescent="0.2">
      <c r="A79" t="s">
        <v>137</v>
      </c>
      <c r="B79">
        <v>-7.4500408303773575</v>
      </c>
      <c r="C79">
        <v>0.27294119993260002</v>
      </c>
      <c r="D79">
        <v>-27.295405868432692</v>
      </c>
      <c r="E79">
        <v>3.4978535670646597E-9</v>
      </c>
      <c r="F79">
        <v>-8.0794443660895219</v>
      </c>
      <c r="G79">
        <v>-6.8206372946651941</v>
      </c>
      <c r="H79">
        <v>-8.0794443660895219</v>
      </c>
      <c r="I79">
        <v>-6.8206372946651941</v>
      </c>
    </row>
    <row r="80" spans="1:13" ht="17" thickBot="1" x14ac:dyDescent="0.25">
      <c r="A80" s="30" t="s">
        <v>166</v>
      </c>
      <c r="B80" s="30">
        <v>1.24675913604407</v>
      </c>
      <c r="C80" s="30">
        <v>7.3657952553024E-2</v>
      </c>
      <c r="D80" s="30">
        <v>16.92633439880872</v>
      </c>
      <c r="E80" s="30">
        <v>1.5053811468097022E-7</v>
      </c>
      <c r="F80" s="30">
        <v>1.0769035928661248</v>
      </c>
      <c r="G80" s="30">
        <v>1.416614679222016</v>
      </c>
      <c r="H80" s="30">
        <v>1.0769035928661248</v>
      </c>
      <c r="I80" s="30">
        <v>1.416614679222016</v>
      </c>
    </row>
    <row r="84" spans="1:10" x14ac:dyDescent="0.2">
      <c r="A84" t="s">
        <v>171</v>
      </c>
    </row>
    <row r="85" spans="1:10" x14ac:dyDescent="0.2">
      <c r="A85" t="s">
        <v>118</v>
      </c>
      <c r="B85" t="s">
        <v>119</v>
      </c>
      <c r="C85" t="s">
        <v>120</v>
      </c>
      <c r="D85" t="s">
        <v>121</v>
      </c>
      <c r="E85" t="s">
        <v>122</v>
      </c>
      <c r="F85" t="s">
        <v>123</v>
      </c>
      <c r="G85" t="s">
        <v>124</v>
      </c>
      <c r="H85" t="s">
        <v>125</v>
      </c>
      <c r="I85" t="s">
        <v>220</v>
      </c>
      <c r="J85" t="s">
        <v>152</v>
      </c>
    </row>
    <row r="86" spans="1:10" x14ac:dyDescent="0.2">
      <c r="A86" t="s">
        <v>107</v>
      </c>
      <c r="B86" t="s">
        <v>108</v>
      </c>
      <c r="C86">
        <v>93135</v>
      </c>
      <c r="D86">
        <v>3216923</v>
      </c>
      <c r="E86">
        <v>0.25</v>
      </c>
      <c r="F86">
        <v>1</v>
      </c>
      <c r="G86">
        <f>F86/(2*(1+0.1+0.01+0.001+0.0001))</f>
        <v>0.45000450004500048</v>
      </c>
      <c r="H86">
        <f>E86*G86</f>
        <v>0.11250112501125012</v>
      </c>
      <c r="I86">
        <f>LOG10(C86)</f>
        <v>4.9691129189016641</v>
      </c>
      <c r="J86" s="2">
        <f>LOG10(H86)</f>
        <v>-0.94884313458608482</v>
      </c>
    </row>
    <row r="87" spans="1:10" x14ac:dyDescent="0.2">
      <c r="A87" t="s">
        <v>109</v>
      </c>
      <c r="B87" t="s">
        <v>108</v>
      </c>
      <c r="C87">
        <v>15190</v>
      </c>
      <c r="D87">
        <v>3216923</v>
      </c>
      <c r="E87">
        <v>0.25</v>
      </c>
      <c r="F87">
        <v>0.1</v>
      </c>
      <c r="G87">
        <f t="shared" ref="G87:G103" si="6">F87/(2*(1+0.1+0.01+0.001+0.0001))</f>
        <v>4.5000450004500051E-2</v>
      </c>
      <c r="H87">
        <f t="shared" ref="H87:H103" si="7">E87*G87</f>
        <v>1.1250112501125013E-2</v>
      </c>
      <c r="I87">
        <f t="shared" ref="I87:I103" si="8">LOG10(C87)</f>
        <v>4.181557773862786</v>
      </c>
      <c r="J87" s="2">
        <f t="shared" ref="J87:J103" si="9">LOG10(H87)</f>
        <v>-1.9488431345860848</v>
      </c>
    </row>
    <row r="88" spans="1:10" x14ac:dyDescent="0.2">
      <c r="A88" t="s">
        <v>110</v>
      </c>
      <c r="B88" t="s">
        <v>108</v>
      </c>
      <c r="C88">
        <v>2447</v>
      </c>
      <c r="D88">
        <v>3216923</v>
      </c>
      <c r="E88">
        <v>0.25</v>
      </c>
      <c r="F88">
        <v>0.01</v>
      </c>
      <c r="G88">
        <f t="shared" si="6"/>
        <v>4.5000450004500049E-3</v>
      </c>
      <c r="H88">
        <f t="shared" si="7"/>
        <v>1.1250112501125012E-3</v>
      </c>
      <c r="I88">
        <f t="shared" si="8"/>
        <v>3.3886339693517891</v>
      </c>
      <c r="J88" s="2">
        <f t="shared" si="9"/>
        <v>-2.9488431345860846</v>
      </c>
    </row>
    <row r="89" spans="1:10" x14ac:dyDescent="0.2">
      <c r="A89" t="s">
        <v>111</v>
      </c>
      <c r="B89" t="s">
        <v>108</v>
      </c>
      <c r="C89">
        <v>308</v>
      </c>
      <c r="D89">
        <v>3216923</v>
      </c>
      <c r="E89">
        <v>0.25</v>
      </c>
      <c r="F89">
        <v>1E-3</v>
      </c>
      <c r="G89">
        <f t="shared" si="6"/>
        <v>4.5000450004500047E-4</v>
      </c>
      <c r="H89">
        <f t="shared" si="7"/>
        <v>1.1250112501125012E-4</v>
      </c>
      <c r="I89">
        <f t="shared" si="8"/>
        <v>2.4885507165004443</v>
      </c>
      <c r="J89" s="2">
        <f t="shared" si="9"/>
        <v>-3.9488431345860846</v>
      </c>
    </row>
    <row r="90" spans="1:10" x14ac:dyDescent="0.2">
      <c r="A90" t="s">
        <v>112</v>
      </c>
      <c r="B90" t="s">
        <v>108</v>
      </c>
      <c r="C90">
        <v>149</v>
      </c>
      <c r="D90">
        <v>3216923</v>
      </c>
      <c r="E90">
        <v>0.25</v>
      </c>
      <c r="F90">
        <v>1E-4</v>
      </c>
      <c r="G90">
        <f t="shared" si="6"/>
        <v>4.5000450004500049E-5</v>
      </c>
      <c r="H90">
        <f t="shared" si="7"/>
        <v>1.1250112501125012E-5</v>
      </c>
      <c r="I90">
        <f t="shared" si="8"/>
        <v>2.173186268412274</v>
      </c>
      <c r="J90" s="2">
        <f t="shared" si="9"/>
        <v>-4.9488431345860846</v>
      </c>
    </row>
    <row r="91" spans="1:10" x14ac:dyDescent="0.2">
      <c r="A91" t="s">
        <v>113</v>
      </c>
      <c r="B91" t="s">
        <v>108</v>
      </c>
      <c r="C91">
        <v>1075</v>
      </c>
      <c r="D91">
        <v>3216923</v>
      </c>
      <c r="E91">
        <v>0.25</v>
      </c>
      <c r="F91">
        <v>1E-3</v>
      </c>
      <c r="G91">
        <f t="shared" si="6"/>
        <v>4.5000450004500047E-4</v>
      </c>
      <c r="H91">
        <f t="shared" si="7"/>
        <v>1.1250112501125012E-4</v>
      </c>
      <c r="I91">
        <f t="shared" si="8"/>
        <v>3.0314084642516241</v>
      </c>
      <c r="J91" s="2">
        <f t="shared" si="9"/>
        <v>-3.9488431345860846</v>
      </c>
    </row>
    <row r="92" spans="1:10" x14ac:dyDescent="0.2">
      <c r="A92" t="s">
        <v>114</v>
      </c>
      <c r="B92" t="s">
        <v>108</v>
      </c>
      <c r="C92">
        <v>3189</v>
      </c>
      <c r="D92">
        <v>3216923</v>
      </c>
      <c r="E92">
        <v>0.25</v>
      </c>
      <c r="F92">
        <v>0.01</v>
      </c>
      <c r="G92">
        <f t="shared" si="6"/>
        <v>4.5000450004500049E-3</v>
      </c>
      <c r="H92">
        <f t="shared" si="7"/>
        <v>1.1250112501125012E-3</v>
      </c>
      <c r="I92">
        <f t="shared" si="8"/>
        <v>3.5036545192429593</v>
      </c>
      <c r="J92" s="2">
        <f t="shared" si="9"/>
        <v>-2.9488431345860846</v>
      </c>
    </row>
    <row r="93" spans="1:10" x14ac:dyDescent="0.2">
      <c r="A93" t="s">
        <v>115</v>
      </c>
      <c r="B93" t="s">
        <v>108</v>
      </c>
      <c r="C93">
        <v>25347</v>
      </c>
      <c r="D93">
        <v>3216923</v>
      </c>
      <c r="E93">
        <v>0.25</v>
      </c>
      <c r="F93">
        <v>0.1</v>
      </c>
      <c r="G93">
        <f t="shared" si="6"/>
        <v>4.5000450004500051E-2</v>
      </c>
      <c r="H93">
        <f t="shared" si="7"/>
        <v>1.1250112501125013E-2</v>
      </c>
      <c r="I93">
        <f t="shared" si="8"/>
        <v>4.4039265648312682</v>
      </c>
      <c r="J93" s="2">
        <f t="shared" si="9"/>
        <v>-1.9488431345860848</v>
      </c>
    </row>
    <row r="94" spans="1:10" x14ac:dyDescent="0.2">
      <c r="A94" t="s">
        <v>116</v>
      </c>
      <c r="B94" t="s">
        <v>108</v>
      </c>
      <c r="C94">
        <v>237329</v>
      </c>
      <c r="D94">
        <v>3216923</v>
      </c>
      <c r="E94">
        <v>0.25</v>
      </c>
      <c r="F94">
        <v>1</v>
      </c>
      <c r="G94">
        <f t="shared" si="6"/>
        <v>0.45000450004500048</v>
      </c>
      <c r="H94">
        <f t="shared" si="7"/>
        <v>0.11250112501125012</v>
      </c>
      <c r="I94">
        <f t="shared" si="8"/>
        <v>5.3753508093107225</v>
      </c>
      <c r="J94" s="2">
        <f t="shared" si="9"/>
        <v>-0.94884313458608482</v>
      </c>
    </row>
    <row r="95" spans="1:10" x14ac:dyDescent="0.2">
      <c r="A95" t="s">
        <v>107</v>
      </c>
      <c r="B95" t="s">
        <v>117</v>
      </c>
      <c r="C95">
        <v>90897</v>
      </c>
      <c r="D95">
        <v>1723417</v>
      </c>
      <c r="E95">
        <v>0.2</v>
      </c>
      <c r="F95">
        <v>1</v>
      </c>
      <c r="G95">
        <f t="shared" si="6"/>
        <v>0.45000450004500048</v>
      </c>
      <c r="H95">
        <f t="shared" si="7"/>
        <v>9.0000900009000101E-2</v>
      </c>
      <c r="I95">
        <f t="shared" si="8"/>
        <v>4.958549549834224</v>
      </c>
      <c r="J95" s="2">
        <f t="shared" si="9"/>
        <v>-1.0457531475941411</v>
      </c>
    </row>
    <row r="96" spans="1:10" x14ac:dyDescent="0.2">
      <c r="A96" t="s">
        <v>109</v>
      </c>
      <c r="B96" t="s">
        <v>117</v>
      </c>
      <c r="C96">
        <v>15002</v>
      </c>
      <c r="D96">
        <v>1723417</v>
      </c>
      <c r="E96">
        <v>0.2</v>
      </c>
      <c r="F96">
        <v>0.1</v>
      </c>
      <c r="G96">
        <f t="shared" si="6"/>
        <v>4.5000450004500051E-2</v>
      </c>
      <c r="H96">
        <f t="shared" si="7"/>
        <v>9.0000900009000098E-3</v>
      </c>
      <c r="I96">
        <f t="shared" si="8"/>
        <v>4.1761491611265491</v>
      </c>
      <c r="J96" s="2">
        <f t="shared" si="9"/>
        <v>-2.0457531475941413</v>
      </c>
    </row>
    <row r="97" spans="1:13" x14ac:dyDescent="0.2">
      <c r="A97" t="s">
        <v>110</v>
      </c>
      <c r="B97" t="s">
        <v>117</v>
      </c>
      <c r="C97">
        <v>2421</v>
      </c>
      <c r="D97">
        <v>1723417</v>
      </c>
      <c r="E97">
        <v>0.2</v>
      </c>
      <c r="F97">
        <v>0.01</v>
      </c>
      <c r="G97">
        <f t="shared" si="6"/>
        <v>4.5000450004500049E-3</v>
      </c>
      <c r="H97">
        <f t="shared" si="7"/>
        <v>9.0000900009000104E-4</v>
      </c>
      <c r="I97">
        <f t="shared" si="8"/>
        <v>3.3839947894417328</v>
      </c>
      <c r="J97" s="2">
        <f t="shared" si="9"/>
        <v>-3.0457531475941413</v>
      </c>
    </row>
    <row r="98" spans="1:13" x14ac:dyDescent="0.2">
      <c r="A98" t="s">
        <v>111</v>
      </c>
      <c r="B98" t="s">
        <v>117</v>
      </c>
      <c r="C98">
        <v>296</v>
      </c>
      <c r="D98">
        <v>1723417</v>
      </c>
      <c r="E98">
        <v>0.2</v>
      </c>
      <c r="F98">
        <v>1E-3</v>
      </c>
      <c r="G98">
        <f t="shared" si="6"/>
        <v>4.5000450004500047E-4</v>
      </c>
      <c r="H98">
        <f t="shared" si="7"/>
        <v>9.0000900009000099E-5</v>
      </c>
      <c r="I98">
        <f t="shared" si="8"/>
        <v>2.4712917110589387</v>
      </c>
      <c r="J98" s="2">
        <f t="shared" si="9"/>
        <v>-4.0457531475941408</v>
      </c>
    </row>
    <row r="99" spans="1:13" x14ac:dyDescent="0.2">
      <c r="A99" t="s">
        <v>112</v>
      </c>
      <c r="B99" t="s">
        <v>117</v>
      </c>
      <c r="C99">
        <v>148</v>
      </c>
      <c r="D99">
        <v>1723417</v>
      </c>
      <c r="E99">
        <v>0.2</v>
      </c>
      <c r="F99">
        <v>1E-4</v>
      </c>
      <c r="G99">
        <f t="shared" si="6"/>
        <v>4.5000450004500049E-5</v>
      </c>
      <c r="H99">
        <f t="shared" si="7"/>
        <v>9.0000900009000095E-6</v>
      </c>
      <c r="I99">
        <f t="shared" si="8"/>
        <v>2.1702617153949575</v>
      </c>
      <c r="J99" s="2">
        <f t="shared" si="9"/>
        <v>-5.0457531475941408</v>
      </c>
    </row>
    <row r="100" spans="1:13" x14ac:dyDescent="0.2">
      <c r="A100" t="s">
        <v>113</v>
      </c>
      <c r="B100" t="s">
        <v>117</v>
      </c>
      <c r="C100">
        <v>1059</v>
      </c>
      <c r="D100">
        <v>1723417</v>
      </c>
      <c r="E100">
        <v>0.2</v>
      </c>
      <c r="F100">
        <v>1E-3</v>
      </c>
      <c r="G100">
        <f t="shared" si="6"/>
        <v>4.5000450004500047E-4</v>
      </c>
      <c r="H100">
        <f t="shared" si="7"/>
        <v>9.0000900009000099E-5</v>
      </c>
      <c r="I100">
        <f t="shared" si="8"/>
        <v>3.024895960107485</v>
      </c>
      <c r="J100" s="2">
        <f t="shared" si="9"/>
        <v>-4.0457531475941408</v>
      </c>
    </row>
    <row r="101" spans="1:13" x14ac:dyDescent="0.2">
      <c r="A101" t="s">
        <v>114</v>
      </c>
      <c r="B101" t="s">
        <v>117</v>
      </c>
      <c r="C101">
        <v>3129</v>
      </c>
      <c r="D101">
        <v>1723417</v>
      </c>
      <c r="E101">
        <v>0.2</v>
      </c>
      <c r="F101">
        <v>0.01</v>
      </c>
      <c r="G101">
        <f t="shared" si="6"/>
        <v>4.5000450004500049E-3</v>
      </c>
      <c r="H101">
        <f t="shared" si="7"/>
        <v>9.0000900009000104E-4</v>
      </c>
      <c r="I101">
        <f t="shared" si="8"/>
        <v>3.4954055631461931</v>
      </c>
      <c r="J101" s="2">
        <f t="shared" si="9"/>
        <v>-3.0457531475941413</v>
      </c>
    </row>
    <row r="102" spans="1:13" x14ac:dyDescent="0.2">
      <c r="A102" t="s">
        <v>115</v>
      </c>
      <c r="B102" t="s">
        <v>117</v>
      </c>
      <c r="C102">
        <v>24856</v>
      </c>
      <c r="D102">
        <v>1723417</v>
      </c>
      <c r="E102">
        <v>0.2</v>
      </c>
      <c r="F102">
        <v>0.1</v>
      </c>
      <c r="G102">
        <f t="shared" si="6"/>
        <v>4.5000450004500051E-2</v>
      </c>
      <c r="H102">
        <f t="shared" si="7"/>
        <v>9.0000900009000098E-3</v>
      </c>
      <c r="I102">
        <f t="shared" si="8"/>
        <v>4.3954312402469178</v>
      </c>
      <c r="J102" s="2">
        <f t="shared" si="9"/>
        <v>-2.0457531475941413</v>
      </c>
    </row>
    <row r="103" spans="1:13" x14ac:dyDescent="0.2">
      <c r="A103" t="s">
        <v>116</v>
      </c>
      <c r="B103" t="s">
        <v>117</v>
      </c>
      <c r="C103">
        <v>230898</v>
      </c>
      <c r="D103">
        <v>1723417</v>
      </c>
      <c r="E103">
        <v>0.2</v>
      </c>
      <c r="F103">
        <v>1</v>
      </c>
      <c r="G103">
        <f t="shared" si="6"/>
        <v>0.45000450004500048</v>
      </c>
      <c r="H103">
        <f t="shared" si="7"/>
        <v>9.0000900009000101E-2</v>
      </c>
      <c r="I103">
        <f t="shared" si="8"/>
        <v>5.3634201711470348</v>
      </c>
      <c r="J103" s="2">
        <f t="shared" si="9"/>
        <v>-1.0457531475941411</v>
      </c>
    </row>
    <row r="105" spans="1:13" x14ac:dyDescent="0.2">
      <c r="A105" t="s">
        <v>239</v>
      </c>
      <c r="K105" t="s">
        <v>251</v>
      </c>
    </row>
    <row r="106" spans="1:13" x14ac:dyDescent="0.2">
      <c r="A106" t="s">
        <v>126</v>
      </c>
      <c r="K106" t="s">
        <v>248</v>
      </c>
    </row>
    <row r="107" spans="1:13" ht="17" thickBot="1" x14ac:dyDescent="0.25">
      <c r="K107" t="str" cm="1">
        <f t="array" ref="K107:K120">syndna_saliva_analysis_ex1!D7:D20</f>
        <v>Species</v>
      </c>
      <c r="L107" t="str" cm="1">
        <f t="array" ref="L107:L120">syndna_saliva_analysis_ex1!E7:E20</f>
        <v>RawCounts</v>
      </c>
      <c r="M107" t="s">
        <v>247</v>
      </c>
    </row>
    <row r="108" spans="1:13" x14ac:dyDescent="0.2">
      <c r="A108" s="32" t="s">
        <v>127</v>
      </c>
      <c r="B108" s="32"/>
      <c r="K108" t="str">
        <v>Lactobacillus gasseri</v>
      </c>
      <c r="L108">
        <v>79950</v>
      </c>
      <c r="M108">
        <f>10^($B$123*LOG10(L108)+$B$122)</f>
        <v>5.6792515631161979E-2</v>
      </c>
    </row>
    <row r="109" spans="1:13" x14ac:dyDescent="0.2">
      <c r="A109" t="s">
        <v>128</v>
      </c>
      <c r="B109">
        <v>0.98277768956987499</v>
      </c>
      <c r="K109" t="str">
        <v>Ruminococcus albus</v>
      </c>
      <c r="L109">
        <v>93024</v>
      </c>
      <c r="M109">
        <f t="shared" ref="M109:M120" si="10">10^($B$123*LOG10(L109)+$B$122)</f>
        <v>6.8694072413691618E-2</v>
      </c>
    </row>
    <row r="110" spans="1:13" x14ac:dyDescent="0.2">
      <c r="A110" t="s">
        <v>129</v>
      </c>
      <c r="B110">
        <v>0.96585198711630149</v>
      </c>
      <c r="K110" t="str">
        <v>Escherichia coli</v>
      </c>
      <c r="L110">
        <v>86188</v>
      </c>
      <c r="M110">
        <f t="shared" si="10"/>
        <v>6.2413516819281277E-2</v>
      </c>
    </row>
    <row r="111" spans="1:13" x14ac:dyDescent="0.2">
      <c r="A111" t="s">
        <v>130</v>
      </c>
      <c r="B111">
        <v>0.96097369956148737</v>
      </c>
      <c r="K111" t="str">
        <v>Tyzzerella nexilis</v>
      </c>
      <c r="L111">
        <v>45441</v>
      </c>
      <c r="M111">
        <f t="shared" si="10"/>
        <v>2.7929156677989907E-2</v>
      </c>
    </row>
    <row r="112" spans="1:13" x14ac:dyDescent="0.2">
      <c r="A112" t="s">
        <v>131</v>
      </c>
      <c r="B112">
        <v>0.27547136525396865</v>
      </c>
      <c r="K112" t="str">
        <v>Prevotella sp. oral taxon 299</v>
      </c>
      <c r="L112">
        <v>31185</v>
      </c>
      <c r="M112">
        <f t="shared" si="10"/>
        <v>1.7404729442059844E-2</v>
      </c>
    </row>
    <row r="113" spans="1:13" ht="17" thickBot="1" x14ac:dyDescent="0.25">
      <c r="A113" s="30" t="s">
        <v>132</v>
      </c>
      <c r="B113" s="30">
        <v>9</v>
      </c>
      <c r="K113" t="str">
        <v>Streptococcus mitis</v>
      </c>
      <c r="L113">
        <v>24929</v>
      </c>
      <c r="M113">
        <f t="shared" si="10"/>
        <v>1.3137531319523383E-2</v>
      </c>
    </row>
    <row r="114" spans="1:13" x14ac:dyDescent="0.2">
      <c r="K114" t="str">
        <v>Leptolyngbya valderiana</v>
      </c>
      <c r="L114">
        <v>1975</v>
      </c>
      <c r="M114">
        <f t="shared" si="10"/>
        <v>5.4358832056686452E-4</v>
      </c>
    </row>
    <row r="115" spans="1:13" ht="17" thickBot="1" x14ac:dyDescent="0.25">
      <c r="A115" t="s">
        <v>133</v>
      </c>
      <c r="K115" t="str">
        <v>Neisseria subflava</v>
      </c>
      <c r="L115">
        <v>26130</v>
      </c>
      <c r="M115">
        <f t="shared" si="10"/>
        <v>1.3937457137122871E-2</v>
      </c>
    </row>
    <row r="116" spans="1:13" x14ac:dyDescent="0.2">
      <c r="A116" s="31"/>
      <c r="B116" s="31" t="s">
        <v>138</v>
      </c>
      <c r="C116" s="31" t="s">
        <v>139</v>
      </c>
      <c r="D116" s="31" t="s">
        <v>140</v>
      </c>
      <c r="E116" s="31" t="s">
        <v>141</v>
      </c>
      <c r="F116" s="31" t="s">
        <v>142</v>
      </c>
      <c r="K116" t="str">
        <v>Neisseria flavescens</v>
      </c>
      <c r="L116">
        <v>22303</v>
      </c>
      <c r="M116">
        <f t="shared" si="10"/>
        <v>1.1423188046374242E-2</v>
      </c>
    </row>
    <row r="117" spans="1:13" x14ac:dyDescent="0.2">
      <c r="A117" t="s">
        <v>134</v>
      </c>
      <c r="B117">
        <v>1</v>
      </c>
      <c r="C117">
        <v>15.024364244031355</v>
      </c>
      <c r="D117">
        <v>15.024364244031355</v>
      </c>
      <c r="E117">
        <v>197.98996600009062</v>
      </c>
      <c r="F117">
        <v>2.1705143708536348E-6</v>
      </c>
      <c r="K117" t="str">
        <v>Fusobacterium periodonticum</v>
      </c>
      <c r="L117">
        <v>19783</v>
      </c>
      <c r="M117">
        <f t="shared" si="10"/>
        <v>9.825979039056295E-3</v>
      </c>
    </row>
    <row r="118" spans="1:13" x14ac:dyDescent="0.2">
      <c r="A118" t="s">
        <v>135</v>
      </c>
      <c r="B118">
        <v>7</v>
      </c>
      <c r="C118">
        <v>0.53119131152419785</v>
      </c>
      <c r="D118">
        <v>7.5884473074885411E-2</v>
      </c>
      <c r="K118" t="str">
        <v>Streptococcus pneumoniae</v>
      </c>
      <c r="L118">
        <v>14478</v>
      </c>
      <c r="M118">
        <f t="shared" si="10"/>
        <v>6.6382932210282009E-3</v>
      </c>
    </row>
    <row r="119" spans="1:13" ht="17" thickBot="1" x14ac:dyDescent="0.25">
      <c r="A119" s="30" t="s">
        <v>136</v>
      </c>
      <c r="B119" s="30">
        <v>8</v>
      </c>
      <c r="C119" s="30">
        <v>15.555555555555554</v>
      </c>
      <c r="D119" s="30"/>
      <c r="E119" s="30"/>
      <c r="F119" s="30"/>
      <c r="K119" t="str">
        <v>Haemophilus influenzae</v>
      </c>
      <c r="L119">
        <v>12145</v>
      </c>
      <c r="M119">
        <f t="shared" si="10"/>
        <v>5.3234707867863395E-3</v>
      </c>
    </row>
    <row r="120" spans="1:13" ht="17" thickBot="1" x14ac:dyDescent="0.25">
      <c r="K120" t="str">
        <v>Veillonella dispar</v>
      </c>
      <c r="L120">
        <v>14609</v>
      </c>
      <c r="M120">
        <f t="shared" si="10"/>
        <v>6.7138334227200775E-3</v>
      </c>
    </row>
    <row r="121" spans="1:13" x14ac:dyDescent="0.2">
      <c r="A121" s="31"/>
      <c r="B121" s="31" t="s">
        <v>143</v>
      </c>
      <c r="C121" s="31" t="s">
        <v>131</v>
      </c>
      <c r="D121" s="31" t="s">
        <v>144</v>
      </c>
      <c r="E121" s="31" t="s">
        <v>145</v>
      </c>
      <c r="F121" s="31" t="s">
        <v>146</v>
      </c>
      <c r="G121" s="31" t="s">
        <v>147</v>
      </c>
      <c r="H121" s="31" t="s">
        <v>148</v>
      </c>
      <c r="I121" s="31" t="s">
        <v>149</v>
      </c>
    </row>
    <row r="122" spans="1:13" x14ac:dyDescent="0.2">
      <c r="A122" t="s">
        <v>137</v>
      </c>
      <c r="B122">
        <v>-7.4046045026558174</v>
      </c>
      <c r="C122">
        <v>0.34490591545010901</v>
      </c>
      <c r="D122">
        <v>-21.468476390127037</v>
      </c>
      <c r="E122">
        <v>1.1989386168971095E-7</v>
      </c>
      <c r="F122">
        <v>-8.2201773948469565</v>
      </c>
      <c r="G122">
        <v>-6.5890316104646791</v>
      </c>
      <c r="H122">
        <v>-8.2201773948469565</v>
      </c>
      <c r="I122">
        <v>-6.5890316104646791</v>
      </c>
    </row>
    <row r="123" spans="1:13" ht="17" thickBot="1" x14ac:dyDescent="0.25">
      <c r="A123" s="30" t="s">
        <v>166</v>
      </c>
      <c r="B123" s="30">
        <v>1.2561949109446799</v>
      </c>
      <c r="C123" s="30">
        <v>8.9276147107148138E-2</v>
      </c>
      <c r="D123" s="30">
        <v>14.070890732291636</v>
      </c>
      <c r="E123" s="30">
        <v>2.1705143708536348E-6</v>
      </c>
      <c r="F123" s="30">
        <v>1.0450903684063479</v>
      </c>
      <c r="G123" s="30">
        <v>1.4672994534830031</v>
      </c>
      <c r="H123" s="30">
        <v>1.0450903684063479</v>
      </c>
      <c r="I123" s="30">
        <v>1.4672994534830031</v>
      </c>
    </row>
    <row r="128" spans="1:13" x14ac:dyDescent="0.2">
      <c r="A128" t="s">
        <v>240</v>
      </c>
      <c r="K128" t="s">
        <v>252</v>
      </c>
    </row>
    <row r="129" spans="1:13" x14ac:dyDescent="0.2">
      <c r="A129" t="s">
        <v>126</v>
      </c>
      <c r="K129" t="s">
        <v>253</v>
      </c>
    </row>
    <row r="130" spans="1:13" ht="17" thickBot="1" x14ac:dyDescent="0.25">
      <c r="K130" t="str" cm="1">
        <f t="array" ref="K130:K143">syndna_saliva_analysis_ex1!D7:D20</f>
        <v>Species</v>
      </c>
      <c r="L130" t="str" cm="1">
        <f t="array" ref="L130:L143">L64:L77</f>
        <v>RawCounts</v>
      </c>
      <c r="M130" t="s">
        <v>247</v>
      </c>
    </row>
    <row r="131" spans="1:13" x14ac:dyDescent="0.2">
      <c r="A131" s="32" t="s">
        <v>127</v>
      </c>
      <c r="B131" s="32"/>
      <c r="K131" t="str">
        <v>Lactobacillus gasseri</v>
      </c>
      <c r="L131">
        <v>79951</v>
      </c>
      <c r="M131">
        <f>10^($B$146*LOG10(L131)+$B$145)</f>
        <v>4.6637419977574139E-2</v>
      </c>
    </row>
    <row r="132" spans="1:13" x14ac:dyDescent="0.2">
      <c r="A132" t="s">
        <v>128</v>
      </c>
      <c r="B132">
        <v>0.98251270102667276</v>
      </c>
      <c r="K132" t="str">
        <v>Ruminococcus albus</v>
      </c>
      <c r="L132">
        <v>93024</v>
      </c>
      <c r="M132">
        <f t="shared" ref="M132:M143" si="11">10^($B$146*LOG10(L132)+$B$145)</f>
        <v>5.6415301020446777E-2</v>
      </c>
    </row>
    <row r="133" spans="1:13" x14ac:dyDescent="0.2">
      <c r="A133" t="s">
        <v>129</v>
      </c>
      <c r="B133">
        <v>0.96533120767872815</v>
      </c>
      <c r="K133" t="str">
        <v>Escherichia coli</v>
      </c>
      <c r="L133">
        <v>86188</v>
      </c>
      <c r="M133">
        <f t="shared" si="11"/>
        <v>5.1254925559760744E-2</v>
      </c>
    </row>
    <row r="134" spans="1:13" x14ac:dyDescent="0.2">
      <c r="A134" t="s">
        <v>130</v>
      </c>
      <c r="B134">
        <v>0.96037852306140359</v>
      </c>
      <c r="K134" t="str">
        <v>Tyzzerella nexilis</v>
      </c>
      <c r="L134">
        <v>45441</v>
      </c>
      <c r="M134">
        <f t="shared" si="11"/>
        <v>2.2926683046415791E-2</v>
      </c>
    </row>
    <row r="135" spans="1:13" x14ac:dyDescent="0.2">
      <c r="A135" t="s">
        <v>131</v>
      </c>
      <c r="B135">
        <v>0.27756397589373449</v>
      </c>
      <c r="K135" t="str">
        <v>Prevotella sp. oral taxon 299</v>
      </c>
      <c r="L135">
        <v>31185</v>
      </c>
      <c r="M135">
        <f t="shared" si="11"/>
        <v>1.4283959522586398E-2</v>
      </c>
    </row>
    <row r="136" spans="1:13" ht="17" thickBot="1" x14ac:dyDescent="0.25">
      <c r="A136" s="30" t="s">
        <v>132</v>
      </c>
      <c r="B136" s="30">
        <v>9</v>
      </c>
      <c r="K136" t="str">
        <v>Streptococcus mitis</v>
      </c>
      <c r="L136">
        <v>24929</v>
      </c>
      <c r="M136">
        <f t="shared" si="11"/>
        <v>1.0780388040473274E-2</v>
      </c>
    </row>
    <row r="137" spans="1:13" x14ac:dyDescent="0.2">
      <c r="K137" t="str">
        <v>Leptolyngbya valderiana</v>
      </c>
      <c r="L137">
        <v>1975</v>
      </c>
      <c r="M137">
        <f t="shared" si="11"/>
        <v>4.4535192393756743E-4</v>
      </c>
    </row>
    <row r="138" spans="1:13" ht="17" thickBot="1" x14ac:dyDescent="0.25">
      <c r="A138" t="s">
        <v>133</v>
      </c>
      <c r="K138" t="str">
        <v>Neisseria subflava</v>
      </c>
      <c r="L138">
        <v>0</v>
      </c>
      <c r="M138" t="e">
        <f t="shared" si="11"/>
        <v>#NUM!</v>
      </c>
    </row>
    <row r="139" spans="1:13" x14ac:dyDescent="0.2">
      <c r="A139" s="31"/>
      <c r="B139" s="31" t="s">
        <v>138</v>
      </c>
      <c r="C139" s="31" t="s">
        <v>139</v>
      </c>
      <c r="D139" s="31" t="s">
        <v>140</v>
      </c>
      <c r="E139" s="31" t="s">
        <v>141</v>
      </c>
      <c r="F139" s="31" t="s">
        <v>142</v>
      </c>
      <c r="K139" t="str">
        <v>Neisseria flavescens</v>
      </c>
      <c r="L139">
        <v>22303</v>
      </c>
      <c r="M139">
        <f t="shared" si="11"/>
        <v>9.3729818674479215E-3</v>
      </c>
    </row>
    <row r="140" spans="1:13" x14ac:dyDescent="0.2">
      <c r="A140" t="s">
        <v>134</v>
      </c>
      <c r="B140">
        <v>1</v>
      </c>
      <c r="C140">
        <v>15.016263230557991</v>
      </c>
      <c r="D140">
        <v>15.016263230557991</v>
      </c>
      <c r="E140">
        <v>194.91069637303085</v>
      </c>
      <c r="F140">
        <v>2.2890733334159939E-6</v>
      </c>
      <c r="K140" t="str">
        <v>Fusobacterium periodonticum</v>
      </c>
      <c r="L140">
        <v>197830</v>
      </c>
      <c r="M140">
        <f t="shared" si="11"/>
        <v>0.14563070898747268</v>
      </c>
    </row>
    <row r="141" spans="1:13" x14ac:dyDescent="0.2">
      <c r="A141" t="s">
        <v>135</v>
      </c>
      <c r="B141">
        <v>7</v>
      </c>
      <c r="C141">
        <v>0.5392923249975633</v>
      </c>
      <c r="D141">
        <v>7.7041760713937618E-2</v>
      </c>
      <c r="K141" t="str">
        <v>Streptococcus pneumoniae</v>
      </c>
      <c r="L141">
        <v>14478</v>
      </c>
      <c r="M141">
        <f t="shared" si="11"/>
        <v>5.4453993386522825E-3</v>
      </c>
    </row>
    <row r="142" spans="1:13" ht="17" thickBot="1" x14ac:dyDescent="0.25">
      <c r="A142" s="30" t="s">
        <v>136</v>
      </c>
      <c r="B142" s="30">
        <v>8</v>
      </c>
      <c r="C142" s="30">
        <v>15.555555555555554</v>
      </c>
      <c r="D142" s="30"/>
      <c r="E142" s="30"/>
      <c r="F142" s="30"/>
      <c r="K142" t="str">
        <v>Haemophilus influenzae</v>
      </c>
      <c r="L142">
        <v>100</v>
      </c>
      <c r="M142">
        <f t="shared" si="11"/>
        <v>1.0481169495883429E-5</v>
      </c>
    </row>
    <row r="143" spans="1:13" ht="17" thickBot="1" x14ac:dyDescent="0.25">
      <c r="K143" t="str">
        <v>Veillonella dispar</v>
      </c>
      <c r="L143">
        <v>14609</v>
      </c>
      <c r="M143">
        <f t="shared" si="11"/>
        <v>5.5073960193810691E-3</v>
      </c>
    </row>
    <row r="144" spans="1:13" x14ac:dyDescent="0.2">
      <c r="A144" s="31"/>
      <c r="B144" s="31" t="s">
        <v>143</v>
      </c>
      <c r="C144" s="31" t="s">
        <v>131</v>
      </c>
      <c r="D144" s="31" t="s">
        <v>144</v>
      </c>
      <c r="E144" s="31" t="s">
        <v>145</v>
      </c>
      <c r="F144" s="31" t="s">
        <v>146</v>
      </c>
      <c r="G144" s="31" t="s">
        <v>147</v>
      </c>
      <c r="H144" s="31" t="s">
        <v>148</v>
      </c>
      <c r="I144" s="31" t="s">
        <v>149</v>
      </c>
    </row>
    <row r="145" spans="1:9" x14ac:dyDescent="0.2">
      <c r="A145" t="s">
        <v>137</v>
      </c>
      <c r="B145">
        <v>-7.4932286287409786</v>
      </c>
      <c r="C145">
        <v>0.34704101461336601</v>
      </c>
      <c r="D145">
        <v>-21.591766716937158</v>
      </c>
      <c r="E145">
        <v>1.1524405606287195E-7</v>
      </c>
      <c r="F145">
        <v>-8.3138502281931093</v>
      </c>
      <c r="G145">
        <v>-6.6726070292888471</v>
      </c>
      <c r="H145">
        <v>-8.3138502281931093</v>
      </c>
      <c r="I145">
        <v>-6.6726070292888471</v>
      </c>
    </row>
    <row r="146" spans="1:9" ht="17" thickBot="1" x14ac:dyDescent="0.25">
      <c r="A146" s="30" t="s">
        <v>166</v>
      </c>
      <c r="B146" s="30">
        <v>1.2568191864801976</v>
      </c>
      <c r="C146" s="30">
        <v>9.0023307568673702E-2</v>
      </c>
      <c r="D146" s="30">
        <v>13.961042094809072</v>
      </c>
      <c r="E146" s="30">
        <v>2.2890733334159901E-6</v>
      </c>
      <c r="F146" s="30">
        <v>1.0439478901947155</v>
      </c>
      <c r="G146" s="30">
        <v>1.4696904827656798</v>
      </c>
      <c r="H146" s="30">
        <v>1.0439478901947155</v>
      </c>
      <c r="I146" s="30">
        <v>1.4696904827656798</v>
      </c>
    </row>
  </sheetData>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102CF-57E9-CF4D-8304-DA1926A37703}">
  <dimension ref="A1:AT58"/>
  <sheetViews>
    <sheetView tabSelected="1" workbookViewId="0">
      <selection activeCell="J11" sqref="J11"/>
    </sheetView>
  </sheetViews>
  <sheetFormatPr baseColWidth="10" defaultRowHeight="16" x14ac:dyDescent="0.2"/>
  <cols>
    <col min="11" max="11" width="23.6640625" customWidth="1"/>
    <col min="16" max="16" width="11.5" customWidth="1"/>
    <col min="17" max="17" width="11" customWidth="1"/>
    <col min="20" max="20" width="4.5" customWidth="1"/>
    <col min="21" max="21" width="32.5" bestFit="1" customWidth="1"/>
    <col min="22" max="22" width="12.5" customWidth="1"/>
    <col min="23" max="23" width="15.6640625" customWidth="1"/>
    <col min="24" max="24" width="2.33203125" customWidth="1"/>
    <col min="25" max="25" width="11.5" bestFit="1" customWidth="1"/>
    <col min="26" max="26" width="11.83203125" bestFit="1" customWidth="1"/>
    <col min="27" max="27" width="1.1640625" customWidth="1"/>
    <col min="35" max="35" width="11.5" bestFit="1" customWidth="1"/>
    <col min="36" max="36" width="13.33203125" bestFit="1" customWidth="1"/>
    <col min="38" max="38" width="11.5" bestFit="1" customWidth="1"/>
    <col min="39" max="39" width="24.33203125" bestFit="1" customWidth="1"/>
    <col min="41" max="41" width="11.5" bestFit="1" customWidth="1"/>
    <col min="42" max="42" width="26.33203125" bestFit="1" customWidth="1"/>
    <col min="44" max="44" width="11.5" bestFit="1" customWidth="1"/>
    <col min="45" max="45" width="26.33203125" bestFit="1" customWidth="1"/>
  </cols>
  <sheetData>
    <row r="1" spans="1:21" x14ac:dyDescent="0.2">
      <c r="A1" t="s">
        <v>241</v>
      </c>
    </row>
    <row r="2" spans="1:21" x14ac:dyDescent="0.2">
      <c r="A2" t="s">
        <v>157</v>
      </c>
    </row>
    <row r="3" spans="1:21" x14ac:dyDescent="0.2">
      <c r="A3" t="s">
        <v>156</v>
      </c>
    </row>
    <row r="4" spans="1:21" x14ac:dyDescent="0.2">
      <c r="A4" t="s">
        <v>158</v>
      </c>
    </row>
    <row r="5" spans="1:21" x14ac:dyDescent="0.2">
      <c r="A5" t="s">
        <v>159</v>
      </c>
    </row>
    <row r="6" spans="1:21" x14ac:dyDescent="0.2">
      <c r="A6" t="s">
        <v>161</v>
      </c>
    </row>
    <row r="7" spans="1:21" x14ac:dyDescent="0.2">
      <c r="A7" t="s">
        <v>160</v>
      </c>
    </row>
    <row r="8" spans="1:21" x14ac:dyDescent="0.2">
      <c r="A8" t="s">
        <v>174</v>
      </c>
    </row>
    <row r="9" spans="1:21" x14ac:dyDescent="0.2">
      <c r="A9" t="s">
        <v>175</v>
      </c>
    </row>
    <row r="10" spans="1:21" x14ac:dyDescent="0.2">
      <c r="A10" t="s">
        <v>162</v>
      </c>
    </row>
    <row r="11" spans="1:21" x14ac:dyDescent="0.2">
      <c r="A11" t="s">
        <v>163</v>
      </c>
    </row>
    <row r="12" spans="1:21" x14ac:dyDescent="0.2">
      <c r="A12" t="s">
        <v>164</v>
      </c>
    </row>
    <row r="13" spans="1:21" x14ac:dyDescent="0.2">
      <c r="A13" t="s">
        <v>165</v>
      </c>
    </row>
    <row r="14" spans="1:21" x14ac:dyDescent="0.2">
      <c r="R14" s="49" t="s">
        <v>278</v>
      </c>
    </row>
    <row r="15" spans="1:21" x14ac:dyDescent="0.2">
      <c r="A15" t="s">
        <v>155</v>
      </c>
      <c r="Q15" s="48" t="s">
        <v>118</v>
      </c>
      <c r="R15" s="48" t="s">
        <v>277</v>
      </c>
      <c r="T15" s="50" t="s">
        <v>279</v>
      </c>
      <c r="U15" s="50"/>
    </row>
    <row r="16" spans="1:21" x14ac:dyDescent="0.2">
      <c r="A16" t="s">
        <v>118</v>
      </c>
      <c r="B16" t="s">
        <v>119</v>
      </c>
      <c r="C16" t="s">
        <v>120</v>
      </c>
      <c r="D16" t="s">
        <v>121</v>
      </c>
      <c r="E16" t="s">
        <v>319</v>
      </c>
      <c r="F16" t="s">
        <v>123</v>
      </c>
      <c r="G16" t="s">
        <v>124</v>
      </c>
      <c r="H16" t="s">
        <v>125</v>
      </c>
      <c r="I16" t="s">
        <v>235</v>
      </c>
      <c r="J16" t="s">
        <v>152</v>
      </c>
      <c r="Q16" s="48" t="s">
        <v>107</v>
      </c>
      <c r="R16" s="48">
        <v>93135</v>
      </c>
      <c r="T16" s="50"/>
      <c r="U16" s="50" t="s">
        <v>280</v>
      </c>
    </row>
    <row r="17" spans="1:23" x14ac:dyDescent="0.2">
      <c r="A17" t="s">
        <v>107</v>
      </c>
      <c r="B17" t="s">
        <v>108</v>
      </c>
      <c r="C17">
        <v>93135</v>
      </c>
      <c r="D17">
        <v>3216923</v>
      </c>
      <c r="E17">
        <v>0.25</v>
      </c>
      <c r="F17">
        <v>1</v>
      </c>
      <c r="G17">
        <f>F17/(2*(1+0.1+0.01+0.001+0.0001))</f>
        <v>0.45000450004500048</v>
      </c>
      <c r="H17">
        <f>E17*G17</f>
        <v>0.11250112501125012</v>
      </c>
      <c r="I17">
        <f>LOG10(C17)</f>
        <v>4.9691129189016641</v>
      </c>
      <c r="J17" s="2">
        <f>LOG10(H17)</f>
        <v>-0.94884313458608482</v>
      </c>
      <c r="K17" s="2"/>
      <c r="L17" s="2"/>
      <c r="Q17" s="48" t="s">
        <v>109</v>
      </c>
      <c r="R17" s="48">
        <v>15190</v>
      </c>
      <c r="T17" s="50"/>
      <c r="U17" s="50" t="s">
        <v>281</v>
      </c>
    </row>
    <row r="18" spans="1:23" x14ac:dyDescent="0.2">
      <c r="A18" t="s">
        <v>109</v>
      </c>
      <c r="B18" t="s">
        <v>108</v>
      </c>
      <c r="C18">
        <v>15190</v>
      </c>
      <c r="D18">
        <v>3216923</v>
      </c>
      <c r="E18">
        <v>0.25</v>
      </c>
      <c r="F18">
        <v>0.1</v>
      </c>
      <c r="G18">
        <f t="shared" ref="G18:G26" si="0">F18/(2*(1+0.1+0.01+0.001+0.0001))</f>
        <v>4.5000450004500051E-2</v>
      </c>
      <c r="H18">
        <f t="shared" ref="H18:H26" si="1">E18*G18</f>
        <v>1.1250112501125013E-2</v>
      </c>
      <c r="I18">
        <f t="shared" ref="I18:I26" si="2">LOG10(C18)</f>
        <v>4.181557773862786</v>
      </c>
      <c r="J18" s="2">
        <f t="shared" ref="J18:J26" si="3">LOG10(H18)</f>
        <v>-1.9488431345860848</v>
      </c>
      <c r="Q18" s="48" t="s">
        <v>110</v>
      </c>
      <c r="R18" s="48">
        <v>2447</v>
      </c>
      <c r="T18" s="50"/>
      <c r="U18" s="50" t="s">
        <v>282</v>
      </c>
    </row>
    <row r="19" spans="1:23" x14ac:dyDescent="0.2">
      <c r="A19" t="s">
        <v>110</v>
      </c>
      <c r="B19" t="s">
        <v>108</v>
      </c>
      <c r="C19">
        <v>2447</v>
      </c>
      <c r="D19">
        <v>3216923</v>
      </c>
      <c r="E19">
        <v>0.25</v>
      </c>
      <c r="F19">
        <v>0.01</v>
      </c>
      <c r="G19">
        <f t="shared" si="0"/>
        <v>4.5000450004500049E-3</v>
      </c>
      <c r="H19">
        <f t="shared" si="1"/>
        <v>1.1250112501125012E-3</v>
      </c>
      <c r="I19">
        <f t="shared" si="2"/>
        <v>3.3886339693517891</v>
      </c>
      <c r="J19" s="2">
        <f t="shared" si="3"/>
        <v>-2.9488431345860846</v>
      </c>
      <c r="Q19" s="48" t="s">
        <v>111</v>
      </c>
      <c r="R19" s="48">
        <v>308</v>
      </c>
      <c r="T19" s="50"/>
      <c r="U19" s="50" t="s">
        <v>283</v>
      </c>
    </row>
    <row r="20" spans="1:23" x14ac:dyDescent="0.2">
      <c r="A20" t="s">
        <v>111</v>
      </c>
      <c r="B20" t="s">
        <v>108</v>
      </c>
      <c r="C20">
        <v>308</v>
      </c>
      <c r="D20">
        <v>3216923</v>
      </c>
      <c r="E20">
        <v>0.25</v>
      </c>
      <c r="F20">
        <v>1E-3</v>
      </c>
      <c r="G20">
        <f t="shared" si="0"/>
        <v>4.5000450004500047E-4</v>
      </c>
      <c r="H20">
        <f t="shared" si="1"/>
        <v>1.1250112501125012E-4</v>
      </c>
      <c r="I20">
        <f t="shared" si="2"/>
        <v>2.4885507165004443</v>
      </c>
      <c r="J20" s="2">
        <f t="shared" si="3"/>
        <v>-3.9488431345860846</v>
      </c>
      <c r="Q20" s="48" t="s">
        <v>153</v>
      </c>
      <c r="R20" s="48">
        <v>77</v>
      </c>
      <c r="T20" s="50"/>
      <c r="U20" s="50" t="s">
        <v>284</v>
      </c>
    </row>
    <row r="21" spans="1:23" x14ac:dyDescent="0.2">
      <c r="A21" t="s">
        <v>153</v>
      </c>
      <c r="B21" t="s">
        <v>108</v>
      </c>
      <c r="C21">
        <v>77</v>
      </c>
      <c r="D21">
        <v>3216923</v>
      </c>
      <c r="E21">
        <v>0.25</v>
      </c>
      <c r="F21">
        <v>1E-4</v>
      </c>
      <c r="G21">
        <f t="shared" si="0"/>
        <v>4.5000450004500049E-5</v>
      </c>
      <c r="H21">
        <f>E21*G21</f>
        <v>1.1250112501125012E-5</v>
      </c>
      <c r="I21">
        <f t="shared" si="2"/>
        <v>1.8864907251724818</v>
      </c>
      <c r="J21" s="2">
        <f>LOG10(H21)</f>
        <v>-4.9488431345860846</v>
      </c>
      <c r="Q21" s="48" t="s">
        <v>112</v>
      </c>
      <c r="R21" s="48">
        <v>149</v>
      </c>
      <c r="T21" s="50"/>
      <c r="U21" s="50" t="s">
        <v>285</v>
      </c>
    </row>
    <row r="22" spans="1:23" x14ac:dyDescent="0.2">
      <c r="A22" t="s">
        <v>112</v>
      </c>
      <c r="B22" t="s">
        <v>108</v>
      </c>
      <c r="C22">
        <v>149</v>
      </c>
      <c r="D22">
        <v>3216923</v>
      </c>
      <c r="E22">
        <v>0.25</v>
      </c>
      <c r="F22">
        <v>1E-4</v>
      </c>
      <c r="G22">
        <f t="shared" si="0"/>
        <v>4.5000450004500049E-5</v>
      </c>
      <c r="H22">
        <f t="shared" si="1"/>
        <v>1.1250112501125012E-5</v>
      </c>
      <c r="I22">
        <f t="shared" si="2"/>
        <v>2.173186268412274</v>
      </c>
      <c r="J22" s="2">
        <f t="shared" si="3"/>
        <v>-4.9488431345860846</v>
      </c>
      <c r="Q22" s="48" t="s">
        <v>113</v>
      </c>
      <c r="R22" s="48">
        <v>1075</v>
      </c>
    </row>
    <row r="23" spans="1:23" x14ac:dyDescent="0.2">
      <c r="A23" t="s">
        <v>113</v>
      </c>
      <c r="B23" t="s">
        <v>108</v>
      </c>
      <c r="C23">
        <v>1075</v>
      </c>
      <c r="D23">
        <v>3216923</v>
      </c>
      <c r="E23">
        <v>0.25</v>
      </c>
      <c r="F23">
        <v>1E-3</v>
      </c>
      <c r="G23">
        <f t="shared" si="0"/>
        <v>4.5000450004500047E-4</v>
      </c>
      <c r="H23">
        <f t="shared" si="1"/>
        <v>1.1250112501125012E-4</v>
      </c>
      <c r="I23">
        <f t="shared" si="2"/>
        <v>3.0314084642516241</v>
      </c>
      <c r="J23" s="2">
        <f t="shared" si="3"/>
        <v>-3.9488431345860846</v>
      </c>
      <c r="Q23" s="48" t="s">
        <v>114</v>
      </c>
      <c r="R23" s="48">
        <v>3189</v>
      </c>
    </row>
    <row r="24" spans="1:23" x14ac:dyDescent="0.2">
      <c r="A24" t="s">
        <v>114</v>
      </c>
      <c r="B24" t="s">
        <v>108</v>
      </c>
      <c r="C24">
        <v>3189</v>
      </c>
      <c r="D24">
        <v>3216923</v>
      </c>
      <c r="E24">
        <v>0.25</v>
      </c>
      <c r="F24">
        <v>0.01</v>
      </c>
      <c r="G24">
        <f t="shared" si="0"/>
        <v>4.5000450004500049E-3</v>
      </c>
      <c r="H24">
        <f t="shared" si="1"/>
        <v>1.1250112501125012E-3</v>
      </c>
      <c r="I24">
        <f t="shared" si="2"/>
        <v>3.5036545192429593</v>
      </c>
      <c r="J24" s="2">
        <f t="shared" si="3"/>
        <v>-2.9488431345860846</v>
      </c>
      <c r="Q24" s="48" t="s">
        <v>115</v>
      </c>
      <c r="R24" s="48">
        <v>25347</v>
      </c>
    </row>
    <row r="25" spans="1:23" x14ac:dyDescent="0.2">
      <c r="A25" t="s">
        <v>115</v>
      </c>
      <c r="B25" t="s">
        <v>108</v>
      </c>
      <c r="C25">
        <v>25347</v>
      </c>
      <c r="D25">
        <v>3216923</v>
      </c>
      <c r="E25">
        <v>0.25</v>
      </c>
      <c r="F25">
        <v>0.1</v>
      </c>
      <c r="G25">
        <f t="shared" si="0"/>
        <v>4.5000450004500051E-2</v>
      </c>
      <c r="H25">
        <f t="shared" si="1"/>
        <v>1.1250112501125013E-2</v>
      </c>
      <c r="I25">
        <f t="shared" si="2"/>
        <v>4.4039265648312682</v>
      </c>
      <c r="J25" s="2">
        <f t="shared" si="3"/>
        <v>-1.9488431345860848</v>
      </c>
      <c r="Q25" s="48" t="s">
        <v>116</v>
      </c>
      <c r="R25" s="48">
        <v>237329</v>
      </c>
    </row>
    <row r="26" spans="1:23" x14ac:dyDescent="0.2">
      <c r="A26" t="s">
        <v>116</v>
      </c>
      <c r="B26" t="s">
        <v>108</v>
      </c>
      <c r="C26">
        <v>237329</v>
      </c>
      <c r="D26">
        <v>3216923</v>
      </c>
      <c r="E26">
        <v>0.25</v>
      </c>
      <c r="F26">
        <v>1</v>
      </c>
      <c r="G26">
        <f t="shared" si="0"/>
        <v>0.45000450004500048</v>
      </c>
      <c r="H26">
        <f t="shared" si="1"/>
        <v>0.11250112501125012</v>
      </c>
      <c r="I26">
        <f t="shared" si="2"/>
        <v>5.3753508093107225</v>
      </c>
      <c r="J26" s="2">
        <f t="shared" si="3"/>
        <v>-0.94884313458608482</v>
      </c>
    </row>
    <row r="28" spans="1:23" x14ac:dyDescent="0.2">
      <c r="A28" t="s">
        <v>236</v>
      </c>
    </row>
    <row r="29" spans="1:23" x14ac:dyDescent="0.2">
      <c r="A29" t="s">
        <v>238</v>
      </c>
      <c r="K29" t="s">
        <v>246</v>
      </c>
      <c r="V29" t="s">
        <v>298</v>
      </c>
    </row>
    <row r="30" spans="1:23" x14ac:dyDescent="0.2">
      <c r="A30" t="s">
        <v>126</v>
      </c>
      <c r="J30" t="s">
        <v>288</v>
      </c>
      <c r="K30" t="s">
        <v>248</v>
      </c>
      <c r="P30" s="48"/>
      <c r="Q30" s="48" t="s">
        <v>278</v>
      </c>
      <c r="V30" s="48" t="s">
        <v>294</v>
      </c>
      <c r="W30" s="48" t="s">
        <v>297</v>
      </c>
    </row>
    <row r="31" spans="1:23" ht="17" thickBot="1" x14ac:dyDescent="0.25">
      <c r="J31" t="s">
        <v>286</v>
      </c>
      <c r="K31" t="str" cm="1">
        <f t="array" ref="K31:K44">syndna_saliva_analysis_ex1!D7:D20</f>
        <v>Species</v>
      </c>
      <c r="L31" t="str" cm="1">
        <f t="array" ref="L31:L44">syndna_saliva_analysis_ex1!E7:E20</f>
        <v>RawCounts</v>
      </c>
      <c r="M31" t="s">
        <v>247</v>
      </c>
      <c r="P31" s="48" t="s">
        <v>294</v>
      </c>
      <c r="Q31" s="48" t="s">
        <v>277</v>
      </c>
      <c r="V31" s="48" t="s">
        <v>287</v>
      </c>
      <c r="W31" s="48">
        <v>10.29</v>
      </c>
    </row>
    <row r="32" spans="1:23" x14ac:dyDescent="0.2">
      <c r="A32" s="32" t="s">
        <v>127</v>
      </c>
      <c r="B32" s="32"/>
      <c r="J32" t="s">
        <v>287</v>
      </c>
      <c r="K32" t="str">
        <v>Lactobacillus gasseri</v>
      </c>
      <c r="L32">
        <v>79950</v>
      </c>
      <c r="M32">
        <f t="shared" ref="M32:M44" si="4">10^($B$47*LOG10(L32)+$B$46)</f>
        <v>5.5906776314467152E-2</v>
      </c>
      <c r="P32" s="48" t="s">
        <v>287</v>
      </c>
      <c r="Q32" s="48">
        <v>79950</v>
      </c>
      <c r="V32" s="48" t="s">
        <v>289</v>
      </c>
      <c r="W32" s="48">
        <v>1.19</v>
      </c>
    </row>
    <row r="33" spans="1:46" x14ac:dyDescent="0.2">
      <c r="A33" t="s">
        <v>128</v>
      </c>
      <c r="B33">
        <v>0.98650309751565701</v>
      </c>
      <c r="J33" t="s">
        <v>289</v>
      </c>
      <c r="K33" t="str">
        <v>Ruminococcus albus</v>
      </c>
      <c r="L33">
        <v>93024</v>
      </c>
      <c r="M33">
        <f t="shared" si="4"/>
        <v>6.7506893569518861E-2</v>
      </c>
      <c r="P33" s="48" t="s">
        <v>289</v>
      </c>
      <c r="Q33" s="48">
        <v>93024</v>
      </c>
      <c r="V33" s="48" t="s">
        <v>290</v>
      </c>
      <c r="W33" s="48">
        <v>7.24</v>
      </c>
    </row>
    <row r="34" spans="1:46" x14ac:dyDescent="0.2">
      <c r="A34" t="s">
        <v>129</v>
      </c>
      <c r="B34">
        <v>0.97318836140798681</v>
      </c>
      <c r="J34" t="s">
        <v>290</v>
      </c>
      <c r="K34" t="str">
        <v>Escherichia coli</v>
      </c>
      <c r="L34">
        <v>86188</v>
      </c>
      <c r="M34">
        <f t="shared" si="4"/>
        <v>6.1387888964041307E-2</v>
      </c>
      <c r="P34" s="48" t="s">
        <v>290</v>
      </c>
      <c r="Q34" s="48">
        <v>86188</v>
      </c>
      <c r="V34" s="48" t="s">
        <v>291</v>
      </c>
      <c r="W34" s="48">
        <v>92.65</v>
      </c>
    </row>
    <row r="35" spans="1:46" x14ac:dyDescent="0.2">
      <c r="A35" t="s">
        <v>130</v>
      </c>
      <c r="B35">
        <v>0.96983690658398514</v>
      </c>
      <c r="K35" t="str">
        <v>Tyzzerella nexilis</v>
      </c>
      <c r="L35">
        <v>45441</v>
      </c>
      <c r="M35">
        <f t="shared" si="4"/>
        <v>2.7669949480603664E-2</v>
      </c>
      <c r="P35" s="48" t="s">
        <v>291</v>
      </c>
      <c r="Q35" s="48">
        <v>31185</v>
      </c>
      <c r="V35" s="48" t="s">
        <v>292</v>
      </c>
      <c r="W35" s="48">
        <v>3.58</v>
      </c>
    </row>
    <row r="36" spans="1:46" x14ac:dyDescent="0.2">
      <c r="A36" t="s">
        <v>131</v>
      </c>
      <c r="B36">
        <v>0.25889978076474535</v>
      </c>
      <c r="J36" t="s">
        <v>291</v>
      </c>
      <c r="K36" t="str">
        <v>Prevotella sp. oral taxon 299</v>
      </c>
      <c r="L36">
        <v>31185</v>
      </c>
      <c r="M36">
        <f t="shared" si="4"/>
        <v>1.731683029216274E-2</v>
      </c>
      <c r="P36" s="48" t="s">
        <v>292</v>
      </c>
      <c r="Q36" s="48">
        <v>24929</v>
      </c>
      <c r="V36" s="48" t="s">
        <v>293</v>
      </c>
      <c r="W36" s="48">
        <v>4.24</v>
      </c>
    </row>
    <row r="37" spans="1:46" ht="17" thickBot="1" x14ac:dyDescent="0.25">
      <c r="A37" s="30" t="s">
        <v>132</v>
      </c>
      <c r="B37" s="30">
        <v>10</v>
      </c>
      <c r="J37" t="s">
        <v>292</v>
      </c>
      <c r="K37" t="str">
        <v>Streptococcus mitis</v>
      </c>
      <c r="L37">
        <v>24929</v>
      </c>
      <c r="M37">
        <f t="shared" si="4"/>
        <v>1.3104350443761088E-2</v>
      </c>
      <c r="P37" s="48" t="s">
        <v>293</v>
      </c>
      <c r="Q37" s="48">
        <v>1975</v>
      </c>
      <c r="V37" s="48" t="s">
        <v>295</v>
      </c>
      <c r="W37" s="48">
        <v>0.72</v>
      </c>
    </row>
    <row r="38" spans="1:46" x14ac:dyDescent="0.2">
      <c r="J38" t="s">
        <v>293</v>
      </c>
      <c r="K38" t="str">
        <v>Leptolyngbya valderiana</v>
      </c>
      <c r="L38">
        <v>1975</v>
      </c>
      <c r="M38">
        <f t="shared" si="4"/>
        <v>5.5800097113146443E-4</v>
      </c>
      <c r="P38" s="48" t="s">
        <v>295</v>
      </c>
      <c r="Q38" s="48">
        <v>44001</v>
      </c>
      <c r="R38" t="s">
        <v>296</v>
      </c>
    </row>
    <row r="39" spans="1:46" ht="17" thickBot="1" x14ac:dyDescent="0.25">
      <c r="A39" t="s">
        <v>133</v>
      </c>
      <c r="K39" t="str">
        <v>Neisseria subflava</v>
      </c>
      <c r="L39">
        <v>26130</v>
      </c>
      <c r="M39">
        <f t="shared" si="4"/>
        <v>1.3894854164478233E-2</v>
      </c>
    </row>
    <row r="40" spans="1:46" x14ac:dyDescent="0.2">
      <c r="A40" s="31"/>
      <c r="B40" s="31" t="s">
        <v>138</v>
      </c>
      <c r="C40" s="31" t="s">
        <v>139</v>
      </c>
      <c r="D40" s="31" t="s">
        <v>140</v>
      </c>
      <c r="E40" s="31" t="s">
        <v>141</v>
      </c>
      <c r="F40" s="31" t="s">
        <v>142</v>
      </c>
      <c r="K40" t="str">
        <v>Neisseria flavescens</v>
      </c>
      <c r="L40">
        <v>22303</v>
      </c>
      <c r="M40">
        <f t="shared" si="4"/>
        <v>1.1408701284690223E-2</v>
      </c>
    </row>
    <row r="41" spans="1:46" x14ac:dyDescent="0.2">
      <c r="A41" t="s">
        <v>134</v>
      </c>
      <c r="B41">
        <v>1</v>
      </c>
      <c r="C41">
        <v>19.463767228159732</v>
      </c>
      <c r="D41">
        <v>19.463767228159732</v>
      </c>
      <c r="E41">
        <v>290.37788438574057</v>
      </c>
      <c r="F41">
        <v>1.4284435606597672E-7</v>
      </c>
      <c r="K41" t="str">
        <v>Fusobacterium periodonticum</v>
      </c>
      <c r="L41">
        <v>19783</v>
      </c>
      <c r="M41">
        <f t="shared" si="4"/>
        <v>9.8268443584452556E-3</v>
      </c>
      <c r="P41" s="48"/>
      <c r="Q41" s="48" t="s">
        <v>278</v>
      </c>
      <c r="AI41" s="48"/>
      <c r="AJ41" s="48" t="s">
        <v>278</v>
      </c>
      <c r="AL41" s="48"/>
      <c r="AM41" s="48" t="s">
        <v>278</v>
      </c>
      <c r="AO41" s="48"/>
      <c r="AP41" s="48" t="s">
        <v>278</v>
      </c>
      <c r="AR41" s="48"/>
      <c r="AS41" s="48" t="s">
        <v>278</v>
      </c>
    </row>
    <row r="42" spans="1:46" x14ac:dyDescent="0.2">
      <c r="A42" t="s">
        <v>135</v>
      </c>
      <c r="B42">
        <v>8</v>
      </c>
      <c r="C42">
        <v>0.53623277184026563</v>
      </c>
      <c r="D42">
        <v>6.7029096480033204E-2</v>
      </c>
      <c r="K42" t="str">
        <v>Streptococcus pneumoniae</v>
      </c>
      <c r="L42">
        <v>14478</v>
      </c>
      <c r="M42">
        <f t="shared" si="4"/>
        <v>6.6623779084662204E-3</v>
      </c>
      <c r="P42" s="48" t="s">
        <v>294</v>
      </c>
      <c r="Q42" s="48" t="s">
        <v>299</v>
      </c>
      <c r="Y42" s="48" t="s">
        <v>294</v>
      </c>
      <c r="Z42" s="48" t="s">
        <v>300</v>
      </c>
      <c r="AI42" s="48" t="s">
        <v>294</v>
      </c>
      <c r="AJ42" s="48" t="s">
        <v>305</v>
      </c>
      <c r="AL42" s="48" t="s">
        <v>294</v>
      </c>
      <c r="AM42" s="48" t="s">
        <v>306</v>
      </c>
      <c r="AO42" s="48" t="s">
        <v>294</v>
      </c>
      <c r="AP42" s="48" t="s">
        <v>307</v>
      </c>
      <c r="AR42" s="48" t="s">
        <v>294</v>
      </c>
      <c r="AS42" s="48" t="s">
        <v>308</v>
      </c>
    </row>
    <row r="43" spans="1:46" ht="17" thickBot="1" x14ac:dyDescent="0.25">
      <c r="A43" s="30" t="s">
        <v>136</v>
      </c>
      <c r="B43" s="30">
        <v>9</v>
      </c>
      <c r="C43" s="30">
        <v>19.999999999999996</v>
      </c>
      <c r="D43" s="30"/>
      <c r="E43" s="30"/>
      <c r="F43" s="30"/>
      <c r="K43" t="str">
        <v>Haemophilus influenzae</v>
      </c>
      <c r="L43">
        <v>12145</v>
      </c>
      <c r="M43">
        <f t="shared" si="4"/>
        <v>5.3534213285283943E-3</v>
      </c>
      <c r="P43" s="48" t="s">
        <v>287</v>
      </c>
      <c r="Q43" s="48">
        <f>M32</f>
        <v>5.5906776314467152E-2</v>
      </c>
      <c r="Y43" s="48" t="s">
        <v>287</v>
      </c>
      <c r="Z43" s="51">
        <f>'full_calcs on correct masses '!G81</f>
        <v>1904788.3330000001</v>
      </c>
      <c r="AB43" t="s">
        <v>301</v>
      </c>
      <c r="AI43" s="48" t="s">
        <v>287</v>
      </c>
      <c r="AJ43" s="51">
        <f t="shared" ref="AJ43:AJ48" si="5">(Q43*6.02214076E+23)/(Z43*650*1000000000)</f>
        <v>27192.884259161423</v>
      </c>
      <c r="AL43" s="48" t="s">
        <v>287</v>
      </c>
      <c r="AM43" s="52">
        <f>AJ53* 1000000000/'full_calcs on correct masses '!$G$34</f>
        <v>5438576851832.2842</v>
      </c>
      <c r="AN43" s="53"/>
      <c r="AO43" s="48" t="s">
        <v>287</v>
      </c>
      <c r="AP43" s="51">
        <f>$AM53*'full_calcs on correct masses '!$G$29</f>
        <v>39085654.849706717</v>
      </c>
      <c r="AQ43" s="53"/>
      <c r="AR43" s="48" t="s">
        <v>287</v>
      </c>
      <c r="AS43" s="51">
        <f>$AM53*'full_calcs on correct masses '!$G$29</f>
        <v>39085654.849706717</v>
      </c>
      <c r="AT43" s="9"/>
    </row>
    <row r="44" spans="1:46" ht="17" thickBot="1" x14ac:dyDescent="0.25">
      <c r="K44" t="str">
        <v>Veillonella dispar</v>
      </c>
      <c r="L44">
        <v>14609</v>
      </c>
      <c r="M44">
        <f t="shared" si="4"/>
        <v>6.7375052531226162E-3</v>
      </c>
      <c r="P44" s="48" t="s">
        <v>289</v>
      </c>
      <c r="Q44" s="48">
        <f>M33</f>
        <v>6.7506893569518861E-2</v>
      </c>
      <c r="Y44" s="48" t="s">
        <v>289</v>
      </c>
      <c r="Z44" s="51">
        <f>'full_calcs on correct masses '!G91</f>
        <v>4373730</v>
      </c>
      <c r="AB44" t="s">
        <v>302</v>
      </c>
      <c r="AI44" s="48" t="s">
        <v>289</v>
      </c>
      <c r="AJ44" s="51">
        <f t="shared" si="5"/>
        <v>14299.923031581789</v>
      </c>
      <c r="AL44" s="48" t="s">
        <v>289</v>
      </c>
      <c r="AM44" s="52">
        <f>AJ54* 1000000000/'full_calcs on correct masses '!$G$34</f>
        <v>2859984606316.3579</v>
      </c>
      <c r="AN44" s="53"/>
      <c r="AO44" s="48" t="s">
        <v>289</v>
      </c>
      <c r="AP44" s="51">
        <f>$AM54*'full_calcs on correct masses '!$G$29</f>
        <v>20553974.733352304</v>
      </c>
      <c r="AQ44" s="53"/>
      <c r="AR44" s="48" t="s">
        <v>289</v>
      </c>
      <c r="AS44" s="51">
        <f>$AM54*'full_calcs on correct masses '!$G$29</f>
        <v>20553974.733352304</v>
      </c>
      <c r="AT44" s="9"/>
    </row>
    <row r="45" spans="1:46" x14ac:dyDescent="0.2">
      <c r="A45" s="31"/>
      <c r="B45" s="31" t="s">
        <v>143</v>
      </c>
      <c r="C45" s="31" t="s">
        <v>131</v>
      </c>
      <c r="D45" s="31" t="s">
        <v>144</v>
      </c>
      <c r="E45" s="31" t="s">
        <v>145</v>
      </c>
      <c r="F45" s="31" t="s">
        <v>146</v>
      </c>
      <c r="G45" s="31" t="s">
        <v>147</v>
      </c>
      <c r="H45" s="31" t="s">
        <v>148</v>
      </c>
      <c r="I45" s="31" t="s">
        <v>149</v>
      </c>
      <c r="P45" s="48" t="s">
        <v>290</v>
      </c>
      <c r="Q45" s="48">
        <f>M34</f>
        <v>6.1387888964041307E-2</v>
      </c>
      <c r="Y45" s="48" t="s">
        <v>290</v>
      </c>
      <c r="Z45" s="51">
        <v>3489300</v>
      </c>
      <c r="AB45" t="s">
        <v>304</v>
      </c>
      <c r="AI45" s="48" t="s">
        <v>290</v>
      </c>
      <c r="AJ45" s="51">
        <f t="shared" si="5"/>
        <v>16299.787186793354</v>
      </c>
      <c r="AL45" s="48" t="s">
        <v>290</v>
      </c>
      <c r="AM45" s="52">
        <f>AJ55* 1000000000/'full_calcs on correct masses '!$G$34</f>
        <v>3259957437358.6709</v>
      </c>
      <c r="AO45" s="48" t="s">
        <v>290</v>
      </c>
      <c r="AP45" s="51">
        <f>$AM55*'full_calcs on correct masses '!$G$29</f>
        <v>23428476.730710857</v>
      </c>
      <c r="AR45" s="48" t="s">
        <v>290</v>
      </c>
      <c r="AS45" s="51">
        <f>$AM55*'full_calcs on correct masses '!$G$29</f>
        <v>23428476.730710857</v>
      </c>
    </row>
    <row r="46" spans="1:46" x14ac:dyDescent="0.2">
      <c r="A46" t="s">
        <v>137</v>
      </c>
      <c r="B46">
        <v>-7.3559391605484281</v>
      </c>
      <c r="C46">
        <v>0.27127453736340101</v>
      </c>
      <c r="D46">
        <v>-27.116216774500909</v>
      </c>
      <c r="E46">
        <v>3.6852336719780197E-9</v>
      </c>
      <c r="F46">
        <v>-7.9814993654840283</v>
      </c>
      <c r="G46">
        <v>-6.730378955612828</v>
      </c>
      <c r="H46">
        <v>-7.9814993654840283</v>
      </c>
      <c r="I46">
        <v>-6.730378955612828</v>
      </c>
      <c r="P46" s="48" t="s">
        <v>291</v>
      </c>
      <c r="Q46" s="48">
        <f>M36</f>
        <v>1.731683029216274E-2</v>
      </c>
      <c r="Y46" s="48" t="s">
        <v>291</v>
      </c>
      <c r="Z46" s="51">
        <v>9202483</v>
      </c>
      <c r="AB46" t="s">
        <v>304</v>
      </c>
      <c r="AI46" s="48" t="s">
        <v>291</v>
      </c>
      <c r="AJ46" s="51">
        <f t="shared" si="5"/>
        <v>1743.4155799445389</v>
      </c>
      <c r="AL46" s="48" t="s">
        <v>291</v>
      </c>
      <c r="AM46" s="52">
        <f>AJ56* 1000000000/'full_calcs on correct masses '!$G$34</f>
        <v>348683115988.90778</v>
      </c>
      <c r="AO46" s="48" t="s">
        <v>291</v>
      </c>
      <c r="AP46" s="51">
        <f>$AM56*'full_calcs on correct masses '!$G$29</f>
        <v>2505895.9898435902</v>
      </c>
      <c r="AR46" s="48" t="s">
        <v>291</v>
      </c>
      <c r="AS46" s="51">
        <f>$AM56*'full_calcs on correct masses '!$G$29</f>
        <v>2505895.9898435902</v>
      </c>
    </row>
    <row r="47" spans="1:46" ht="17" thickBot="1" x14ac:dyDescent="0.25">
      <c r="A47" s="30" t="s">
        <v>166</v>
      </c>
      <c r="B47" s="30">
        <v>1.24487652379132</v>
      </c>
      <c r="C47" s="30">
        <v>7.30540855033502E-2</v>
      </c>
      <c r="D47" s="30">
        <v>17.040477821520749</v>
      </c>
      <c r="E47" s="44">
        <v>1.4284435606597701E-7</v>
      </c>
      <c r="F47" s="30">
        <v>1.0764135005270346</v>
      </c>
      <c r="G47" s="30">
        <v>1.4133395470556032</v>
      </c>
      <c r="H47" s="30">
        <v>1.0764135005270346</v>
      </c>
      <c r="I47" s="30">
        <v>1.4133395470556032</v>
      </c>
      <c r="P47" s="48" t="s">
        <v>292</v>
      </c>
      <c r="Q47" s="48">
        <f>M37</f>
        <v>1.3104350443761088E-2</v>
      </c>
      <c r="Y47" s="48" t="s">
        <v>292</v>
      </c>
      <c r="Z47" s="51">
        <v>10348543</v>
      </c>
      <c r="AB47" t="s">
        <v>304</v>
      </c>
      <c r="AI47" s="48" t="s">
        <v>292</v>
      </c>
      <c r="AJ47" s="51">
        <f t="shared" si="5"/>
        <v>1173.2048127369269</v>
      </c>
      <c r="AL47" s="48" t="s">
        <v>292</v>
      </c>
      <c r="AM47" s="52">
        <f>AJ57* 1000000000/'full_calcs on correct masses '!$G$34</f>
        <v>234640962547.38541</v>
      </c>
      <c r="AO47" s="48" t="s">
        <v>292</v>
      </c>
      <c r="AP47" s="51">
        <f>$AM57*'full_calcs on correct masses '!$G$29</f>
        <v>1686304.3265887243</v>
      </c>
      <c r="AR47" s="48" t="s">
        <v>292</v>
      </c>
      <c r="AS47" s="51">
        <f>$AM57*'full_calcs on correct masses '!$G$29</f>
        <v>1686304.3265887243</v>
      </c>
    </row>
    <row r="48" spans="1:46" x14ac:dyDescent="0.2">
      <c r="P48" s="48" t="s">
        <v>293</v>
      </c>
      <c r="Q48" s="48">
        <f>M38</f>
        <v>5.5800097113146443E-4</v>
      </c>
      <c r="Y48" s="48" t="s">
        <v>293</v>
      </c>
      <c r="Z48" s="51">
        <f>'full_calcs on correct masses '!G101</f>
        <v>89264</v>
      </c>
      <c r="AB48" t="s">
        <v>303</v>
      </c>
      <c r="AI48" s="48" t="s">
        <v>293</v>
      </c>
      <c r="AJ48" s="51">
        <f t="shared" si="5"/>
        <v>5791.5679546416768</v>
      </c>
      <c r="AL48" s="48" t="s">
        <v>293</v>
      </c>
      <c r="AM48" s="52">
        <f>AJ58* 1000000000/'full_calcs on correct masses '!$G$34</f>
        <v>1158313590928.3354</v>
      </c>
      <c r="AN48" s="53"/>
      <c r="AO48" s="48" t="s">
        <v>293</v>
      </c>
      <c r="AP48" s="51">
        <f>$AM58*'full_calcs on correct masses '!$G$29</f>
        <v>8324502.2468509236</v>
      </c>
      <c r="AQ48" s="53"/>
      <c r="AR48" s="48" t="s">
        <v>293</v>
      </c>
      <c r="AS48" s="51">
        <f>$AM58*'full_calcs on correct masses '!$G$29</f>
        <v>8324502.2468509236</v>
      </c>
      <c r="AT48" s="9"/>
    </row>
    <row r="50" spans="35:46" x14ac:dyDescent="0.2">
      <c r="AI50" t="s">
        <v>310</v>
      </c>
    </row>
    <row r="51" spans="35:46" x14ac:dyDescent="0.2">
      <c r="AI51" s="48"/>
      <c r="AJ51" s="48" t="s">
        <v>278</v>
      </c>
      <c r="AL51" s="48"/>
      <c r="AM51" s="48" t="s">
        <v>278</v>
      </c>
      <c r="AO51" s="48"/>
      <c r="AP51" s="48" t="s">
        <v>278</v>
      </c>
      <c r="AR51" s="48"/>
      <c r="AS51" s="48" t="s">
        <v>278</v>
      </c>
    </row>
    <row r="52" spans="35:46" x14ac:dyDescent="0.2">
      <c r="AI52" s="48" t="s">
        <v>294</v>
      </c>
      <c r="AJ52" s="48" t="s">
        <v>305</v>
      </c>
      <c r="AL52" s="48" t="s">
        <v>294</v>
      </c>
      <c r="AM52" s="48" t="s">
        <v>306</v>
      </c>
      <c r="AO52" s="48" t="s">
        <v>294</v>
      </c>
      <c r="AP52" s="48" t="s">
        <v>307</v>
      </c>
      <c r="AR52" s="48" t="s">
        <v>294</v>
      </c>
      <c r="AS52" s="48" t="s">
        <v>308</v>
      </c>
    </row>
    <row r="53" spans="35:46" x14ac:dyDescent="0.2">
      <c r="AI53" s="48" t="s">
        <v>287</v>
      </c>
      <c r="AJ53" s="51">
        <f>'full_calcs on correct masses '!G82</f>
        <v>27192.884259161423</v>
      </c>
      <c r="AK53" t="s">
        <v>309</v>
      </c>
      <c r="AL53" s="48" t="s">
        <v>287</v>
      </c>
      <c r="AM53" s="52">
        <f>'full_calcs on correct masses '!G84</f>
        <v>5438576851832.2852</v>
      </c>
      <c r="AN53" s="53" t="s">
        <v>309</v>
      </c>
      <c r="AO53" s="48" t="s">
        <v>287</v>
      </c>
      <c r="AP53" s="51">
        <f>'full_calcs on correct masses '!$G$85</f>
        <v>39085654.849706717</v>
      </c>
      <c r="AQ53" s="53" t="s">
        <v>309</v>
      </c>
      <c r="AR53" s="48" t="s">
        <v>287</v>
      </c>
      <c r="AS53" s="51">
        <f>'full_calcs on correct masses '!$G$85</f>
        <v>39085654.849706717</v>
      </c>
      <c r="AT53" s="53" t="s">
        <v>309</v>
      </c>
    </row>
    <row r="54" spans="35:46" x14ac:dyDescent="0.2">
      <c r="AI54" s="48" t="s">
        <v>289</v>
      </c>
      <c r="AJ54" s="51">
        <f>'full_calcs on correct masses '!G92</f>
        <v>14299.923031581789</v>
      </c>
      <c r="AK54" t="s">
        <v>309</v>
      </c>
      <c r="AL54" s="48" t="s">
        <v>289</v>
      </c>
      <c r="AM54" s="52">
        <f>'full_calcs on correct masses '!G94</f>
        <v>2859984606316.3579</v>
      </c>
      <c r="AN54" s="53" t="s">
        <v>309</v>
      </c>
      <c r="AO54" s="48" t="s">
        <v>289</v>
      </c>
      <c r="AP54" s="51">
        <f>'full_calcs on correct masses '!$G$95</f>
        <v>20553974.733352304</v>
      </c>
      <c r="AQ54" s="53" t="s">
        <v>309</v>
      </c>
      <c r="AR54" s="48" t="s">
        <v>289</v>
      </c>
      <c r="AS54" s="51">
        <f>'full_calcs on correct masses '!$G$95</f>
        <v>20553974.733352304</v>
      </c>
      <c r="AT54" s="53" t="s">
        <v>309</v>
      </c>
    </row>
    <row r="55" spans="35:46" x14ac:dyDescent="0.2">
      <c r="AI55" s="48" t="s">
        <v>290</v>
      </c>
      <c r="AJ55" s="51">
        <f>(Q45*6.02214076E+23)/(Z45*650*1000000000)</f>
        <v>16299.787186793354</v>
      </c>
      <c r="AL55" s="48" t="s">
        <v>290</v>
      </c>
      <c r="AM55" s="52">
        <f>AJ55* 1000000000/'full_calcs on correct masses '!$G$34</f>
        <v>3259957437358.6709</v>
      </c>
      <c r="AO55" s="48" t="s">
        <v>290</v>
      </c>
      <c r="AP55" s="51">
        <f>$AM55*'full_calcs on correct masses '!$G$29</f>
        <v>23428476.730710857</v>
      </c>
      <c r="AR55" s="48" t="s">
        <v>290</v>
      </c>
      <c r="AS55" s="51">
        <f>$AM55*'full_calcs on correct masses '!$G$29</f>
        <v>23428476.730710857</v>
      </c>
    </row>
    <row r="56" spans="35:46" x14ac:dyDescent="0.2">
      <c r="AI56" s="48" t="s">
        <v>291</v>
      </c>
      <c r="AJ56" s="51">
        <f>(Q46*6.02214076E+23)/(Z46*650*1000000000)</f>
        <v>1743.4155799445389</v>
      </c>
      <c r="AL56" s="48" t="s">
        <v>291</v>
      </c>
      <c r="AM56" s="52">
        <f>AJ56* 1000000000/'full_calcs on correct masses '!$G$34</f>
        <v>348683115988.90778</v>
      </c>
      <c r="AO56" s="48" t="s">
        <v>291</v>
      </c>
      <c r="AP56" s="51">
        <f>$AM56*'full_calcs on correct masses '!$G$29</f>
        <v>2505895.9898435902</v>
      </c>
      <c r="AR56" s="48" t="s">
        <v>291</v>
      </c>
      <c r="AS56" s="51">
        <f>$AM56*'full_calcs on correct masses '!$G$29</f>
        <v>2505895.9898435902</v>
      </c>
    </row>
    <row r="57" spans="35:46" x14ac:dyDescent="0.2">
      <c r="AI57" s="48" t="s">
        <v>292</v>
      </c>
      <c r="AJ57" s="51">
        <f>(Q47*6.02214076E+23)/(Z47*650*1000000000)</f>
        <v>1173.2048127369269</v>
      </c>
      <c r="AL57" s="48" t="s">
        <v>292</v>
      </c>
      <c r="AM57" s="52">
        <f>AJ57* 1000000000/'full_calcs on correct masses '!$G$34</f>
        <v>234640962547.38541</v>
      </c>
      <c r="AO57" s="48" t="s">
        <v>292</v>
      </c>
      <c r="AP57" s="51">
        <f>$AM57*'full_calcs on correct masses '!$G$29</f>
        <v>1686304.3265887243</v>
      </c>
      <c r="AR57" s="48" t="s">
        <v>292</v>
      </c>
      <c r="AS57" s="51">
        <f>$AM57*'full_calcs on correct masses '!$G$29</f>
        <v>1686304.3265887243</v>
      </c>
    </row>
    <row r="58" spans="35:46" x14ac:dyDescent="0.2">
      <c r="AI58" s="48" t="s">
        <v>293</v>
      </c>
      <c r="AJ58" s="51">
        <f>'full_calcs on correct masses '!G102</f>
        <v>5791.5679546416768</v>
      </c>
      <c r="AK58" t="s">
        <v>309</v>
      </c>
      <c r="AL58" s="48" t="s">
        <v>293</v>
      </c>
      <c r="AM58" s="52">
        <f>'full_calcs on correct masses '!G104</f>
        <v>1158313590928.3352</v>
      </c>
      <c r="AN58" s="53" t="s">
        <v>309</v>
      </c>
      <c r="AO58" s="48" t="s">
        <v>293</v>
      </c>
      <c r="AP58" s="51">
        <f>'full_calcs on correct masses '!$G$105</f>
        <v>8324502.2468509236</v>
      </c>
      <c r="AQ58" s="53" t="s">
        <v>309</v>
      </c>
      <c r="AR58" s="48" t="s">
        <v>293</v>
      </c>
      <c r="AS58" s="51">
        <f>'full_calcs on correct masses '!$G$105</f>
        <v>8324502.2468509236</v>
      </c>
      <c r="AT58" s="53" t="s">
        <v>309</v>
      </c>
    </row>
  </sheetData>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FB9F-0C2A-0F43-B368-C0466A3B1D76}">
  <dimension ref="A1:M85"/>
  <sheetViews>
    <sheetView workbookViewId="0">
      <pane ySplit="2" topLeftCell="A31" activePane="bottomLeft" state="frozen"/>
      <selection pane="bottomLeft" activeCell="G37" sqref="G37:H37"/>
    </sheetView>
  </sheetViews>
  <sheetFormatPr baseColWidth="10" defaultRowHeight="16" x14ac:dyDescent="0.2"/>
  <cols>
    <col min="1" max="1" width="12.5" bestFit="1" customWidth="1"/>
    <col min="2" max="2" width="22.1640625" bestFit="1" customWidth="1"/>
    <col min="3" max="3" width="22.1640625" customWidth="1"/>
    <col min="4" max="4" width="50.5" bestFit="1" customWidth="1"/>
    <col min="5" max="5" width="11.6640625" bestFit="1" customWidth="1"/>
    <col min="6" max="6" width="12.6640625" bestFit="1" customWidth="1"/>
    <col min="7" max="9" width="22" customWidth="1"/>
    <col min="10" max="10" width="22" bestFit="1" customWidth="1"/>
    <col min="12" max="12" width="64.5" customWidth="1"/>
  </cols>
  <sheetData>
    <row r="1" spans="1:13" x14ac:dyDescent="0.2">
      <c r="A1" t="s">
        <v>154</v>
      </c>
    </row>
    <row r="3" spans="1:13" x14ac:dyDescent="0.2">
      <c r="A3" t="s">
        <v>3</v>
      </c>
      <c r="B3" t="s">
        <v>4</v>
      </c>
      <c r="C3" t="s">
        <v>59</v>
      </c>
      <c r="D3" t="s">
        <v>0</v>
      </c>
      <c r="E3" t="s">
        <v>1</v>
      </c>
      <c r="F3" t="s">
        <v>7</v>
      </c>
      <c r="G3" t="s">
        <v>78</v>
      </c>
      <c r="H3" t="s">
        <v>79</v>
      </c>
      <c r="I3" t="s">
        <v>177</v>
      </c>
      <c r="J3" t="s">
        <v>178</v>
      </c>
      <c r="K3" t="s">
        <v>2</v>
      </c>
      <c r="L3" t="s">
        <v>23</v>
      </c>
      <c r="M3" t="s">
        <v>16</v>
      </c>
    </row>
    <row r="4" spans="1:13" x14ac:dyDescent="0.2">
      <c r="A4">
        <v>1</v>
      </c>
      <c r="B4" t="s">
        <v>5</v>
      </c>
      <c r="C4" t="b">
        <v>1</v>
      </c>
      <c r="D4" t="s">
        <v>6</v>
      </c>
      <c r="E4" t="s">
        <v>8</v>
      </c>
      <c r="F4" t="s">
        <v>9</v>
      </c>
      <c r="G4">
        <v>7</v>
      </c>
      <c r="H4">
        <v>7.18</v>
      </c>
      <c r="I4">
        <v>7</v>
      </c>
      <c r="J4">
        <v>7.18</v>
      </c>
      <c r="K4" t="b">
        <v>0</v>
      </c>
    </row>
    <row r="5" spans="1:13" x14ac:dyDescent="0.2">
      <c r="A5">
        <v>1</v>
      </c>
      <c r="B5" t="s">
        <v>5</v>
      </c>
      <c r="C5" t="b">
        <v>1</v>
      </c>
      <c r="D5" t="s">
        <v>10</v>
      </c>
      <c r="E5" t="s">
        <v>8</v>
      </c>
      <c r="F5" t="s">
        <v>9</v>
      </c>
      <c r="G5">
        <v>17.041599999999999</v>
      </c>
      <c r="H5">
        <v>16.899999999999999</v>
      </c>
      <c r="I5">
        <v>17.041599999999999</v>
      </c>
      <c r="J5">
        <v>16.899999999999999</v>
      </c>
      <c r="K5" t="b">
        <v>0</v>
      </c>
    </row>
    <row r="6" spans="1:13" x14ac:dyDescent="0.2">
      <c r="A6">
        <v>1</v>
      </c>
      <c r="B6" t="s">
        <v>5</v>
      </c>
      <c r="C6" t="b">
        <v>0</v>
      </c>
      <c r="D6" t="s">
        <v>75</v>
      </c>
      <c r="E6" t="s">
        <v>77</v>
      </c>
      <c r="F6" t="s">
        <v>67</v>
      </c>
      <c r="G6">
        <f>G5 *1000</f>
        <v>17041.599999999999</v>
      </c>
      <c r="H6">
        <f>H5 *1000</f>
        <v>16900</v>
      </c>
      <c r="I6">
        <f>I5 *1000</f>
        <v>17041.599999999999</v>
      </c>
      <c r="J6">
        <f>J5 *1000</f>
        <v>16900</v>
      </c>
      <c r="K6" t="b">
        <v>0</v>
      </c>
      <c r="L6" t="s">
        <v>76</v>
      </c>
    </row>
    <row r="7" spans="1:13" x14ac:dyDescent="0.2">
      <c r="A7">
        <v>1</v>
      </c>
      <c r="B7" t="s">
        <v>5</v>
      </c>
      <c r="C7" t="b">
        <v>1</v>
      </c>
      <c r="D7" t="s">
        <v>11</v>
      </c>
      <c r="E7" t="s">
        <v>8</v>
      </c>
      <c r="F7" t="s">
        <v>12</v>
      </c>
      <c r="G7">
        <v>1.1027</v>
      </c>
      <c r="H7">
        <v>1.1100000000000001</v>
      </c>
      <c r="I7">
        <v>1.1027</v>
      </c>
      <c r="J7">
        <v>1.1100000000000001</v>
      </c>
      <c r="K7" t="b">
        <v>0</v>
      </c>
    </row>
    <row r="8" spans="1:13" x14ac:dyDescent="0.2">
      <c r="A8">
        <v>1</v>
      </c>
      <c r="B8" t="s">
        <v>5</v>
      </c>
      <c r="C8" t="b">
        <v>1</v>
      </c>
      <c r="D8" t="s">
        <v>21</v>
      </c>
      <c r="E8" t="s">
        <v>13</v>
      </c>
      <c r="F8" t="s">
        <v>22</v>
      </c>
      <c r="G8">
        <f>(G5-G4)/G7</f>
        <v>9.1063752607236772</v>
      </c>
      <c r="H8">
        <f>(H5-H4)/H7</f>
        <v>8.7567567567567544</v>
      </c>
      <c r="I8">
        <f>(I5-I4)/I7</f>
        <v>9.1063752607236772</v>
      </c>
      <c r="J8">
        <f>(J5-J4)/J7</f>
        <v>8.7567567567567544</v>
      </c>
      <c r="K8" t="b">
        <v>0</v>
      </c>
      <c r="L8" t="s">
        <v>38</v>
      </c>
    </row>
    <row r="9" spans="1:13" x14ac:dyDescent="0.2">
      <c r="A9">
        <v>1</v>
      </c>
      <c r="B9" t="s">
        <v>5</v>
      </c>
      <c r="C9" t="b">
        <v>0</v>
      </c>
      <c r="D9" t="s">
        <v>62</v>
      </c>
      <c r="E9" t="s">
        <v>13</v>
      </c>
      <c r="F9" t="s">
        <v>9</v>
      </c>
      <c r="G9">
        <f>G8*G7</f>
        <v>10.041599999999999</v>
      </c>
      <c r="H9">
        <f>H8*H7</f>
        <v>9.7199999999999989</v>
      </c>
      <c r="I9">
        <f>I8*I7</f>
        <v>10.041599999999999</v>
      </c>
      <c r="J9">
        <f>J8*J7</f>
        <v>9.7199999999999989</v>
      </c>
      <c r="K9" t="b">
        <v>0</v>
      </c>
      <c r="L9" t="s">
        <v>63</v>
      </c>
    </row>
    <row r="10" spans="1:13" x14ac:dyDescent="0.2">
      <c r="A10">
        <v>2</v>
      </c>
      <c r="B10" t="s">
        <v>14</v>
      </c>
      <c r="C10" t="b">
        <v>1</v>
      </c>
      <c r="D10" t="s">
        <v>19</v>
      </c>
      <c r="E10" t="s">
        <v>8</v>
      </c>
      <c r="F10" t="s">
        <v>12</v>
      </c>
      <c r="G10">
        <v>1.06</v>
      </c>
      <c r="H10">
        <v>1.06</v>
      </c>
      <c r="I10">
        <v>1.06</v>
      </c>
      <c r="J10">
        <v>1.06</v>
      </c>
      <c r="K10" t="b">
        <v>0</v>
      </c>
      <c r="M10" t="s">
        <v>20</v>
      </c>
    </row>
    <row r="11" spans="1:13" x14ac:dyDescent="0.2">
      <c r="A11">
        <v>2</v>
      </c>
      <c r="B11" t="s">
        <v>14</v>
      </c>
      <c r="C11" t="b">
        <v>1</v>
      </c>
      <c r="D11" t="s">
        <v>15</v>
      </c>
      <c r="E11" t="s">
        <v>18</v>
      </c>
      <c r="F11" t="s">
        <v>9</v>
      </c>
      <c r="G11">
        <v>20.478000000000002</v>
      </c>
      <c r="H11">
        <v>20.478000000000002</v>
      </c>
      <c r="I11">
        <v>20.478000000000002</v>
      </c>
      <c r="J11">
        <v>20.478000000000002</v>
      </c>
      <c r="K11" t="b">
        <v>0</v>
      </c>
      <c r="M11" t="s">
        <v>17</v>
      </c>
    </row>
    <row r="12" spans="1:13" x14ac:dyDescent="0.2">
      <c r="A12">
        <v>2</v>
      </c>
      <c r="B12" t="s">
        <v>14</v>
      </c>
      <c r="C12" t="b">
        <v>0</v>
      </c>
      <c r="D12" t="s">
        <v>73</v>
      </c>
      <c r="E12" t="s">
        <v>13</v>
      </c>
      <c r="F12" t="s">
        <v>67</v>
      </c>
      <c r="G12">
        <f>G11*1000</f>
        <v>20478</v>
      </c>
      <c r="H12">
        <f>H11*1000</f>
        <v>20478</v>
      </c>
      <c r="I12">
        <f>I11*1000</f>
        <v>20478</v>
      </c>
      <c r="J12">
        <f>J11*1000</f>
        <v>20478</v>
      </c>
      <c r="K12" t="b">
        <v>0</v>
      </c>
      <c r="L12" t="s">
        <v>74</v>
      </c>
    </row>
    <row r="13" spans="1:13" x14ac:dyDescent="0.2">
      <c r="A13">
        <v>2</v>
      </c>
      <c r="B13" t="s">
        <v>14</v>
      </c>
      <c r="C13" t="b">
        <v>0</v>
      </c>
      <c r="D13" t="s">
        <v>64</v>
      </c>
      <c r="E13" t="s">
        <v>13</v>
      </c>
      <c r="F13" t="s">
        <v>9</v>
      </c>
      <c r="G13">
        <f>G11-G5</f>
        <v>3.4364000000000026</v>
      </c>
      <c r="H13">
        <f>H11-H5</f>
        <v>3.578000000000003</v>
      </c>
      <c r="I13">
        <f>I11-I5</f>
        <v>3.4364000000000026</v>
      </c>
      <c r="J13">
        <f>J11-J5</f>
        <v>3.578000000000003</v>
      </c>
      <c r="K13" t="b">
        <v>0</v>
      </c>
      <c r="L13" t="s">
        <v>65</v>
      </c>
    </row>
    <row r="14" spans="1:13" x14ac:dyDescent="0.2">
      <c r="A14">
        <v>2</v>
      </c>
      <c r="B14" t="s">
        <v>14</v>
      </c>
      <c r="C14" t="b">
        <v>0</v>
      </c>
      <c r="D14" t="s">
        <v>66</v>
      </c>
      <c r="E14" t="s">
        <v>13</v>
      </c>
      <c r="F14" t="s">
        <v>67</v>
      </c>
      <c r="G14">
        <f>G13*1000</f>
        <v>3436.4000000000024</v>
      </c>
      <c r="H14">
        <f>H13*1000</f>
        <v>3578.0000000000027</v>
      </c>
      <c r="I14">
        <f>I13*1000</f>
        <v>3436.4000000000024</v>
      </c>
      <c r="J14">
        <f>J13*1000</f>
        <v>3578.0000000000027</v>
      </c>
      <c r="K14" t="b">
        <v>0</v>
      </c>
      <c r="L14" t="s">
        <v>68</v>
      </c>
    </row>
    <row r="15" spans="1:13" x14ac:dyDescent="0.2">
      <c r="A15">
        <v>2</v>
      </c>
      <c r="B15" t="s">
        <v>14</v>
      </c>
      <c r="C15" t="b">
        <v>1</v>
      </c>
      <c r="D15" t="s">
        <v>24</v>
      </c>
      <c r="E15" t="s">
        <v>13</v>
      </c>
      <c r="F15" t="s">
        <v>22</v>
      </c>
      <c r="G15">
        <f>(G11-G5)/G10</f>
        <v>3.2418867924528323</v>
      </c>
      <c r="H15">
        <f>(H11-H5)/H10</f>
        <v>3.37547169811321</v>
      </c>
      <c r="I15">
        <f>(I11-I5)/I10</f>
        <v>3.2418867924528323</v>
      </c>
      <c r="J15">
        <f>(J11-J5)/J10</f>
        <v>3.37547169811321</v>
      </c>
      <c r="K15" t="b">
        <v>0</v>
      </c>
      <c r="L15" t="s">
        <v>26</v>
      </c>
      <c r="M15" t="s">
        <v>25</v>
      </c>
    </row>
    <row r="16" spans="1:13" x14ac:dyDescent="0.2">
      <c r="A16">
        <v>3</v>
      </c>
      <c r="B16" t="s">
        <v>28</v>
      </c>
      <c r="C16" t="b">
        <v>1</v>
      </c>
      <c r="D16" t="s">
        <v>27</v>
      </c>
      <c r="E16" t="s">
        <v>13</v>
      </c>
      <c r="F16" t="s">
        <v>22</v>
      </c>
      <c r="G16">
        <f>G8+G15</f>
        <v>12.348262053176509</v>
      </c>
      <c r="H16">
        <f>H8+H15</f>
        <v>12.132228454869963</v>
      </c>
      <c r="I16">
        <f>I8+I15</f>
        <v>12.348262053176509</v>
      </c>
      <c r="J16">
        <f>J8+J15</f>
        <v>12.132228454869963</v>
      </c>
      <c r="K16" t="b">
        <v>0</v>
      </c>
      <c r="L16" t="s">
        <v>29</v>
      </c>
    </row>
    <row r="17" spans="1:13" x14ac:dyDescent="0.2">
      <c r="A17">
        <v>3</v>
      </c>
      <c r="B17" t="s">
        <v>28</v>
      </c>
      <c r="C17" t="b">
        <v>1</v>
      </c>
      <c r="D17" t="s">
        <v>30</v>
      </c>
      <c r="E17" t="s">
        <v>13</v>
      </c>
      <c r="F17" t="s">
        <v>12</v>
      </c>
      <c r="G17">
        <f>(G11-G4)/G16</f>
        <v>1.0914896316549159</v>
      </c>
      <c r="H17">
        <f>(H11-H4)/H16</f>
        <v>1.0960888223846534</v>
      </c>
      <c r="I17">
        <f>(I11-I4)/I16</f>
        <v>1.0914896316549159</v>
      </c>
      <c r="J17">
        <f>(J11-J4)/J16</f>
        <v>1.0960888223846534</v>
      </c>
      <c r="K17" t="b">
        <v>0</v>
      </c>
      <c r="L17" t="s">
        <v>31</v>
      </c>
    </row>
    <row r="18" spans="1:13" x14ac:dyDescent="0.2">
      <c r="A18">
        <v>4</v>
      </c>
      <c r="B18" t="s">
        <v>32</v>
      </c>
      <c r="C18" t="b">
        <v>1</v>
      </c>
      <c r="D18" t="s">
        <v>33</v>
      </c>
      <c r="E18" t="s">
        <v>8</v>
      </c>
      <c r="F18" t="s">
        <v>22</v>
      </c>
      <c r="G18">
        <v>0.1</v>
      </c>
      <c r="H18">
        <v>0.1</v>
      </c>
      <c r="I18">
        <v>0.1</v>
      </c>
      <c r="J18">
        <v>0.1</v>
      </c>
      <c r="K18" t="b">
        <v>0</v>
      </c>
    </row>
    <row r="19" spans="1:13" x14ac:dyDescent="0.2">
      <c r="A19">
        <v>4</v>
      </c>
      <c r="B19" t="s">
        <v>32</v>
      </c>
      <c r="C19" t="b">
        <v>1</v>
      </c>
      <c r="D19" t="s">
        <v>34</v>
      </c>
      <c r="E19" t="s">
        <v>8</v>
      </c>
      <c r="F19" t="s">
        <v>35</v>
      </c>
      <c r="G19">
        <f>G18*1000</f>
        <v>100</v>
      </c>
      <c r="H19">
        <f>H18*1000</f>
        <v>100</v>
      </c>
      <c r="I19">
        <f>I18*1000</f>
        <v>100</v>
      </c>
      <c r="J19">
        <f>J18*1000</f>
        <v>100</v>
      </c>
      <c r="K19" t="b">
        <v>0</v>
      </c>
    </row>
    <row r="20" spans="1:13" x14ac:dyDescent="0.2">
      <c r="A20">
        <v>4</v>
      </c>
      <c r="B20" t="s">
        <v>32</v>
      </c>
      <c r="C20" t="b">
        <v>0</v>
      </c>
      <c r="D20" t="s">
        <v>69</v>
      </c>
      <c r="E20" t="s">
        <v>13</v>
      </c>
      <c r="F20" t="s">
        <v>9</v>
      </c>
      <c r="G20">
        <f>G17*G18</f>
        <v>0.10914896316549159</v>
      </c>
      <c r="H20">
        <f>H17*H18</f>
        <v>0.10960888223846535</v>
      </c>
      <c r="I20">
        <f>I17*I18</f>
        <v>0.10914896316549159</v>
      </c>
      <c r="J20">
        <f>J17*J18</f>
        <v>0.10960888223846535</v>
      </c>
      <c r="K20" t="b">
        <v>0</v>
      </c>
      <c r="L20" t="s">
        <v>70</v>
      </c>
    </row>
    <row r="21" spans="1:13" x14ac:dyDescent="0.2">
      <c r="A21">
        <v>4</v>
      </c>
      <c r="B21" t="s">
        <v>32</v>
      </c>
      <c r="C21" t="b">
        <v>1</v>
      </c>
      <c r="D21" t="s">
        <v>36</v>
      </c>
      <c r="E21" t="s">
        <v>13</v>
      </c>
      <c r="F21" t="s">
        <v>9</v>
      </c>
      <c r="G21">
        <f>((G18*G10*G7)-(G18*G10*G17))/(G7-G10)</f>
        <v>2.7829017437445314E-2</v>
      </c>
      <c r="H21">
        <f>((H18*H10*H7)-(H18*H10*H17))/(H7-H10)</f>
        <v>2.9491696544534901E-2</v>
      </c>
      <c r="I21">
        <f>((I18*I10*I7)-(I18*I10*I17))/(I7-I10)</f>
        <v>2.7829017437445314E-2</v>
      </c>
      <c r="J21">
        <f>((J18*J10*J7)-(J18*J10*J17))/(J7-J10)</f>
        <v>2.9491696544534901E-2</v>
      </c>
      <c r="K21" t="b">
        <v>0</v>
      </c>
      <c r="L21" t="s">
        <v>37</v>
      </c>
    </row>
    <row r="22" spans="1:13" x14ac:dyDescent="0.2">
      <c r="A22">
        <v>4</v>
      </c>
      <c r="B22" t="s">
        <v>32</v>
      </c>
      <c r="C22" t="b">
        <v>0</v>
      </c>
      <c r="D22" t="s">
        <v>60</v>
      </c>
      <c r="E22" t="s">
        <v>13</v>
      </c>
      <c r="F22" t="s">
        <v>67</v>
      </c>
      <c r="G22">
        <f>G21*1000</f>
        <v>27.829017437445312</v>
      </c>
      <c r="H22">
        <f>H21*1000</f>
        <v>29.4916965445349</v>
      </c>
      <c r="I22">
        <f>I21*1000</f>
        <v>27.829017437445312</v>
      </c>
      <c r="J22">
        <f>J21*1000</f>
        <v>29.4916965445349</v>
      </c>
      <c r="K22" t="b">
        <v>0</v>
      </c>
      <c r="L22" t="s">
        <v>61</v>
      </c>
    </row>
    <row r="23" spans="1:13" x14ac:dyDescent="0.2">
      <c r="A23">
        <v>4</v>
      </c>
      <c r="B23" t="s">
        <v>32</v>
      </c>
      <c r="C23" t="b">
        <v>0</v>
      </c>
      <c r="D23" t="s">
        <v>71</v>
      </c>
      <c r="E23" t="s">
        <v>13</v>
      </c>
      <c r="F23" t="s">
        <v>9</v>
      </c>
      <c r="G23">
        <f>G20-G21</f>
        <v>8.1319945728046281E-2</v>
      </c>
      <c r="H23">
        <f>H20-H21</f>
        <v>8.0117185693930448E-2</v>
      </c>
      <c r="I23">
        <f>I20-I21</f>
        <v>8.1319945728046281E-2</v>
      </c>
      <c r="J23">
        <f>J20-J21</f>
        <v>8.0117185693930448E-2</v>
      </c>
      <c r="K23" t="b">
        <v>0</v>
      </c>
      <c r="L23" t="s">
        <v>72</v>
      </c>
    </row>
    <row r="24" spans="1:13" x14ac:dyDescent="0.2">
      <c r="A24">
        <v>5</v>
      </c>
      <c r="B24" t="s">
        <v>40</v>
      </c>
      <c r="C24" t="b">
        <v>1</v>
      </c>
      <c r="D24" t="s">
        <v>39</v>
      </c>
      <c r="E24" t="s">
        <v>8</v>
      </c>
      <c r="F24" t="s">
        <v>35</v>
      </c>
      <c r="G24">
        <v>100</v>
      </c>
      <c r="H24">
        <v>100</v>
      </c>
      <c r="I24" s="15">
        <v>70</v>
      </c>
      <c r="J24" s="15">
        <v>70</v>
      </c>
      <c r="K24" t="b">
        <v>0</v>
      </c>
      <c r="M24" s="1"/>
    </row>
    <row r="25" spans="1:13" x14ac:dyDescent="0.2">
      <c r="A25">
        <v>5</v>
      </c>
      <c r="B25" t="s">
        <v>40</v>
      </c>
      <c r="C25" t="b">
        <v>1</v>
      </c>
      <c r="D25" t="s">
        <v>45</v>
      </c>
      <c r="E25" t="s">
        <v>13</v>
      </c>
      <c r="F25" t="s">
        <v>42</v>
      </c>
      <c r="G25">
        <f>(G21*10^9)/G24</f>
        <v>278290.17437445314</v>
      </c>
      <c r="H25">
        <f>(H21*10^9)/H24</f>
        <v>294916.96544534899</v>
      </c>
      <c r="I25">
        <f>(I21*10^9)/I24</f>
        <v>397557.39196350449</v>
      </c>
      <c r="J25">
        <f>(J21*10^9)/J24</f>
        <v>421309.95063621283</v>
      </c>
      <c r="K25" t="b">
        <v>0</v>
      </c>
      <c r="L25" t="s">
        <v>80</v>
      </c>
    </row>
    <row r="26" spans="1:13" x14ac:dyDescent="0.2">
      <c r="A26">
        <v>7</v>
      </c>
      <c r="B26" t="s">
        <v>41</v>
      </c>
      <c r="C26" t="b">
        <v>1</v>
      </c>
      <c r="D26" t="s">
        <v>58</v>
      </c>
      <c r="E26" t="s">
        <v>18</v>
      </c>
      <c r="F26" t="s">
        <v>42</v>
      </c>
      <c r="G26">
        <v>2</v>
      </c>
      <c r="H26" s="34">
        <v>1.4</v>
      </c>
      <c r="I26" s="35">
        <v>6</v>
      </c>
      <c r="J26" s="34">
        <v>1.4</v>
      </c>
      <c r="K26" t="b">
        <v>0</v>
      </c>
      <c r="L26" t="s">
        <v>43</v>
      </c>
    </row>
    <row r="27" spans="1:13" x14ac:dyDescent="0.2">
      <c r="A27" s="2">
        <v>7</v>
      </c>
      <c r="B27" s="2" t="s">
        <v>41</v>
      </c>
      <c r="C27" t="b">
        <v>1</v>
      </c>
      <c r="D27" t="s">
        <v>47</v>
      </c>
      <c r="E27" t="s">
        <v>13</v>
      </c>
      <c r="F27" t="s">
        <v>81</v>
      </c>
      <c r="G27" s="29">
        <f>(G26* G24/G21) * (1/(10^9))</f>
        <v>7.186743134196688E-6</v>
      </c>
      <c r="H27" s="29">
        <f>(H26* H24/H21) * (1/(10^9))</f>
        <v>4.7470988923471535E-6</v>
      </c>
      <c r="I27" s="29">
        <f>(I26* I24/I21) * (1/(10^9))</f>
        <v>1.5092160581813043E-5</v>
      </c>
      <c r="J27" s="29">
        <f>(J26* J24/J21) * (1/(10^9))</f>
        <v>3.3229692246430076E-6</v>
      </c>
      <c r="K27" t="b">
        <v>0</v>
      </c>
      <c r="L27" t="s">
        <v>106</v>
      </c>
    </row>
    <row r="28" spans="1:13" x14ac:dyDescent="0.2">
      <c r="A28" s="2">
        <v>8</v>
      </c>
      <c r="B28" s="2" t="s">
        <v>48</v>
      </c>
      <c r="C28" t="b">
        <v>1</v>
      </c>
      <c r="D28" t="s">
        <v>52</v>
      </c>
      <c r="E28" t="s">
        <v>8</v>
      </c>
      <c r="F28" t="s">
        <v>35</v>
      </c>
      <c r="G28">
        <v>3.4</v>
      </c>
      <c r="H28">
        <v>3.4</v>
      </c>
      <c r="I28">
        <v>3.4</v>
      </c>
      <c r="J28">
        <v>3.4</v>
      </c>
      <c r="K28" t="b">
        <v>1</v>
      </c>
    </row>
    <row r="29" spans="1:13" x14ac:dyDescent="0.2">
      <c r="A29" s="2">
        <v>8</v>
      </c>
      <c r="B29" s="2" t="s">
        <v>48</v>
      </c>
      <c r="C29" t="b">
        <v>1</v>
      </c>
      <c r="D29" t="s">
        <v>53</v>
      </c>
      <c r="E29" t="s">
        <v>8</v>
      </c>
      <c r="F29" t="s">
        <v>44</v>
      </c>
      <c r="G29">
        <v>5</v>
      </c>
      <c r="H29">
        <v>5</v>
      </c>
      <c r="I29">
        <v>5</v>
      </c>
      <c r="J29">
        <v>5</v>
      </c>
      <c r="K29" t="b">
        <v>1</v>
      </c>
    </row>
    <row r="30" spans="1:13" x14ac:dyDescent="0.2">
      <c r="A30">
        <v>8</v>
      </c>
      <c r="B30" t="s">
        <v>48</v>
      </c>
      <c r="C30" t="b">
        <v>1</v>
      </c>
      <c r="D30" t="s">
        <v>54</v>
      </c>
      <c r="E30" t="s">
        <v>13</v>
      </c>
      <c r="F30" t="s">
        <v>44</v>
      </c>
      <c r="G30">
        <f>IF(G26&gt;=(G29/G28),G29,G26*G28)</f>
        <v>5</v>
      </c>
      <c r="H30">
        <f>IF(H26&gt;=(H29/H28),H29,H26*H28)</f>
        <v>4.76</v>
      </c>
      <c r="I30">
        <f>IF(I26&gt;=(I29/I28),I29,I26*I28)</f>
        <v>5</v>
      </c>
      <c r="J30">
        <f>IF(J26&gt;=(J29/J28),J29,J26*J28)</f>
        <v>4.76</v>
      </c>
      <c r="K30" t="b">
        <v>0</v>
      </c>
      <c r="L30" t="s">
        <v>105</v>
      </c>
    </row>
    <row r="31" spans="1:13" x14ac:dyDescent="0.2">
      <c r="A31" s="2">
        <v>9</v>
      </c>
      <c r="B31" s="2" t="s">
        <v>51</v>
      </c>
      <c r="C31" t="b">
        <v>1</v>
      </c>
      <c r="D31" t="s">
        <v>57</v>
      </c>
      <c r="E31" t="s">
        <v>8</v>
      </c>
      <c r="F31" t="s">
        <v>46</v>
      </c>
      <c r="G31">
        <v>1</v>
      </c>
      <c r="H31">
        <v>1</v>
      </c>
      <c r="I31">
        <v>1</v>
      </c>
      <c r="J31">
        <v>1</v>
      </c>
      <c r="K31" t="b">
        <v>1</v>
      </c>
    </row>
    <row r="32" spans="1:13" x14ac:dyDescent="0.2">
      <c r="A32">
        <v>9</v>
      </c>
      <c r="B32" t="s">
        <v>51</v>
      </c>
      <c r="C32" t="b">
        <v>0</v>
      </c>
      <c r="D32" t="s">
        <v>49</v>
      </c>
      <c r="E32" t="s">
        <v>8</v>
      </c>
      <c r="F32" t="s">
        <v>42</v>
      </c>
      <c r="G32">
        <v>2.2222</v>
      </c>
      <c r="H32">
        <v>2.2222</v>
      </c>
      <c r="I32">
        <v>2.2222</v>
      </c>
      <c r="J32">
        <v>2.2222</v>
      </c>
      <c r="K32" t="b">
        <v>1</v>
      </c>
      <c r="L32" t="s">
        <v>170</v>
      </c>
      <c r="M32" t="s">
        <v>50</v>
      </c>
    </row>
    <row r="33" spans="1:13" x14ac:dyDescent="0.2">
      <c r="A33" s="2">
        <v>9</v>
      </c>
      <c r="B33" s="2" t="s">
        <v>51</v>
      </c>
      <c r="C33" t="b">
        <v>1</v>
      </c>
      <c r="D33" t="s">
        <v>55</v>
      </c>
      <c r="E33" t="s">
        <v>13</v>
      </c>
      <c r="F33" t="s">
        <v>44</v>
      </c>
      <c r="G33">
        <f>G30/20</f>
        <v>0.25</v>
      </c>
      <c r="H33">
        <f>H30/20</f>
        <v>0.23799999999999999</v>
      </c>
      <c r="I33">
        <f>I30/20</f>
        <v>0.25</v>
      </c>
      <c r="J33">
        <f>J30/20</f>
        <v>0.23799999999999999</v>
      </c>
      <c r="K33" t="b">
        <v>0</v>
      </c>
      <c r="L33" t="s">
        <v>56</v>
      </c>
    </row>
    <row r="35" spans="1:13" x14ac:dyDescent="0.2">
      <c r="B35" s="2" t="s">
        <v>82</v>
      </c>
      <c r="C35" t="b">
        <v>1</v>
      </c>
      <c r="D35" t="s">
        <v>91</v>
      </c>
      <c r="E35" t="s">
        <v>8</v>
      </c>
      <c r="F35" t="s">
        <v>93</v>
      </c>
      <c r="G35" s="4">
        <v>650</v>
      </c>
      <c r="H35" s="4">
        <v>650</v>
      </c>
      <c r="I35" s="4">
        <v>650</v>
      </c>
      <c r="J35" s="4">
        <v>650</v>
      </c>
    </row>
    <row r="36" spans="1:13" x14ac:dyDescent="0.2">
      <c r="B36" s="2"/>
      <c r="G36" s="4"/>
      <c r="H36" s="4"/>
      <c r="I36" s="4"/>
      <c r="J36" s="4"/>
    </row>
    <row r="37" spans="1:13" x14ac:dyDescent="0.2">
      <c r="B37" s="2"/>
      <c r="G37" t="s">
        <v>255</v>
      </c>
      <c r="H37" t="s">
        <v>256</v>
      </c>
      <c r="I37" t="s">
        <v>177</v>
      </c>
      <c r="J37" t="s">
        <v>178</v>
      </c>
    </row>
    <row r="38" spans="1:13" x14ac:dyDescent="0.2">
      <c r="G38" t="s">
        <v>195</v>
      </c>
      <c r="H38" t="s">
        <v>195</v>
      </c>
      <c r="I38" t="s">
        <v>195</v>
      </c>
      <c r="J38" t="s">
        <v>195</v>
      </c>
      <c r="L38" t="s">
        <v>212</v>
      </c>
    </row>
    <row r="39" spans="1:13" x14ac:dyDescent="0.2">
      <c r="B39" s="2" t="s">
        <v>82</v>
      </c>
      <c r="C39" t="b">
        <v>1</v>
      </c>
      <c r="D39" t="s">
        <v>88</v>
      </c>
      <c r="E39" t="s">
        <v>8</v>
      </c>
      <c r="F39" t="s">
        <v>89</v>
      </c>
      <c r="G39" s="43">
        <v>6.0220000000000003E+23</v>
      </c>
      <c r="H39" s="43">
        <v>6.0220000000000003E+23</v>
      </c>
      <c r="I39" s="43">
        <v>6.0220000000000003E+23</v>
      </c>
      <c r="J39" s="43">
        <v>6.0220000000000003E+23</v>
      </c>
      <c r="M39" t="s">
        <v>90</v>
      </c>
    </row>
    <row r="40" spans="1:13" x14ac:dyDescent="0.2">
      <c r="B40" s="6" t="s">
        <v>82</v>
      </c>
      <c r="C40" s="7" t="b">
        <v>1</v>
      </c>
      <c r="D40" s="7" t="s">
        <v>83</v>
      </c>
      <c r="E40" s="7" t="s">
        <v>13</v>
      </c>
      <c r="F40" s="7" t="s">
        <v>44</v>
      </c>
      <c r="G40" s="7">
        <v>0.54168919427718798</v>
      </c>
      <c r="H40" s="7">
        <v>0.167212256132342</v>
      </c>
      <c r="I40" s="7">
        <v>0.54168919427718798</v>
      </c>
      <c r="J40" s="7">
        <v>0.167212256132342</v>
      </c>
      <c r="K40" t="b">
        <v>1</v>
      </c>
      <c r="L40" t="s">
        <v>176</v>
      </c>
      <c r="M40" t="s">
        <v>104</v>
      </c>
    </row>
    <row r="41" spans="1:13" x14ac:dyDescent="0.2">
      <c r="B41" s="9" t="s">
        <v>82</v>
      </c>
      <c r="C41" t="b">
        <v>1</v>
      </c>
      <c r="D41" t="s">
        <v>85</v>
      </c>
      <c r="E41" t="s">
        <v>8</v>
      </c>
      <c r="F41" t="s">
        <v>84</v>
      </c>
      <c r="G41">
        <v>1904788.3330000001</v>
      </c>
      <c r="H41">
        <v>1904788.3330000001</v>
      </c>
      <c r="I41">
        <v>1904788.3330000001</v>
      </c>
      <c r="J41">
        <v>1904788.3330000001</v>
      </c>
      <c r="K41" t="b">
        <v>1</v>
      </c>
      <c r="M41" t="s">
        <v>104</v>
      </c>
    </row>
    <row r="42" spans="1:13" x14ac:dyDescent="0.2">
      <c r="B42" s="9" t="s">
        <v>82</v>
      </c>
      <c r="C42" t="b">
        <v>1</v>
      </c>
      <c r="D42" t="s">
        <v>86</v>
      </c>
      <c r="E42" t="s">
        <v>13</v>
      </c>
      <c r="F42" t="s">
        <v>87</v>
      </c>
      <c r="G42" s="5">
        <f>(G40*G$39)/(G41*G$35*10^9)</f>
        <v>263469.80165907741</v>
      </c>
      <c r="H42" s="5">
        <f>(H40*H39)/(H41*H35*10^9)</f>
        <v>81329.62670030928</v>
      </c>
      <c r="I42" s="11">
        <f>(I40*I39)/(I41*I35*10^9)</f>
        <v>263469.80165907741</v>
      </c>
      <c r="J42" s="5">
        <f>(J40*J39)/(J41*J35*10^9)</f>
        <v>81329.62670030928</v>
      </c>
      <c r="K42" t="b">
        <v>1</v>
      </c>
      <c r="L42" t="s">
        <v>94</v>
      </c>
      <c r="M42" t="s">
        <v>92</v>
      </c>
    </row>
    <row r="43" spans="1:13" x14ac:dyDescent="0.2">
      <c r="B43" s="9" t="s">
        <v>82</v>
      </c>
      <c r="C43" t="b">
        <v>1</v>
      </c>
      <c r="D43" t="s">
        <v>95</v>
      </c>
      <c r="E43" t="s">
        <v>13</v>
      </c>
      <c r="F43" t="s">
        <v>96</v>
      </c>
      <c r="G43">
        <f>G42/G$30</f>
        <v>52693.960331815484</v>
      </c>
      <c r="H43">
        <f>H42/H30</f>
        <v>17086.056029476742</v>
      </c>
      <c r="I43" s="10">
        <f>I42/I30</f>
        <v>52693.960331815484</v>
      </c>
      <c r="J43">
        <f>J42/J30</f>
        <v>17086.056029476742</v>
      </c>
      <c r="L43" t="s">
        <v>97</v>
      </c>
      <c r="M43" t="s">
        <v>104</v>
      </c>
    </row>
    <row r="44" spans="1:13" x14ac:dyDescent="0.2">
      <c r="B44" s="9" t="s">
        <v>82</v>
      </c>
      <c r="C44" t="b">
        <v>1</v>
      </c>
      <c r="D44" t="s">
        <v>98</v>
      </c>
      <c r="E44" t="s">
        <v>13</v>
      </c>
      <c r="F44" t="s">
        <v>99</v>
      </c>
      <c r="G44" s="27">
        <f>G43*10^9</f>
        <v>52693960331815.484</v>
      </c>
      <c r="H44" s="27">
        <f>H43*10^9</f>
        <v>17086056029476.742</v>
      </c>
      <c r="I44" s="28">
        <f>I43*10^9</f>
        <v>52693960331815.484</v>
      </c>
      <c r="J44" s="27">
        <f>J43*10^9</f>
        <v>17086056029476.742</v>
      </c>
      <c r="L44" t="s">
        <v>100</v>
      </c>
      <c r="M44" t="s">
        <v>104</v>
      </c>
    </row>
    <row r="45" spans="1:13" x14ac:dyDescent="0.2">
      <c r="B45" s="12" t="s">
        <v>82</v>
      </c>
      <c r="C45" s="13" t="b">
        <v>1</v>
      </c>
      <c r="D45" s="13" t="s">
        <v>101</v>
      </c>
      <c r="E45" s="13" t="s">
        <v>13</v>
      </c>
      <c r="F45" s="13" t="s">
        <v>102</v>
      </c>
      <c r="G45" s="36">
        <f>G44*G$27</f>
        <v>378697957.62830758</v>
      </c>
      <c r="H45" s="36">
        <f>H44*H27</f>
        <v>81109197.652110443</v>
      </c>
      <c r="I45" s="14">
        <f>I44*I27</f>
        <v>795265711.01944578</v>
      </c>
      <c r="J45" s="36">
        <f>J44*J27</f>
        <v>56776438.356477313</v>
      </c>
      <c r="L45" t="s">
        <v>103</v>
      </c>
      <c r="M45" t="s">
        <v>104</v>
      </c>
    </row>
    <row r="46" spans="1:13" x14ac:dyDescent="0.2">
      <c r="G46" s="4" t="s">
        <v>196</v>
      </c>
      <c r="H46" s="4" t="s">
        <v>196</v>
      </c>
      <c r="I46" s="4" t="s">
        <v>196</v>
      </c>
      <c r="J46" s="4" t="s">
        <v>196</v>
      </c>
      <c r="L46" t="s">
        <v>212</v>
      </c>
    </row>
    <row r="47" spans="1:13" x14ac:dyDescent="0.2">
      <c r="B47" s="2" t="s">
        <v>82</v>
      </c>
      <c r="C47" t="b">
        <v>1</v>
      </c>
      <c r="D47" t="s">
        <v>83</v>
      </c>
      <c r="E47" t="s">
        <v>13</v>
      </c>
      <c r="F47" t="s">
        <v>44</v>
      </c>
      <c r="G47">
        <v>0.65408448128256302</v>
      </c>
      <c r="H47">
        <v>0.20196161687112801</v>
      </c>
      <c r="I47">
        <v>0.65408448128256302</v>
      </c>
      <c r="J47">
        <v>0.20196161687112801</v>
      </c>
    </row>
    <row r="48" spans="1:13" x14ac:dyDescent="0.2">
      <c r="B48" t="s">
        <v>82</v>
      </c>
      <c r="C48" t="b">
        <v>1</v>
      </c>
      <c r="D48" t="s">
        <v>85</v>
      </c>
      <c r="E48" t="s">
        <v>8</v>
      </c>
      <c r="F48" t="s">
        <v>84</v>
      </c>
      <c r="G48">
        <v>4373730</v>
      </c>
      <c r="H48">
        <v>4373730</v>
      </c>
      <c r="I48">
        <v>4373730</v>
      </c>
      <c r="J48">
        <v>4373730</v>
      </c>
    </row>
    <row r="49" spans="2:12" x14ac:dyDescent="0.2">
      <c r="B49" t="s">
        <v>82</v>
      </c>
      <c r="C49" t="b">
        <v>1</v>
      </c>
      <c r="D49" t="s">
        <v>86</v>
      </c>
      <c r="E49" t="s">
        <v>13</v>
      </c>
      <c r="F49" t="s">
        <v>87</v>
      </c>
      <c r="G49" s="5">
        <f>(G47*G$39)/(G48*G$35*10^9)</f>
        <v>138550.87415383683</v>
      </c>
      <c r="H49" s="5">
        <f>(H47*H$39)/(H48*H$35*10^9)</f>
        <v>42780.343157123338</v>
      </c>
      <c r="I49" s="5">
        <f>(I47*I$39)/(I48*I$35*10^9)</f>
        <v>138550.87415383683</v>
      </c>
      <c r="J49" s="5">
        <f>(J47*J$39)/(J48*J$35*10^9)</f>
        <v>42780.343157123338</v>
      </c>
    </row>
    <row r="50" spans="2:12" x14ac:dyDescent="0.2">
      <c r="B50" t="s">
        <v>82</v>
      </c>
      <c r="C50" t="b">
        <v>1</v>
      </c>
      <c r="D50" t="s">
        <v>95</v>
      </c>
      <c r="E50" t="s">
        <v>13</v>
      </c>
      <c r="F50" t="s">
        <v>96</v>
      </c>
      <c r="G50">
        <f>G49/G$30</f>
        <v>27710.174830767366</v>
      </c>
      <c r="H50">
        <f>H49/H$30</f>
        <v>8987.4670498158284</v>
      </c>
      <c r="I50">
        <f>I49/I$30</f>
        <v>27710.174830767366</v>
      </c>
      <c r="J50">
        <f>J49/J$30</f>
        <v>8987.4670498158284</v>
      </c>
    </row>
    <row r="51" spans="2:12" x14ac:dyDescent="0.2">
      <c r="B51" t="s">
        <v>82</v>
      </c>
      <c r="C51" t="b">
        <v>1</v>
      </c>
      <c r="D51" t="s">
        <v>98</v>
      </c>
      <c r="E51" t="s">
        <v>13</v>
      </c>
      <c r="F51" t="s">
        <v>99</v>
      </c>
      <c r="G51" s="27">
        <f>G50*10^9</f>
        <v>27710174830767.367</v>
      </c>
      <c r="H51" s="27">
        <f>H50*10^9</f>
        <v>8987467049815.8281</v>
      </c>
      <c r="I51" s="27">
        <f>I50*10^9</f>
        <v>27710174830767.367</v>
      </c>
      <c r="J51" s="27">
        <f>J50*10^9</f>
        <v>8987467049815.8281</v>
      </c>
    </row>
    <row r="52" spans="2:12" x14ac:dyDescent="0.2">
      <c r="B52" t="s">
        <v>82</v>
      </c>
      <c r="C52" t="b">
        <v>1</v>
      </c>
      <c r="D52" t="s">
        <v>101</v>
      </c>
      <c r="E52" t="s">
        <v>13</v>
      </c>
      <c r="F52" t="s">
        <v>102</v>
      </c>
      <c r="G52" s="4">
        <f>G51*G$27</f>
        <v>199145908.71240723</v>
      </c>
      <c r="H52" s="4">
        <f>H51*H$27</f>
        <v>42664394.877187259</v>
      </c>
      <c r="I52" s="4">
        <f>I51*I$27</f>
        <v>418206408.2960552</v>
      </c>
      <c r="J52" s="4">
        <f>J51*J$27</f>
        <v>29865076.414031081</v>
      </c>
    </row>
    <row r="53" spans="2:12" x14ac:dyDescent="0.2">
      <c r="G53" s="4" t="s">
        <v>200</v>
      </c>
      <c r="H53" s="4" t="s">
        <v>200</v>
      </c>
      <c r="I53" s="4" t="s">
        <v>200</v>
      </c>
      <c r="J53" s="4" t="s">
        <v>200</v>
      </c>
      <c r="L53" t="s">
        <v>212</v>
      </c>
    </row>
    <row r="54" spans="2:12" x14ac:dyDescent="0.2">
      <c r="B54" s="6" t="s">
        <v>82</v>
      </c>
      <c r="C54" s="7" t="b">
        <v>1</v>
      </c>
      <c r="D54" s="7" t="s">
        <v>83</v>
      </c>
      <c r="E54" s="7" t="s">
        <v>13</v>
      </c>
      <c r="F54" s="7" t="s">
        <v>44</v>
      </c>
      <c r="G54" s="8">
        <v>5.4065556339343897E-3</v>
      </c>
      <c r="H54" s="8">
        <v>1.65731861018518E-3</v>
      </c>
      <c r="I54" s="8">
        <v>5.4065556339343897E-3</v>
      </c>
      <c r="J54" s="8">
        <v>1.65731861018518E-3</v>
      </c>
    </row>
    <row r="55" spans="2:12" x14ac:dyDescent="0.2">
      <c r="B55" s="9" t="s">
        <v>82</v>
      </c>
      <c r="C55" t="b">
        <v>1</v>
      </c>
      <c r="D55" t="s">
        <v>85</v>
      </c>
      <c r="E55" t="s">
        <v>8</v>
      </c>
      <c r="F55" t="s">
        <v>84</v>
      </c>
      <c r="G55" s="10">
        <v>89264</v>
      </c>
      <c r="H55" s="10">
        <v>89264</v>
      </c>
      <c r="I55" s="10">
        <v>89264</v>
      </c>
      <c r="J55" s="10">
        <v>89264</v>
      </c>
    </row>
    <row r="56" spans="2:12" x14ac:dyDescent="0.2">
      <c r="B56" s="9" t="s">
        <v>82</v>
      </c>
      <c r="C56" t="b">
        <v>1</v>
      </c>
      <c r="D56" t="s">
        <v>86</v>
      </c>
      <c r="E56" t="s">
        <v>13</v>
      </c>
      <c r="F56" t="s">
        <v>87</v>
      </c>
      <c r="G56" s="11">
        <f>(G54*G$39)/(G55*G$35*10^9)</f>
        <v>56114.064464876697</v>
      </c>
      <c r="H56" s="11">
        <f>(H54*H$39)/(H55*H$35*10^9)</f>
        <v>17201.133147888297</v>
      </c>
      <c r="I56" s="11">
        <f>(I54*I$39)/(I55*I$35*10^9)</f>
        <v>56114.064464876697</v>
      </c>
      <c r="J56" s="11">
        <f>(J54*J$39)/(J55*J$35*10^9)</f>
        <v>17201.133147888297</v>
      </c>
    </row>
    <row r="57" spans="2:12" x14ac:dyDescent="0.2">
      <c r="B57" s="9" t="s">
        <v>82</v>
      </c>
      <c r="C57" t="b">
        <v>1</v>
      </c>
      <c r="D57" t="s">
        <v>95</v>
      </c>
      <c r="E57" t="s">
        <v>13</v>
      </c>
      <c r="F57" t="s">
        <v>96</v>
      </c>
      <c r="G57" s="10">
        <f>G56/G$30</f>
        <v>11222.81289297534</v>
      </c>
      <c r="H57" s="10">
        <f>H56/H$30</f>
        <v>3613.6834344303147</v>
      </c>
      <c r="I57" s="10">
        <f>I56/I$30</f>
        <v>11222.81289297534</v>
      </c>
      <c r="J57" s="10">
        <f>J56/J$30</f>
        <v>3613.6834344303147</v>
      </c>
    </row>
    <row r="58" spans="2:12" x14ac:dyDescent="0.2">
      <c r="B58" s="9" t="s">
        <v>82</v>
      </c>
      <c r="C58" t="b">
        <v>1</v>
      </c>
      <c r="D58" t="s">
        <v>98</v>
      </c>
      <c r="E58" t="s">
        <v>13</v>
      </c>
      <c r="F58" t="s">
        <v>99</v>
      </c>
      <c r="G58" s="28">
        <f>G57*10^9</f>
        <v>11222812892975.34</v>
      </c>
      <c r="H58" s="28">
        <f>H57*10^9</f>
        <v>3613683434430.3149</v>
      </c>
      <c r="I58" s="28">
        <f>I57*10^9</f>
        <v>11222812892975.34</v>
      </c>
      <c r="J58" s="28">
        <f>J57*10^9</f>
        <v>3613683434430.3149</v>
      </c>
    </row>
    <row r="59" spans="2:12" x14ac:dyDescent="0.2">
      <c r="B59" s="12" t="s">
        <v>82</v>
      </c>
      <c r="C59" s="13" t="b">
        <v>1</v>
      </c>
      <c r="D59" s="13" t="s">
        <v>101</v>
      </c>
      <c r="E59" s="13" t="s">
        <v>13</v>
      </c>
      <c r="F59" s="13" t="s">
        <v>102</v>
      </c>
      <c r="G59" s="37">
        <f>G58*G$27</f>
        <v>80655473.50496459</v>
      </c>
      <c r="H59" s="37">
        <f>H58*H$27</f>
        <v>17154512.628877405</v>
      </c>
      <c r="I59" s="37">
        <f>I58*I$27</f>
        <v>169376494.36042562</v>
      </c>
      <c r="J59" s="37">
        <f>J58*J$27</f>
        <v>12008158.840214185</v>
      </c>
    </row>
    <row r="60" spans="2:12" x14ac:dyDescent="0.2">
      <c r="G60" s="4"/>
      <c r="H60" s="4"/>
      <c r="I60" s="4"/>
      <c r="J60" s="4"/>
    </row>
    <row r="61" spans="2:12" x14ac:dyDescent="0.2">
      <c r="G61" t="s">
        <v>255</v>
      </c>
      <c r="H61" t="s">
        <v>256</v>
      </c>
      <c r="I61" t="s">
        <v>177</v>
      </c>
      <c r="J61" t="s">
        <v>178</v>
      </c>
    </row>
    <row r="62" spans="2:12" x14ac:dyDescent="0.2">
      <c r="G62" t="s">
        <v>195</v>
      </c>
      <c r="H62" t="s">
        <v>195</v>
      </c>
      <c r="I62" t="s">
        <v>195</v>
      </c>
      <c r="J62" t="s">
        <v>195</v>
      </c>
      <c r="L62" t="s">
        <v>214</v>
      </c>
    </row>
    <row r="63" spans="2:12" x14ac:dyDescent="0.2">
      <c r="B63" s="23" t="s">
        <v>82</v>
      </c>
      <c r="C63" s="19" t="b">
        <v>1</v>
      </c>
      <c r="D63" s="19" t="s">
        <v>88</v>
      </c>
      <c r="E63" s="19" t="s">
        <v>8</v>
      </c>
      <c r="F63" s="19" t="s">
        <v>89</v>
      </c>
      <c r="G63" s="26">
        <v>6.0221407599999999E+23</v>
      </c>
      <c r="H63" s="26">
        <v>6.0221407599999999E+23</v>
      </c>
      <c r="I63" s="26">
        <v>6.0221407599999999E+23</v>
      </c>
      <c r="J63" s="26">
        <v>6.0221407599999999E+23</v>
      </c>
    </row>
    <row r="64" spans="2:12" x14ac:dyDescent="0.2">
      <c r="B64" s="16" t="s">
        <v>82</v>
      </c>
      <c r="C64" s="17" t="b">
        <v>1</v>
      </c>
      <c r="D64" s="17" t="s">
        <v>83</v>
      </c>
      <c r="E64" s="17" t="s">
        <v>13</v>
      </c>
      <c r="F64" s="17" t="s">
        <v>44</v>
      </c>
      <c r="G64" s="17">
        <v>0.54168919427718798</v>
      </c>
      <c r="H64" s="17">
        <v>0.167212256132342</v>
      </c>
      <c r="I64" s="17">
        <v>0.54168919427718798</v>
      </c>
      <c r="J64" s="17">
        <v>0.167212256132342</v>
      </c>
    </row>
    <row r="65" spans="2:10" x14ac:dyDescent="0.2">
      <c r="B65" s="18" t="s">
        <v>82</v>
      </c>
      <c r="C65" s="19" t="b">
        <v>1</v>
      </c>
      <c r="D65" s="19" t="s">
        <v>85</v>
      </c>
      <c r="E65" s="19" t="s">
        <v>8</v>
      </c>
      <c r="F65" s="19" t="s">
        <v>84</v>
      </c>
      <c r="G65" s="19">
        <v>1904788.3330000001</v>
      </c>
      <c r="H65" s="19">
        <v>1904788.3330000001</v>
      </c>
      <c r="I65" s="19">
        <v>1904788.3330000001</v>
      </c>
      <c r="J65" s="19">
        <v>1904788.3330000001</v>
      </c>
    </row>
    <row r="66" spans="2:10" x14ac:dyDescent="0.2">
      <c r="B66" s="18" t="s">
        <v>82</v>
      </c>
      <c r="C66" s="19" t="b">
        <v>1</v>
      </c>
      <c r="D66" s="19" t="s">
        <v>86</v>
      </c>
      <c r="E66" s="19" t="s">
        <v>13</v>
      </c>
      <c r="F66" s="19" t="s">
        <v>87</v>
      </c>
      <c r="G66" s="20">
        <f>(G64*G$63)/(G65*G$35*10^9)</f>
        <v>263475.96007974859</v>
      </c>
      <c r="H66" s="20">
        <f>(H64*H$63)/(H65*H$35*10^9)</f>
        <v>81331.527722935352</v>
      </c>
      <c r="I66" s="20">
        <f>(I64*I$63)/(I65*I$35*10^9)</f>
        <v>263475.96007974859</v>
      </c>
      <c r="J66" s="20">
        <f>(J64*J$63)/(J65*J$35*10^9)</f>
        <v>81331.527722935352</v>
      </c>
    </row>
    <row r="67" spans="2:10" x14ac:dyDescent="0.2">
      <c r="B67" s="18" t="s">
        <v>82</v>
      </c>
      <c r="C67" s="19" t="b">
        <v>1</v>
      </c>
      <c r="D67" s="19" t="s">
        <v>95</v>
      </c>
      <c r="E67" s="19" t="s">
        <v>13</v>
      </c>
      <c r="F67" s="19" t="s">
        <v>96</v>
      </c>
      <c r="G67" s="19">
        <f>G66/G$30</f>
        <v>52695.192015949717</v>
      </c>
      <c r="H67" s="19">
        <f>H66/H$30</f>
        <v>17086.455403978016</v>
      </c>
      <c r="I67" s="19">
        <f>I66/I$30</f>
        <v>52695.192015949717</v>
      </c>
      <c r="J67" s="19">
        <f>J66/J$30</f>
        <v>17086.455403978016</v>
      </c>
    </row>
    <row r="68" spans="2:10" x14ac:dyDescent="0.2">
      <c r="B68" s="18" t="s">
        <v>82</v>
      </c>
      <c r="C68" s="19" t="b">
        <v>1</v>
      </c>
      <c r="D68" s="19" t="s">
        <v>98</v>
      </c>
      <c r="E68" s="19" t="s">
        <v>13</v>
      </c>
      <c r="F68" s="19" t="s">
        <v>99</v>
      </c>
      <c r="G68" s="33">
        <f>G67*10^9</f>
        <v>52695192015949.719</v>
      </c>
      <c r="H68" s="33">
        <f>H67*10^9</f>
        <v>17086455403978.016</v>
      </c>
      <c r="I68" s="33">
        <f>I67*10^9</f>
        <v>52695192015949.719</v>
      </c>
      <c r="J68" s="33">
        <f>J67*10^9</f>
        <v>17086455403978.016</v>
      </c>
    </row>
    <row r="69" spans="2:10" x14ac:dyDescent="0.2">
      <c r="B69" s="21" t="s">
        <v>82</v>
      </c>
      <c r="C69" s="22" t="b">
        <v>1</v>
      </c>
      <c r="D69" s="22" t="s">
        <v>101</v>
      </c>
      <c r="E69" s="22" t="s">
        <v>13</v>
      </c>
      <c r="F69" s="22" t="s">
        <v>102</v>
      </c>
      <c r="G69" s="38">
        <f>G68*G$27</f>
        <v>378706809.42580277</v>
      </c>
      <c r="H69" s="38">
        <f>H68*H$27</f>
        <v>81111093.522363067</v>
      </c>
      <c r="I69" s="38">
        <f>I68*I$27</f>
        <v>795284299.79418576</v>
      </c>
      <c r="J69" s="38">
        <f>J68*J$27</f>
        <v>56777765.465654157</v>
      </c>
    </row>
    <row r="70" spans="2:10" x14ac:dyDescent="0.2">
      <c r="G70" s="4" t="s">
        <v>196</v>
      </c>
      <c r="H70" s="4" t="s">
        <v>196</v>
      </c>
      <c r="I70" s="4" t="s">
        <v>196</v>
      </c>
      <c r="J70" s="4" t="s">
        <v>196</v>
      </c>
    </row>
    <row r="71" spans="2:10" x14ac:dyDescent="0.2">
      <c r="B71" s="23" t="s">
        <v>82</v>
      </c>
      <c r="C71" s="19" t="b">
        <v>1</v>
      </c>
      <c r="D71" s="19" t="s">
        <v>83</v>
      </c>
      <c r="E71" s="19" t="s">
        <v>13</v>
      </c>
      <c r="F71" s="19" t="s">
        <v>44</v>
      </c>
      <c r="G71" s="19">
        <v>0.65408448128256302</v>
      </c>
      <c r="H71" s="19">
        <v>0.20196161687112801</v>
      </c>
      <c r="I71" s="19">
        <v>0.65408448128256302</v>
      </c>
      <c r="J71" s="19">
        <v>0.20196161687112801</v>
      </c>
    </row>
    <row r="72" spans="2:10" x14ac:dyDescent="0.2">
      <c r="B72" s="19" t="s">
        <v>82</v>
      </c>
      <c r="C72" s="19" t="b">
        <v>1</v>
      </c>
      <c r="D72" s="19" t="s">
        <v>85</v>
      </c>
      <c r="E72" s="19" t="s">
        <v>8</v>
      </c>
      <c r="F72" s="19" t="s">
        <v>84</v>
      </c>
      <c r="G72" s="19">
        <v>4373730</v>
      </c>
      <c r="H72" s="19">
        <v>4373730</v>
      </c>
      <c r="I72" s="19">
        <v>4373730</v>
      </c>
      <c r="J72" s="19">
        <v>4373730</v>
      </c>
    </row>
    <row r="73" spans="2:10" x14ac:dyDescent="0.2">
      <c r="B73" s="19" t="s">
        <v>82</v>
      </c>
      <c r="C73" s="19" t="b">
        <v>1</v>
      </c>
      <c r="D73" s="19" t="s">
        <v>86</v>
      </c>
      <c r="E73" s="19" t="s">
        <v>13</v>
      </c>
      <c r="F73" s="19" t="s">
        <v>87</v>
      </c>
      <c r="G73" s="20">
        <f>(G71*G$63)/(G72*G$35*10^9)</f>
        <v>138554.11268273849</v>
      </c>
      <c r="H73" s="20">
        <f>(H71*H$63)/(H72*H$35*10^9)</f>
        <v>42781.343117452598</v>
      </c>
      <c r="I73" s="20">
        <f>(I71*I$63)/(I72*I$35*10^9)</f>
        <v>138554.11268273849</v>
      </c>
      <c r="J73" s="20">
        <f>(J71*J$63)/(J72*J$35*10^9)</f>
        <v>42781.343117452598</v>
      </c>
    </row>
    <row r="74" spans="2:10" x14ac:dyDescent="0.2">
      <c r="B74" s="19" t="s">
        <v>82</v>
      </c>
      <c r="C74" s="19" t="b">
        <v>1</v>
      </c>
      <c r="D74" s="19" t="s">
        <v>95</v>
      </c>
      <c r="E74" s="19" t="s">
        <v>13</v>
      </c>
      <c r="F74" s="19" t="s">
        <v>96</v>
      </c>
      <c r="G74" s="19">
        <f>G73/G$30</f>
        <v>27710.822536547697</v>
      </c>
      <c r="H74" s="19">
        <f>H73/H$30</f>
        <v>8987.6771255152526</v>
      </c>
      <c r="I74" s="19">
        <f>I73/I$30</f>
        <v>27710.822536547697</v>
      </c>
      <c r="J74" s="19">
        <f>J73/J$30</f>
        <v>8987.6771255152526</v>
      </c>
    </row>
    <row r="75" spans="2:10" x14ac:dyDescent="0.2">
      <c r="B75" s="19" t="s">
        <v>82</v>
      </c>
      <c r="C75" s="19" t="b">
        <v>1</v>
      </c>
      <c r="D75" s="19" t="s">
        <v>98</v>
      </c>
      <c r="E75" s="19" t="s">
        <v>13</v>
      </c>
      <c r="F75" s="19" t="s">
        <v>99</v>
      </c>
      <c r="G75" s="33">
        <f>G74*10^9</f>
        <v>27710822536547.699</v>
      </c>
      <c r="H75" s="33">
        <f>H74*10^9</f>
        <v>8987677125515.252</v>
      </c>
      <c r="I75" s="33">
        <f>I74*10^9</f>
        <v>27710822536547.699</v>
      </c>
      <c r="J75" s="33">
        <f>J74*10^9</f>
        <v>8987677125515.252</v>
      </c>
    </row>
    <row r="76" spans="2:10" x14ac:dyDescent="0.2">
      <c r="B76" s="19" t="s">
        <v>82</v>
      </c>
      <c r="C76" s="19" t="b">
        <v>1</v>
      </c>
      <c r="D76" s="19" t="s">
        <v>101</v>
      </c>
      <c r="E76" s="19" t="s">
        <v>13</v>
      </c>
      <c r="F76" s="19" t="s">
        <v>102</v>
      </c>
      <c r="G76" s="39">
        <f>G75*G$27</f>
        <v>199150563.60747704</v>
      </c>
      <c r="H76" s="39">
        <f>H75*H$27</f>
        <v>42665392.127307303</v>
      </c>
      <c r="I76" s="39">
        <f>I75*I$27</f>
        <v>418216183.57570171</v>
      </c>
      <c r="J76" s="39">
        <f>J75*J$27</f>
        <v>29865774.489115112</v>
      </c>
    </row>
    <row r="77" spans="2:10" x14ac:dyDescent="0.2">
      <c r="G77" s="4" t="s">
        <v>200</v>
      </c>
      <c r="H77" s="4" t="s">
        <v>200</v>
      </c>
      <c r="I77" s="4" t="s">
        <v>200</v>
      </c>
      <c r="J77" s="4" t="s">
        <v>200</v>
      </c>
    </row>
    <row r="78" spans="2:10" x14ac:dyDescent="0.2">
      <c r="B78" s="16" t="s">
        <v>82</v>
      </c>
      <c r="C78" s="17" t="b">
        <v>1</v>
      </c>
      <c r="D78" s="17" t="s">
        <v>83</v>
      </c>
      <c r="E78" s="17" t="s">
        <v>13</v>
      </c>
      <c r="F78" s="17" t="s">
        <v>44</v>
      </c>
      <c r="G78" s="24">
        <v>5.4065556339343897E-3</v>
      </c>
      <c r="H78" s="24">
        <v>1.65731861018518E-3</v>
      </c>
      <c r="I78" s="24">
        <v>5.4065556339343897E-3</v>
      </c>
      <c r="J78" s="24">
        <v>1.65731861018518E-3</v>
      </c>
    </row>
    <row r="79" spans="2:10" x14ac:dyDescent="0.2">
      <c r="B79" s="18" t="s">
        <v>82</v>
      </c>
      <c r="C79" s="19" t="b">
        <v>1</v>
      </c>
      <c r="D79" s="19" t="s">
        <v>85</v>
      </c>
      <c r="E79" s="19" t="s">
        <v>8</v>
      </c>
      <c r="F79" s="19" t="s">
        <v>84</v>
      </c>
      <c r="G79" s="25">
        <v>89264</v>
      </c>
      <c r="H79" s="25">
        <v>89264</v>
      </c>
      <c r="I79" s="25">
        <v>89264</v>
      </c>
      <c r="J79" s="25">
        <v>89264</v>
      </c>
    </row>
    <row r="80" spans="2:10" x14ac:dyDescent="0.2">
      <c r="B80" s="18" t="s">
        <v>82</v>
      </c>
      <c r="C80" s="19" t="b">
        <v>1</v>
      </c>
      <c r="D80" s="19" t="s">
        <v>86</v>
      </c>
      <c r="E80" s="19" t="s">
        <v>13</v>
      </c>
      <c r="F80" s="19" t="s">
        <v>87</v>
      </c>
      <c r="G80" s="20">
        <f>(G78*G$63)/(G79*G$35*10^9)</f>
        <v>56115.376091531296</v>
      </c>
      <c r="H80" s="20">
        <f>(H78*H$63)/(H79*H$35*10^9)</f>
        <v>17201.535212236002</v>
      </c>
      <c r="I80" s="20">
        <f>(I78*I$63)/(I79*I$35*10^9)</f>
        <v>56115.376091531296</v>
      </c>
      <c r="J80" s="20">
        <f>(J78*J$63)/(J79*J$35*10^9)</f>
        <v>17201.535212236002</v>
      </c>
    </row>
    <row r="81" spans="2:10" x14ac:dyDescent="0.2">
      <c r="B81" s="18" t="s">
        <v>82</v>
      </c>
      <c r="C81" s="19" t="b">
        <v>1</v>
      </c>
      <c r="D81" s="19" t="s">
        <v>95</v>
      </c>
      <c r="E81" s="19" t="s">
        <v>13</v>
      </c>
      <c r="F81" s="19" t="s">
        <v>96</v>
      </c>
      <c r="G81" s="25">
        <f>G80/G$30</f>
        <v>11223.07521830626</v>
      </c>
      <c r="H81" s="25">
        <f>H80/H$30</f>
        <v>3613.7679017302526</v>
      </c>
      <c r="I81" s="25">
        <f>I80/I$30</f>
        <v>11223.07521830626</v>
      </c>
      <c r="J81" s="25">
        <f>J80/J$30</f>
        <v>3613.7679017302526</v>
      </c>
    </row>
    <row r="82" spans="2:10" x14ac:dyDescent="0.2">
      <c r="B82" s="18" t="s">
        <v>82</v>
      </c>
      <c r="C82" s="19" t="b">
        <v>1</v>
      </c>
      <c r="D82" s="19" t="s">
        <v>98</v>
      </c>
      <c r="E82" s="19" t="s">
        <v>13</v>
      </c>
      <c r="F82" s="19" t="s">
        <v>99</v>
      </c>
      <c r="G82" s="41">
        <f>G81*10^9</f>
        <v>11223075218306.26</v>
      </c>
      <c r="H82" s="41">
        <f>H81*10^9</f>
        <v>3613767901730.2524</v>
      </c>
      <c r="I82" s="41">
        <f>I81*10^9</f>
        <v>11223075218306.26</v>
      </c>
      <c r="J82" s="41">
        <f>J81*10^9</f>
        <v>3613767901730.2524</v>
      </c>
    </row>
    <row r="83" spans="2:10" x14ac:dyDescent="0.2">
      <c r="B83" s="21" t="s">
        <v>82</v>
      </c>
      <c r="C83" s="22" t="b">
        <v>1</v>
      </c>
      <c r="D83" s="22" t="s">
        <v>101</v>
      </c>
      <c r="E83" s="22" t="s">
        <v>13</v>
      </c>
      <c r="F83" s="22" t="s">
        <v>102</v>
      </c>
      <c r="G83" s="40">
        <f>G82*G$27</f>
        <v>80657358.7697355</v>
      </c>
      <c r="H83" s="40">
        <f>H82*H$27</f>
        <v>17154913.60350338</v>
      </c>
      <c r="I83" s="40">
        <f>I82*I$27</f>
        <v>169380453.41644454</v>
      </c>
      <c r="J83" s="40">
        <f>J82*J$27</f>
        <v>12008439.522452366</v>
      </c>
    </row>
    <row r="85" spans="2:10" x14ac:dyDescent="0.2">
      <c r="G85" s="3"/>
    </row>
  </sheetData>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61CB-FE77-E747-9C39-6C6F06A92839}">
  <dimension ref="A1:M142"/>
  <sheetViews>
    <sheetView topLeftCell="A132" workbookViewId="0">
      <selection activeCell="J24" sqref="J24"/>
    </sheetView>
  </sheetViews>
  <sheetFormatPr baseColWidth="10" defaultRowHeight="16" x14ac:dyDescent="0.2"/>
  <sheetData>
    <row r="1" spans="1:11" x14ac:dyDescent="0.2">
      <c r="A1" t="s">
        <v>215</v>
      </c>
    </row>
    <row r="2" spans="1:11" x14ac:dyDescent="0.2">
      <c r="A2" t="s">
        <v>157</v>
      </c>
    </row>
    <row r="3" spans="1:11" x14ac:dyDescent="0.2">
      <c r="A3" t="s">
        <v>156</v>
      </c>
    </row>
    <row r="4" spans="1:11" x14ac:dyDescent="0.2">
      <c r="A4" t="s">
        <v>158</v>
      </c>
    </row>
    <row r="5" spans="1:11" x14ac:dyDescent="0.2">
      <c r="A5" t="s">
        <v>159</v>
      </c>
    </row>
    <row r="6" spans="1:11" x14ac:dyDescent="0.2">
      <c r="A6" t="s">
        <v>161</v>
      </c>
    </row>
    <row r="7" spans="1:11" x14ac:dyDescent="0.2">
      <c r="A7" t="s">
        <v>160</v>
      </c>
    </row>
    <row r="8" spans="1:11" x14ac:dyDescent="0.2">
      <c r="A8" t="s">
        <v>174</v>
      </c>
    </row>
    <row r="9" spans="1:11" x14ac:dyDescent="0.2">
      <c r="A9" t="s">
        <v>175</v>
      </c>
    </row>
    <row r="10" spans="1:11" x14ac:dyDescent="0.2">
      <c r="A10" t="s">
        <v>162</v>
      </c>
    </row>
    <row r="11" spans="1:11" x14ac:dyDescent="0.2">
      <c r="A11" t="s">
        <v>163</v>
      </c>
    </row>
    <row r="12" spans="1:11" x14ac:dyDescent="0.2">
      <c r="A12" t="s">
        <v>164</v>
      </c>
    </row>
    <row r="13" spans="1:11" x14ac:dyDescent="0.2">
      <c r="A13" t="s">
        <v>165</v>
      </c>
    </row>
    <row r="15" spans="1:11" x14ac:dyDescent="0.2">
      <c r="A15" t="s">
        <v>155</v>
      </c>
    </row>
    <row r="16" spans="1:11" x14ac:dyDescent="0.2">
      <c r="A16" t="s">
        <v>118</v>
      </c>
      <c r="B16" t="s">
        <v>119</v>
      </c>
      <c r="C16" t="s">
        <v>120</v>
      </c>
      <c r="D16" t="s">
        <v>121</v>
      </c>
      <c r="E16" t="s">
        <v>122</v>
      </c>
      <c r="F16" t="s">
        <v>123</v>
      </c>
      <c r="G16" t="s">
        <v>124</v>
      </c>
      <c r="H16" t="s">
        <v>125</v>
      </c>
      <c r="I16" t="s">
        <v>150</v>
      </c>
      <c r="J16" t="s">
        <v>151</v>
      </c>
      <c r="K16" t="s">
        <v>152</v>
      </c>
    </row>
    <row r="17" spans="1:13" x14ac:dyDescent="0.2">
      <c r="A17" t="s">
        <v>107</v>
      </c>
      <c r="B17" t="s">
        <v>108</v>
      </c>
      <c r="C17">
        <v>93135</v>
      </c>
      <c r="D17">
        <v>3216923</v>
      </c>
      <c r="E17">
        <v>0.25</v>
      </c>
      <c r="F17">
        <v>1</v>
      </c>
      <c r="G17">
        <f>F17/(2*(1+0.1+0.01+0.001+0.0001))</f>
        <v>0.45000450004500048</v>
      </c>
      <c r="H17">
        <f>E17*G17</f>
        <v>0.11250112501125012</v>
      </c>
      <c r="I17">
        <f>C17/D17*1000000</f>
        <v>28951.578884542774</v>
      </c>
      <c r="J17">
        <f>LOG10(I17)</f>
        <v>4.4616722531116997</v>
      </c>
      <c r="K17" s="2">
        <f>LOG10(H17)</f>
        <v>-0.94884313458608482</v>
      </c>
      <c r="L17" s="2"/>
      <c r="M17" s="2"/>
    </row>
    <row r="18" spans="1:13" x14ac:dyDescent="0.2">
      <c r="A18" t="s">
        <v>109</v>
      </c>
      <c r="B18" t="s">
        <v>108</v>
      </c>
      <c r="C18">
        <v>15190</v>
      </c>
      <c r="D18">
        <v>3216923</v>
      </c>
      <c r="E18">
        <v>0.25</v>
      </c>
      <c r="F18">
        <v>0.1</v>
      </c>
      <c r="G18">
        <f t="shared" ref="G18:G36" si="0">F18/(2*(1+0.1+0.01+0.001+0.0001))</f>
        <v>4.5000450004500051E-2</v>
      </c>
      <c r="H18">
        <f t="shared" ref="H18:H36" si="1">E18*G18</f>
        <v>1.1250112501125013E-2</v>
      </c>
      <c r="I18">
        <f t="shared" ref="I18:I36" si="2">C18/D18*1000000</f>
        <v>4721.9035084147181</v>
      </c>
      <c r="J18">
        <f t="shared" ref="J18:J36" si="3">LOG10(I18)</f>
        <v>3.6741171080728217</v>
      </c>
      <c r="K18" s="2">
        <f t="shared" ref="K18:K36" si="4">LOG10(H18)</f>
        <v>-1.9488431345860848</v>
      </c>
    </row>
    <row r="19" spans="1:13" x14ac:dyDescent="0.2">
      <c r="A19" t="s">
        <v>110</v>
      </c>
      <c r="B19" t="s">
        <v>108</v>
      </c>
      <c r="C19">
        <v>2447</v>
      </c>
      <c r="D19">
        <v>3216923</v>
      </c>
      <c r="E19">
        <v>0.25</v>
      </c>
      <c r="F19">
        <v>0.01</v>
      </c>
      <c r="G19">
        <f t="shared" si="0"/>
        <v>4.5000450004500049E-3</v>
      </c>
      <c r="H19">
        <f t="shared" si="1"/>
        <v>1.1250112501125012E-3</v>
      </c>
      <c r="I19">
        <f t="shared" si="2"/>
        <v>760.66477189537954</v>
      </c>
      <c r="J19">
        <f t="shared" si="3"/>
        <v>2.8811933035618242</v>
      </c>
      <c r="K19" s="2">
        <f t="shared" si="4"/>
        <v>-2.9488431345860846</v>
      </c>
    </row>
    <row r="20" spans="1:13" x14ac:dyDescent="0.2">
      <c r="A20" t="s">
        <v>111</v>
      </c>
      <c r="B20" t="s">
        <v>108</v>
      </c>
      <c r="C20">
        <v>308</v>
      </c>
      <c r="D20">
        <v>3216923</v>
      </c>
      <c r="E20">
        <v>0.25</v>
      </c>
      <c r="F20">
        <v>1E-3</v>
      </c>
      <c r="G20">
        <f t="shared" si="0"/>
        <v>4.5000450004500047E-4</v>
      </c>
      <c r="H20">
        <f t="shared" si="1"/>
        <v>1.1250112501125012E-4</v>
      </c>
      <c r="I20">
        <f t="shared" si="2"/>
        <v>95.743665608409032</v>
      </c>
      <c r="J20">
        <f t="shared" si="3"/>
        <v>1.9811100507104795</v>
      </c>
      <c r="K20" s="2">
        <f t="shared" si="4"/>
        <v>-3.9488431345860846</v>
      </c>
    </row>
    <row r="21" spans="1:13" x14ac:dyDescent="0.2">
      <c r="A21" t="s">
        <v>153</v>
      </c>
      <c r="B21" t="s">
        <v>108</v>
      </c>
      <c r="C21">
        <v>77</v>
      </c>
      <c r="D21">
        <v>3216923</v>
      </c>
      <c r="E21">
        <v>0.25</v>
      </c>
      <c r="F21">
        <v>1E-4</v>
      </c>
      <c r="G21">
        <f t="shared" si="0"/>
        <v>4.5000450004500049E-5</v>
      </c>
      <c r="H21">
        <f>E21*G21</f>
        <v>1.1250112501125012E-5</v>
      </c>
      <c r="I21">
        <f>C21/D21*1000000</f>
        <v>23.935916402102258</v>
      </c>
      <c r="J21">
        <f t="shared" si="3"/>
        <v>1.379050059382517</v>
      </c>
      <c r="K21" s="2">
        <f>LOG10(H21)</f>
        <v>-4.9488431345860846</v>
      </c>
    </row>
    <row r="22" spans="1:13" x14ac:dyDescent="0.2">
      <c r="A22" t="s">
        <v>112</v>
      </c>
      <c r="B22" t="s">
        <v>108</v>
      </c>
      <c r="C22">
        <v>149</v>
      </c>
      <c r="D22">
        <v>3216923</v>
      </c>
      <c r="E22">
        <v>0.25</v>
      </c>
      <c r="F22">
        <v>1E-4</v>
      </c>
      <c r="G22">
        <f t="shared" si="0"/>
        <v>4.5000450004500049E-5</v>
      </c>
      <c r="H22">
        <f t="shared" si="1"/>
        <v>1.1250112501125012E-5</v>
      </c>
      <c r="I22">
        <f t="shared" si="2"/>
        <v>46.317552518353722</v>
      </c>
      <c r="J22">
        <f t="shared" si="3"/>
        <v>1.6657456026223092</v>
      </c>
      <c r="K22" s="2">
        <f t="shared" si="4"/>
        <v>-4.9488431345860846</v>
      </c>
    </row>
    <row r="23" spans="1:13" x14ac:dyDescent="0.2">
      <c r="A23" t="s">
        <v>113</v>
      </c>
      <c r="B23" t="s">
        <v>108</v>
      </c>
      <c r="C23">
        <v>1075</v>
      </c>
      <c r="D23">
        <v>3216923</v>
      </c>
      <c r="E23">
        <v>0.25</v>
      </c>
      <c r="F23">
        <v>1E-3</v>
      </c>
      <c r="G23">
        <f t="shared" si="0"/>
        <v>4.5000450004500047E-4</v>
      </c>
      <c r="H23">
        <f t="shared" si="1"/>
        <v>1.1250112501125012E-4</v>
      </c>
      <c r="I23">
        <f t="shared" si="2"/>
        <v>334.17026145792113</v>
      </c>
      <c r="J23">
        <f t="shared" si="3"/>
        <v>2.5239677984616593</v>
      </c>
      <c r="K23" s="2">
        <f t="shared" si="4"/>
        <v>-3.9488431345860846</v>
      </c>
    </row>
    <row r="24" spans="1:13" x14ac:dyDescent="0.2">
      <c r="A24" t="s">
        <v>114</v>
      </c>
      <c r="B24" t="s">
        <v>108</v>
      </c>
      <c r="C24">
        <v>3189</v>
      </c>
      <c r="D24">
        <v>3216923</v>
      </c>
      <c r="E24">
        <v>0.25</v>
      </c>
      <c r="F24">
        <v>0.01</v>
      </c>
      <c r="G24">
        <f t="shared" si="0"/>
        <v>4.5000450004500049E-3</v>
      </c>
      <c r="H24">
        <f t="shared" si="1"/>
        <v>1.1250112501125012E-3</v>
      </c>
      <c r="I24">
        <f t="shared" si="2"/>
        <v>991.31996631563754</v>
      </c>
      <c r="J24">
        <f t="shared" si="3"/>
        <v>2.9962138534529945</v>
      </c>
      <c r="K24" s="2">
        <f t="shared" si="4"/>
        <v>-2.9488431345860846</v>
      </c>
    </row>
    <row r="25" spans="1:13" x14ac:dyDescent="0.2">
      <c r="A25" t="s">
        <v>115</v>
      </c>
      <c r="B25" t="s">
        <v>108</v>
      </c>
      <c r="C25">
        <v>25347</v>
      </c>
      <c r="D25">
        <v>3216923</v>
      </c>
      <c r="E25">
        <v>0.25</v>
      </c>
      <c r="F25">
        <v>0.1</v>
      </c>
      <c r="G25">
        <f t="shared" si="0"/>
        <v>4.5000450004500051E-2</v>
      </c>
      <c r="H25">
        <f t="shared" si="1"/>
        <v>1.1250112501125013E-2</v>
      </c>
      <c r="I25">
        <f t="shared" si="2"/>
        <v>7879.2684810920255</v>
      </c>
      <c r="J25">
        <f t="shared" si="3"/>
        <v>3.8964858990413038</v>
      </c>
      <c r="K25" s="2">
        <f t="shared" si="4"/>
        <v>-1.9488431345860848</v>
      </c>
    </row>
    <row r="26" spans="1:13" x14ac:dyDescent="0.2">
      <c r="A26" t="s">
        <v>116</v>
      </c>
      <c r="B26" t="s">
        <v>108</v>
      </c>
      <c r="C26">
        <v>237329</v>
      </c>
      <c r="D26">
        <v>3216923</v>
      </c>
      <c r="E26">
        <v>0.25</v>
      </c>
      <c r="F26">
        <v>1</v>
      </c>
      <c r="G26">
        <f t="shared" si="0"/>
        <v>0.45000450004500048</v>
      </c>
      <c r="H26">
        <f t="shared" si="1"/>
        <v>0.11250112501125012</v>
      </c>
      <c r="I26">
        <f t="shared" si="2"/>
        <v>73775.157192136699</v>
      </c>
      <c r="J26">
        <f t="shared" si="3"/>
        <v>4.8679101435207581</v>
      </c>
      <c r="K26" s="2">
        <f t="shared" si="4"/>
        <v>-0.94884313458608482</v>
      </c>
    </row>
    <row r="27" spans="1:13" x14ac:dyDescent="0.2">
      <c r="A27" t="s">
        <v>107</v>
      </c>
      <c r="B27" t="s">
        <v>117</v>
      </c>
      <c r="C27">
        <v>90897</v>
      </c>
      <c r="D27">
        <v>1723417</v>
      </c>
      <c r="E27">
        <v>0.2</v>
      </c>
      <c r="F27">
        <v>1</v>
      </c>
      <c r="G27">
        <f t="shared" si="0"/>
        <v>0.45000450004500048</v>
      </c>
      <c r="H27">
        <f t="shared" si="1"/>
        <v>9.0000900009000101E-2</v>
      </c>
      <c r="I27">
        <f t="shared" si="2"/>
        <v>52742.313671038413</v>
      </c>
      <c r="J27">
        <f t="shared" si="3"/>
        <v>4.7221591772686642</v>
      </c>
      <c r="K27" s="2">
        <f t="shared" si="4"/>
        <v>-1.0457531475941411</v>
      </c>
    </row>
    <row r="28" spans="1:13" x14ac:dyDescent="0.2">
      <c r="A28" t="s">
        <v>109</v>
      </c>
      <c r="B28" t="s">
        <v>117</v>
      </c>
      <c r="C28">
        <v>15002</v>
      </c>
      <c r="D28">
        <v>1723417</v>
      </c>
      <c r="E28">
        <v>0.2</v>
      </c>
      <c r="F28">
        <v>0.1</v>
      </c>
      <c r="G28">
        <f t="shared" si="0"/>
        <v>4.5000450004500051E-2</v>
      </c>
      <c r="H28">
        <f t="shared" si="1"/>
        <v>9.0000900009000098E-3</v>
      </c>
      <c r="I28">
        <f t="shared" si="2"/>
        <v>8704.799824998825</v>
      </c>
      <c r="J28">
        <f t="shared" si="3"/>
        <v>3.9397587885609902</v>
      </c>
      <c r="K28" s="2">
        <f t="shared" si="4"/>
        <v>-2.0457531475941413</v>
      </c>
    </row>
    <row r="29" spans="1:13" x14ac:dyDescent="0.2">
      <c r="A29" t="s">
        <v>110</v>
      </c>
      <c r="B29" t="s">
        <v>117</v>
      </c>
      <c r="C29">
        <v>2421</v>
      </c>
      <c r="D29">
        <v>1723417</v>
      </c>
      <c r="E29">
        <v>0.2</v>
      </c>
      <c r="F29">
        <v>0.01</v>
      </c>
      <c r="G29">
        <f t="shared" si="0"/>
        <v>4.5000450004500049E-3</v>
      </c>
      <c r="H29">
        <f t="shared" si="1"/>
        <v>9.0000900009000104E-4</v>
      </c>
      <c r="I29">
        <f t="shared" si="2"/>
        <v>1404.7673894362188</v>
      </c>
      <c r="J29">
        <f t="shared" si="3"/>
        <v>3.1476044168761734</v>
      </c>
      <c r="K29" s="2">
        <f t="shared" si="4"/>
        <v>-3.0457531475941413</v>
      </c>
    </row>
    <row r="30" spans="1:13" x14ac:dyDescent="0.2">
      <c r="A30" t="s">
        <v>111</v>
      </c>
      <c r="B30" t="s">
        <v>117</v>
      </c>
      <c r="C30">
        <v>296</v>
      </c>
      <c r="D30">
        <v>1723417</v>
      </c>
      <c r="E30">
        <v>0.2</v>
      </c>
      <c r="F30">
        <v>1E-3</v>
      </c>
      <c r="G30">
        <f t="shared" si="0"/>
        <v>4.5000450004500047E-4</v>
      </c>
      <c r="H30">
        <f t="shared" si="1"/>
        <v>9.0000900009000099E-5</v>
      </c>
      <c r="I30">
        <f t="shared" si="2"/>
        <v>171.75181630446954</v>
      </c>
      <c r="J30">
        <f t="shared" si="3"/>
        <v>2.2349013384933794</v>
      </c>
      <c r="K30" s="2">
        <f t="shared" si="4"/>
        <v>-4.0457531475941408</v>
      </c>
    </row>
    <row r="31" spans="1:13" x14ac:dyDescent="0.2">
      <c r="A31" t="s">
        <v>153</v>
      </c>
      <c r="B31" t="s">
        <v>117</v>
      </c>
      <c r="C31">
        <v>77</v>
      </c>
      <c r="D31">
        <v>1723417</v>
      </c>
      <c r="E31">
        <v>0.2</v>
      </c>
      <c r="F31">
        <v>1E-4</v>
      </c>
      <c r="G31">
        <f t="shared" si="0"/>
        <v>4.5000450004500049E-5</v>
      </c>
      <c r="H31">
        <f>E31*G31</f>
        <v>9.0000900009000095E-6</v>
      </c>
      <c r="I31">
        <f>C31/D31*1000000</f>
        <v>44.678681944068089</v>
      </c>
      <c r="J31">
        <f t="shared" si="3"/>
        <v>1.6501003526069227</v>
      </c>
      <c r="K31" s="2">
        <f>LOG10(H31)</f>
        <v>-5.0457531475941408</v>
      </c>
    </row>
    <row r="32" spans="1:13" x14ac:dyDescent="0.2">
      <c r="A32" t="s">
        <v>112</v>
      </c>
      <c r="B32" t="s">
        <v>117</v>
      </c>
      <c r="C32">
        <v>148</v>
      </c>
      <c r="D32">
        <v>1723417</v>
      </c>
      <c r="E32">
        <v>0.2</v>
      </c>
      <c r="F32">
        <v>1E-4</v>
      </c>
      <c r="G32">
        <f t="shared" si="0"/>
        <v>4.5000450004500049E-5</v>
      </c>
      <c r="H32">
        <f t="shared" si="1"/>
        <v>9.0000900009000095E-6</v>
      </c>
      <c r="I32">
        <f t="shared" si="2"/>
        <v>85.875908152234771</v>
      </c>
      <c r="J32">
        <f t="shared" si="3"/>
        <v>1.9338713428293981</v>
      </c>
      <c r="K32" s="2">
        <f t="shared" si="4"/>
        <v>-5.0457531475941408</v>
      </c>
    </row>
    <row r="33" spans="1:11" x14ac:dyDescent="0.2">
      <c r="A33" t="s">
        <v>113</v>
      </c>
      <c r="B33" t="s">
        <v>117</v>
      </c>
      <c r="C33">
        <v>1059</v>
      </c>
      <c r="D33">
        <v>1723417</v>
      </c>
      <c r="E33">
        <v>0.2</v>
      </c>
      <c r="F33">
        <v>1E-3</v>
      </c>
      <c r="G33">
        <f t="shared" si="0"/>
        <v>4.5000450004500047E-4</v>
      </c>
      <c r="H33">
        <f t="shared" si="1"/>
        <v>9.0000900009000099E-5</v>
      </c>
      <c r="I33">
        <f t="shared" si="2"/>
        <v>614.47693738659882</v>
      </c>
      <c r="J33">
        <f t="shared" si="3"/>
        <v>2.788505587541926</v>
      </c>
      <c r="K33" s="2">
        <f t="shared" si="4"/>
        <v>-4.0457531475941408</v>
      </c>
    </row>
    <row r="34" spans="1:11" x14ac:dyDescent="0.2">
      <c r="A34" t="s">
        <v>114</v>
      </c>
      <c r="B34" t="s">
        <v>117</v>
      </c>
      <c r="C34">
        <v>3129</v>
      </c>
      <c r="D34">
        <v>1723417</v>
      </c>
      <c r="E34">
        <v>0.2</v>
      </c>
      <c r="F34">
        <v>0.01</v>
      </c>
      <c r="G34">
        <f t="shared" si="0"/>
        <v>4.5000450004500049E-3</v>
      </c>
      <c r="H34">
        <f t="shared" si="1"/>
        <v>9.0000900009000104E-4</v>
      </c>
      <c r="I34">
        <f t="shared" si="2"/>
        <v>1815.5791662725853</v>
      </c>
      <c r="J34">
        <f t="shared" si="3"/>
        <v>3.2590151905806342</v>
      </c>
      <c r="K34" s="2">
        <f t="shared" si="4"/>
        <v>-3.0457531475941413</v>
      </c>
    </row>
    <row r="35" spans="1:11" x14ac:dyDescent="0.2">
      <c r="A35" t="s">
        <v>115</v>
      </c>
      <c r="B35" t="s">
        <v>117</v>
      </c>
      <c r="C35">
        <v>24856</v>
      </c>
      <c r="D35">
        <v>1723417</v>
      </c>
      <c r="E35">
        <v>0.2</v>
      </c>
      <c r="F35">
        <v>0.1</v>
      </c>
      <c r="G35">
        <f t="shared" si="0"/>
        <v>4.5000450004500051E-2</v>
      </c>
      <c r="H35">
        <f t="shared" si="1"/>
        <v>9.0000900009000098E-3</v>
      </c>
      <c r="I35">
        <f t="shared" si="2"/>
        <v>14422.51062859424</v>
      </c>
      <c r="J35">
        <f t="shared" si="3"/>
        <v>4.1590408676813588</v>
      </c>
      <c r="K35" s="2">
        <f t="shared" si="4"/>
        <v>-2.0457531475941413</v>
      </c>
    </row>
    <row r="36" spans="1:11" x14ac:dyDescent="0.2">
      <c r="A36" t="s">
        <v>116</v>
      </c>
      <c r="B36" t="s">
        <v>117</v>
      </c>
      <c r="C36">
        <v>230898</v>
      </c>
      <c r="D36">
        <v>1723417</v>
      </c>
      <c r="E36">
        <v>0.2</v>
      </c>
      <c r="F36">
        <v>1</v>
      </c>
      <c r="G36">
        <f t="shared" si="0"/>
        <v>0.45000450004500048</v>
      </c>
      <c r="H36">
        <f t="shared" si="1"/>
        <v>9.0000900009000101E-2</v>
      </c>
      <c r="I36">
        <f t="shared" si="2"/>
        <v>133976.86108469396</v>
      </c>
      <c r="J36">
        <f t="shared" si="3"/>
        <v>5.1270297985814759</v>
      </c>
      <c r="K36" s="2">
        <f t="shared" si="4"/>
        <v>-1.0457531475941411</v>
      </c>
    </row>
    <row r="38" spans="1:11" x14ac:dyDescent="0.2">
      <c r="A38" t="s">
        <v>213</v>
      </c>
    </row>
    <row r="39" spans="1:11" x14ac:dyDescent="0.2">
      <c r="A39" t="s">
        <v>167</v>
      </c>
    </row>
    <row r="40" spans="1:11" x14ac:dyDescent="0.2">
      <c r="A40" t="s">
        <v>126</v>
      </c>
    </row>
    <row r="41" spans="1:11" ht="17" thickBot="1" x14ac:dyDescent="0.25"/>
    <row r="42" spans="1:11" x14ac:dyDescent="0.2">
      <c r="A42" s="32" t="s">
        <v>127</v>
      </c>
      <c r="B42" s="32"/>
    </row>
    <row r="43" spans="1:11" x14ac:dyDescent="0.2">
      <c r="A43" t="s">
        <v>128</v>
      </c>
      <c r="B43">
        <v>0.98650309751565746</v>
      </c>
    </row>
    <row r="44" spans="1:11" x14ac:dyDescent="0.2">
      <c r="A44" t="s">
        <v>129</v>
      </c>
      <c r="B44">
        <v>0.97318836140798681</v>
      </c>
    </row>
    <row r="45" spans="1:11" x14ac:dyDescent="0.2">
      <c r="A45" t="s">
        <v>130</v>
      </c>
      <c r="B45">
        <v>0.96983690658398514</v>
      </c>
    </row>
    <row r="46" spans="1:11" x14ac:dyDescent="0.2">
      <c r="A46" t="s">
        <v>131</v>
      </c>
      <c r="B46">
        <v>0.25889978076474535</v>
      </c>
    </row>
    <row r="47" spans="1:11" ht="17" thickBot="1" x14ac:dyDescent="0.25">
      <c r="A47" s="30" t="s">
        <v>132</v>
      </c>
      <c r="B47" s="30">
        <v>10</v>
      </c>
    </row>
    <row r="49" spans="1:9" ht="17" thickBot="1" x14ac:dyDescent="0.25">
      <c r="A49" t="s">
        <v>133</v>
      </c>
    </row>
    <row r="50" spans="1:9" x14ac:dyDescent="0.2">
      <c r="A50" s="31"/>
      <c r="B50" s="31" t="s">
        <v>138</v>
      </c>
      <c r="C50" s="31" t="s">
        <v>139</v>
      </c>
      <c r="D50" s="31" t="s">
        <v>140</v>
      </c>
      <c r="E50" s="31" t="s">
        <v>141</v>
      </c>
      <c r="F50" s="31" t="s">
        <v>142</v>
      </c>
    </row>
    <row r="51" spans="1:9" x14ac:dyDescent="0.2">
      <c r="A51" t="s">
        <v>134</v>
      </c>
      <c r="B51">
        <v>1</v>
      </c>
      <c r="C51">
        <v>19.463767228159732</v>
      </c>
      <c r="D51">
        <v>19.463767228159732</v>
      </c>
      <c r="E51">
        <v>290.37788438574057</v>
      </c>
      <c r="F51">
        <v>1.4284435606597672E-7</v>
      </c>
    </row>
    <row r="52" spans="1:9" x14ac:dyDescent="0.2">
      <c r="A52" t="s">
        <v>135</v>
      </c>
      <c r="B52">
        <v>8</v>
      </c>
      <c r="C52">
        <v>0.53623277184026563</v>
      </c>
      <c r="D52">
        <v>6.7029096480033204E-2</v>
      </c>
    </row>
    <row r="53" spans="1:9" ht="17" thickBot="1" x14ac:dyDescent="0.25">
      <c r="A53" s="30" t="s">
        <v>136</v>
      </c>
      <c r="B53" s="30">
        <v>9</v>
      </c>
      <c r="C53" s="30">
        <v>19.999999999999996</v>
      </c>
      <c r="D53" s="30"/>
      <c r="E53" s="30"/>
      <c r="F53" s="30"/>
    </row>
    <row r="54" spans="1:9" ht="17" thickBot="1" x14ac:dyDescent="0.25"/>
    <row r="55" spans="1:9" x14ac:dyDescent="0.2">
      <c r="A55" s="31"/>
      <c r="B55" s="31" t="s">
        <v>143</v>
      </c>
      <c r="C55" s="31" t="s">
        <v>131</v>
      </c>
      <c r="D55" s="31" t="s">
        <v>144</v>
      </c>
      <c r="E55" s="31" t="s">
        <v>145</v>
      </c>
      <c r="F55" s="31" t="s">
        <v>146</v>
      </c>
      <c r="G55" s="31" t="s">
        <v>147</v>
      </c>
      <c r="H55" s="31" t="s">
        <v>148</v>
      </c>
      <c r="I55" s="31" t="s">
        <v>149</v>
      </c>
    </row>
    <row r="56" spans="1:9" x14ac:dyDescent="0.2">
      <c r="A56" t="s">
        <v>137</v>
      </c>
      <c r="B56">
        <v>-6.7242381884894638</v>
      </c>
      <c r="C56">
        <v>0.2361976278251447</v>
      </c>
      <c r="D56">
        <v>-28.46869484001493</v>
      </c>
      <c r="E56">
        <v>2.5056435242303998E-9</v>
      </c>
      <c r="F56">
        <v>-7.2689108949796619</v>
      </c>
      <c r="G56">
        <v>-6.1795654819992656</v>
      </c>
      <c r="H56">
        <v>-7.2689108949796619</v>
      </c>
      <c r="I56">
        <v>-6.1795654819992656</v>
      </c>
    </row>
    <row r="57" spans="1:9" ht="17" thickBot="1" x14ac:dyDescent="0.25">
      <c r="A57" s="30" t="s">
        <v>166</v>
      </c>
      <c r="B57" s="30">
        <v>1.2448765237913186</v>
      </c>
      <c r="C57" s="30">
        <v>7.3054085503350158E-2</v>
      </c>
      <c r="D57" s="30">
        <v>17.040477821520746</v>
      </c>
      <c r="E57" s="30">
        <v>1.4284435606597722E-7</v>
      </c>
      <c r="F57" s="30">
        <v>1.0764135005270343</v>
      </c>
      <c r="G57" s="30">
        <v>1.4133395470556029</v>
      </c>
      <c r="H57" s="30">
        <v>1.0764135005270343</v>
      </c>
      <c r="I57" s="30">
        <v>1.4133395470556029</v>
      </c>
    </row>
    <row r="60" spans="1:9" x14ac:dyDescent="0.2">
      <c r="A60" t="s">
        <v>168</v>
      </c>
    </row>
    <row r="61" spans="1:9" x14ac:dyDescent="0.2">
      <c r="A61" t="s">
        <v>126</v>
      </c>
    </row>
    <row r="62" spans="1:9" ht="17" thickBot="1" x14ac:dyDescent="0.25"/>
    <row r="63" spans="1:9" x14ac:dyDescent="0.2">
      <c r="A63" s="32" t="s">
        <v>127</v>
      </c>
      <c r="B63" s="32"/>
    </row>
    <row r="64" spans="1:9" x14ac:dyDescent="0.2">
      <c r="A64" t="s">
        <v>128</v>
      </c>
      <c r="B64">
        <v>0.98632417973563269</v>
      </c>
    </row>
    <row r="65" spans="1:9" x14ac:dyDescent="0.2">
      <c r="A65" t="s">
        <v>129</v>
      </c>
      <c r="B65">
        <v>0.9728353875311686</v>
      </c>
    </row>
    <row r="66" spans="1:9" x14ac:dyDescent="0.2">
      <c r="A66" t="s">
        <v>130</v>
      </c>
      <c r="B66">
        <v>0.9694398109725646</v>
      </c>
    </row>
    <row r="67" spans="1:9" x14ac:dyDescent="0.2">
      <c r="A67" t="s">
        <v>131</v>
      </c>
      <c r="B67">
        <v>0.26059840976506049</v>
      </c>
    </row>
    <row r="68" spans="1:9" ht="17" thickBot="1" x14ac:dyDescent="0.25">
      <c r="A68" s="30" t="s">
        <v>132</v>
      </c>
      <c r="B68" s="30">
        <v>10</v>
      </c>
    </row>
    <row r="70" spans="1:9" ht="17" thickBot="1" x14ac:dyDescent="0.25">
      <c r="A70" t="s">
        <v>133</v>
      </c>
    </row>
    <row r="71" spans="1:9" x14ac:dyDescent="0.2">
      <c r="A71" s="31"/>
      <c r="B71" s="31" t="s">
        <v>138</v>
      </c>
      <c r="C71" s="31" t="s">
        <v>139</v>
      </c>
      <c r="D71" s="31" t="s">
        <v>140</v>
      </c>
      <c r="E71" s="31" t="s">
        <v>141</v>
      </c>
      <c r="F71" s="31" t="s">
        <v>142</v>
      </c>
    </row>
    <row r="72" spans="1:9" x14ac:dyDescent="0.2">
      <c r="A72" t="s">
        <v>134</v>
      </c>
      <c r="B72">
        <v>1</v>
      </c>
      <c r="C72">
        <v>19.456707750623369</v>
      </c>
      <c r="D72">
        <v>19.456707750623369</v>
      </c>
      <c r="E72">
        <v>286.50079618029497</v>
      </c>
      <c r="F72">
        <v>1.5053811468097101E-7</v>
      </c>
    </row>
    <row r="73" spans="1:9" x14ac:dyDescent="0.2">
      <c r="A73" t="s">
        <v>135</v>
      </c>
      <c r="B73">
        <v>8</v>
      </c>
      <c r="C73">
        <v>0.5432922493766269</v>
      </c>
      <c r="D73">
        <v>6.7911531172078363E-2</v>
      </c>
    </row>
    <row r="74" spans="1:9" ht="17" thickBot="1" x14ac:dyDescent="0.25">
      <c r="A74" s="30" t="s">
        <v>136</v>
      </c>
      <c r="B74" s="30">
        <v>9</v>
      </c>
      <c r="C74" s="30">
        <v>19.999999999999996</v>
      </c>
      <c r="D74" s="30"/>
      <c r="E74" s="30"/>
      <c r="F74" s="30"/>
    </row>
    <row r="75" spans="1:9" ht="17" thickBot="1" x14ac:dyDescent="0.25"/>
    <row r="76" spans="1:9" x14ac:dyDescent="0.2">
      <c r="A76" s="31"/>
      <c r="B76" s="31" t="s">
        <v>143</v>
      </c>
      <c r="C76" s="31" t="s">
        <v>131</v>
      </c>
      <c r="D76" s="31" t="s">
        <v>144</v>
      </c>
      <c r="E76" s="31" t="s">
        <v>145</v>
      </c>
      <c r="F76" s="31" t="s">
        <v>146</v>
      </c>
      <c r="G76" s="31" t="s">
        <v>147</v>
      </c>
      <c r="H76" s="31" t="s">
        <v>148</v>
      </c>
      <c r="I76" s="31" t="s">
        <v>149</v>
      </c>
    </row>
    <row r="77" spans="1:9" x14ac:dyDescent="0.2">
      <c r="A77" t="s">
        <v>137</v>
      </c>
      <c r="B77">
        <v>-7.1553189737083844</v>
      </c>
      <c r="C77">
        <v>0.25639567558447424</v>
      </c>
      <c r="D77">
        <v>-27.907330953992375</v>
      </c>
      <c r="E77">
        <v>2.9342178761498629E-9</v>
      </c>
      <c r="F77">
        <v>-7.7465684618546478</v>
      </c>
      <c r="G77">
        <v>-6.5640694855621211</v>
      </c>
      <c r="H77">
        <v>-7.7465684618546478</v>
      </c>
      <c r="I77">
        <v>-6.5640694855621211</v>
      </c>
    </row>
    <row r="78" spans="1:9" ht="17" thickBot="1" x14ac:dyDescent="0.25">
      <c r="A78" s="30" t="s">
        <v>166</v>
      </c>
      <c r="B78" s="30">
        <v>1.24675913604407</v>
      </c>
      <c r="C78" s="30">
        <v>7.3657952553024028E-2</v>
      </c>
      <c r="D78" s="30">
        <v>16.926334398808702</v>
      </c>
      <c r="E78" s="30">
        <v>1.505381146809713E-7</v>
      </c>
      <c r="F78" s="30">
        <v>1.0769035928661241</v>
      </c>
      <c r="G78" s="30">
        <v>1.4166146792220158</v>
      </c>
      <c r="H78" s="30">
        <v>1.0769035928661241</v>
      </c>
      <c r="I78" s="30">
        <v>1.4166146792220158</v>
      </c>
    </row>
    <row r="82" spans="1:11" x14ac:dyDescent="0.2">
      <c r="A82" t="s">
        <v>171</v>
      </c>
    </row>
    <row r="83" spans="1:11" x14ac:dyDescent="0.2">
      <c r="A83" t="s">
        <v>118</v>
      </c>
      <c r="B83" t="s">
        <v>119</v>
      </c>
      <c r="C83" t="s">
        <v>120</v>
      </c>
      <c r="D83" t="s">
        <v>121</v>
      </c>
      <c r="E83" t="s">
        <v>122</v>
      </c>
      <c r="F83" t="s">
        <v>123</v>
      </c>
      <c r="G83" t="s">
        <v>124</v>
      </c>
      <c r="H83" t="s">
        <v>125</v>
      </c>
      <c r="I83" t="s">
        <v>150</v>
      </c>
      <c r="J83" t="s">
        <v>151</v>
      </c>
      <c r="K83" t="s">
        <v>152</v>
      </c>
    </row>
    <row r="84" spans="1:11" x14ac:dyDescent="0.2">
      <c r="A84" t="s">
        <v>107</v>
      </c>
      <c r="B84" t="s">
        <v>108</v>
      </c>
      <c r="C84">
        <v>93135</v>
      </c>
      <c r="D84">
        <v>3216923</v>
      </c>
      <c r="E84">
        <v>0.25</v>
      </c>
      <c r="F84">
        <v>1</v>
      </c>
      <c r="G84">
        <f>F84/(2*(1+0.1+0.01+0.001+0.0001))</f>
        <v>0.45000450004500048</v>
      </c>
      <c r="H84">
        <f>E84*G84</f>
        <v>0.11250112501125012</v>
      </c>
      <c r="I84">
        <f>C84/D84*1000000</f>
        <v>28951.578884542774</v>
      </c>
      <c r="J84">
        <f>LOG10(I84)</f>
        <v>4.4616722531116997</v>
      </c>
      <c r="K84" s="2">
        <f>LOG10(H84)</f>
        <v>-0.94884313458608482</v>
      </c>
    </row>
    <row r="85" spans="1:11" x14ac:dyDescent="0.2">
      <c r="A85" t="s">
        <v>109</v>
      </c>
      <c r="B85" t="s">
        <v>108</v>
      </c>
      <c r="C85">
        <v>15190</v>
      </c>
      <c r="D85">
        <v>3216923</v>
      </c>
      <c r="E85">
        <v>0.25</v>
      </c>
      <c r="F85">
        <v>0.1</v>
      </c>
      <c r="G85">
        <f t="shared" ref="G85:G101" si="5">F85/(2*(1+0.1+0.01+0.001+0.0001))</f>
        <v>4.5000450004500051E-2</v>
      </c>
      <c r="H85">
        <f t="shared" ref="H85:H101" si="6">E85*G85</f>
        <v>1.1250112501125013E-2</v>
      </c>
      <c r="I85">
        <f t="shared" ref="I85:I101" si="7">C85/D85*1000000</f>
        <v>4721.9035084147181</v>
      </c>
      <c r="J85">
        <f t="shared" ref="J85:J101" si="8">LOG10(I85)</f>
        <v>3.6741171080728217</v>
      </c>
      <c r="K85" s="2">
        <f t="shared" ref="K85:K101" si="9">LOG10(H85)</f>
        <v>-1.9488431345860848</v>
      </c>
    </row>
    <row r="86" spans="1:11" x14ac:dyDescent="0.2">
      <c r="A86" t="s">
        <v>110</v>
      </c>
      <c r="B86" t="s">
        <v>108</v>
      </c>
      <c r="C86">
        <v>2447</v>
      </c>
      <c r="D86">
        <v>3216923</v>
      </c>
      <c r="E86">
        <v>0.25</v>
      </c>
      <c r="F86">
        <v>0.01</v>
      </c>
      <c r="G86">
        <f t="shared" si="5"/>
        <v>4.5000450004500049E-3</v>
      </c>
      <c r="H86">
        <f t="shared" si="6"/>
        <v>1.1250112501125012E-3</v>
      </c>
      <c r="I86">
        <f t="shared" si="7"/>
        <v>760.66477189537954</v>
      </c>
      <c r="J86">
        <f t="shared" si="8"/>
        <v>2.8811933035618242</v>
      </c>
      <c r="K86" s="2">
        <f t="shared" si="9"/>
        <v>-2.9488431345860846</v>
      </c>
    </row>
    <row r="87" spans="1:11" x14ac:dyDescent="0.2">
      <c r="A87" t="s">
        <v>111</v>
      </c>
      <c r="B87" t="s">
        <v>108</v>
      </c>
      <c r="C87">
        <v>308</v>
      </c>
      <c r="D87">
        <v>3216923</v>
      </c>
      <c r="E87">
        <v>0.25</v>
      </c>
      <c r="F87">
        <v>1E-3</v>
      </c>
      <c r="G87">
        <f t="shared" si="5"/>
        <v>4.5000450004500047E-4</v>
      </c>
      <c r="H87">
        <f t="shared" si="6"/>
        <v>1.1250112501125012E-4</v>
      </c>
      <c r="I87">
        <f t="shared" si="7"/>
        <v>95.743665608409032</v>
      </c>
      <c r="J87">
        <f t="shared" si="8"/>
        <v>1.9811100507104795</v>
      </c>
      <c r="K87" s="2">
        <f t="shared" si="9"/>
        <v>-3.9488431345860846</v>
      </c>
    </row>
    <row r="88" spans="1:11" x14ac:dyDescent="0.2">
      <c r="A88" t="s">
        <v>112</v>
      </c>
      <c r="B88" t="s">
        <v>108</v>
      </c>
      <c r="C88">
        <v>149</v>
      </c>
      <c r="D88">
        <v>3216923</v>
      </c>
      <c r="E88">
        <v>0.25</v>
      </c>
      <c r="F88">
        <v>1E-4</v>
      </c>
      <c r="G88">
        <f t="shared" si="5"/>
        <v>4.5000450004500049E-5</v>
      </c>
      <c r="H88">
        <f t="shared" si="6"/>
        <v>1.1250112501125012E-5</v>
      </c>
      <c r="I88">
        <f t="shared" si="7"/>
        <v>46.317552518353722</v>
      </c>
      <c r="J88">
        <f t="shared" si="8"/>
        <v>1.6657456026223092</v>
      </c>
      <c r="K88" s="2">
        <f t="shared" si="9"/>
        <v>-4.9488431345860846</v>
      </c>
    </row>
    <row r="89" spans="1:11" x14ac:dyDescent="0.2">
      <c r="A89" t="s">
        <v>113</v>
      </c>
      <c r="B89" t="s">
        <v>108</v>
      </c>
      <c r="C89">
        <v>1075</v>
      </c>
      <c r="D89">
        <v>3216923</v>
      </c>
      <c r="E89">
        <v>0.25</v>
      </c>
      <c r="F89">
        <v>1E-3</v>
      </c>
      <c r="G89">
        <f t="shared" si="5"/>
        <v>4.5000450004500047E-4</v>
      </c>
      <c r="H89">
        <f t="shared" si="6"/>
        <v>1.1250112501125012E-4</v>
      </c>
      <c r="I89">
        <f t="shared" si="7"/>
        <v>334.17026145792113</v>
      </c>
      <c r="J89">
        <f t="shared" si="8"/>
        <v>2.5239677984616593</v>
      </c>
      <c r="K89" s="2">
        <f t="shared" si="9"/>
        <v>-3.9488431345860846</v>
      </c>
    </row>
    <row r="90" spans="1:11" x14ac:dyDescent="0.2">
      <c r="A90" t="s">
        <v>114</v>
      </c>
      <c r="B90" t="s">
        <v>108</v>
      </c>
      <c r="C90">
        <v>3189</v>
      </c>
      <c r="D90">
        <v>3216923</v>
      </c>
      <c r="E90">
        <v>0.25</v>
      </c>
      <c r="F90">
        <v>0.01</v>
      </c>
      <c r="G90">
        <f t="shared" si="5"/>
        <v>4.5000450004500049E-3</v>
      </c>
      <c r="H90">
        <f t="shared" si="6"/>
        <v>1.1250112501125012E-3</v>
      </c>
      <c r="I90">
        <f t="shared" si="7"/>
        <v>991.31996631563754</v>
      </c>
      <c r="J90">
        <f t="shared" si="8"/>
        <v>2.9962138534529945</v>
      </c>
      <c r="K90" s="2">
        <f t="shared" si="9"/>
        <v>-2.9488431345860846</v>
      </c>
    </row>
    <row r="91" spans="1:11" x14ac:dyDescent="0.2">
      <c r="A91" t="s">
        <v>115</v>
      </c>
      <c r="B91" t="s">
        <v>108</v>
      </c>
      <c r="C91">
        <v>25347</v>
      </c>
      <c r="D91">
        <v>3216923</v>
      </c>
      <c r="E91">
        <v>0.25</v>
      </c>
      <c r="F91">
        <v>0.1</v>
      </c>
      <c r="G91">
        <f t="shared" si="5"/>
        <v>4.5000450004500051E-2</v>
      </c>
      <c r="H91">
        <f t="shared" si="6"/>
        <v>1.1250112501125013E-2</v>
      </c>
      <c r="I91">
        <f t="shared" si="7"/>
        <v>7879.2684810920255</v>
      </c>
      <c r="J91">
        <f t="shared" si="8"/>
        <v>3.8964858990413038</v>
      </c>
      <c r="K91" s="2">
        <f t="shared" si="9"/>
        <v>-1.9488431345860848</v>
      </c>
    </row>
    <row r="92" spans="1:11" x14ac:dyDescent="0.2">
      <c r="A92" t="s">
        <v>116</v>
      </c>
      <c r="B92" t="s">
        <v>108</v>
      </c>
      <c r="C92">
        <v>237329</v>
      </c>
      <c r="D92">
        <v>3216923</v>
      </c>
      <c r="E92">
        <v>0.25</v>
      </c>
      <c r="F92">
        <v>1</v>
      </c>
      <c r="G92">
        <f t="shared" si="5"/>
        <v>0.45000450004500048</v>
      </c>
      <c r="H92">
        <f t="shared" si="6"/>
        <v>0.11250112501125012</v>
      </c>
      <c r="I92">
        <f t="shared" si="7"/>
        <v>73775.157192136699</v>
      </c>
      <c r="J92">
        <f t="shared" si="8"/>
        <v>4.8679101435207581</v>
      </c>
      <c r="K92" s="2">
        <f t="shared" si="9"/>
        <v>-0.94884313458608482</v>
      </c>
    </row>
    <row r="93" spans="1:11" x14ac:dyDescent="0.2">
      <c r="A93" t="s">
        <v>107</v>
      </c>
      <c r="B93" t="s">
        <v>117</v>
      </c>
      <c r="C93">
        <v>90897</v>
      </c>
      <c r="D93">
        <v>1723417</v>
      </c>
      <c r="E93">
        <v>0.2</v>
      </c>
      <c r="F93">
        <v>1</v>
      </c>
      <c r="G93">
        <f t="shared" si="5"/>
        <v>0.45000450004500048</v>
      </c>
      <c r="H93">
        <f t="shared" si="6"/>
        <v>9.0000900009000101E-2</v>
      </c>
      <c r="I93">
        <f t="shared" si="7"/>
        <v>52742.313671038413</v>
      </c>
      <c r="J93">
        <f t="shared" si="8"/>
        <v>4.7221591772686642</v>
      </c>
      <c r="K93" s="2">
        <f t="shared" si="9"/>
        <v>-1.0457531475941411</v>
      </c>
    </row>
    <row r="94" spans="1:11" x14ac:dyDescent="0.2">
      <c r="A94" t="s">
        <v>109</v>
      </c>
      <c r="B94" t="s">
        <v>117</v>
      </c>
      <c r="C94">
        <v>15002</v>
      </c>
      <c r="D94">
        <v>1723417</v>
      </c>
      <c r="E94">
        <v>0.2</v>
      </c>
      <c r="F94">
        <v>0.1</v>
      </c>
      <c r="G94">
        <f t="shared" si="5"/>
        <v>4.5000450004500051E-2</v>
      </c>
      <c r="H94">
        <f t="shared" si="6"/>
        <v>9.0000900009000098E-3</v>
      </c>
      <c r="I94">
        <f t="shared" si="7"/>
        <v>8704.799824998825</v>
      </c>
      <c r="J94">
        <f t="shared" si="8"/>
        <v>3.9397587885609902</v>
      </c>
      <c r="K94" s="2">
        <f t="shared" si="9"/>
        <v>-2.0457531475941413</v>
      </c>
    </row>
    <row r="95" spans="1:11" x14ac:dyDescent="0.2">
      <c r="A95" t="s">
        <v>110</v>
      </c>
      <c r="B95" t="s">
        <v>117</v>
      </c>
      <c r="C95">
        <v>2421</v>
      </c>
      <c r="D95">
        <v>1723417</v>
      </c>
      <c r="E95">
        <v>0.2</v>
      </c>
      <c r="F95">
        <v>0.01</v>
      </c>
      <c r="G95">
        <f t="shared" si="5"/>
        <v>4.5000450004500049E-3</v>
      </c>
      <c r="H95">
        <f t="shared" si="6"/>
        <v>9.0000900009000104E-4</v>
      </c>
      <c r="I95">
        <f t="shared" si="7"/>
        <v>1404.7673894362188</v>
      </c>
      <c r="J95">
        <f t="shared" si="8"/>
        <v>3.1476044168761734</v>
      </c>
      <c r="K95" s="2">
        <f t="shared" si="9"/>
        <v>-3.0457531475941413</v>
      </c>
    </row>
    <row r="96" spans="1:11" x14ac:dyDescent="0.2">
      <c r="A96" t="s">
        <v>111</v>
      </c>
      <c r="B96" t="s">
        <v>117</v>
      </c>
      <c r="C96">
        <v>296</v>
      </c>
      <c r="D96">
        <v>1723417</v>
      </c>
      <c r="E96">
        <v>0.2</v>
      </c>
      <c r="F96">
        <v>1E-3</v>
      </c>
      <c r="G96">
        <f t="shared" si="5"/>
        <v>4.5000450004500047E-4</v>
      </c>
      <c r="H96">
        <f t="shared" si="6"/>
        <v>9.0000900009000099E-5</v>
      </c>
      <c r="I96">
        <f t="shared" si="7"/>
        <v>171.75181630446954</v>
      </c>
      <c r="J96">
        <f t="shared" si="8"/>
        <v>2.2349013384933794</v>
      </c>
      <c r="K96" s="2">
        <f t="shared" si="9"/>
        <v>-4.0457531475941408</v>
      </c>
    </row>
    <row r="97" spans="1:11" x14ac:dyDescent="0.2">
      <c r="A97" t="s">
        <v>112</v>
      </c>
      <c r="B97" t="s">
        <v>117</v>
      </c>
      <c r="C97">
        <v>148</v>
      </c>
      <c r="D97">
        <v>1723417</v>
      </c>
      <c r="E97">
        <v>0.2</v>
      </c>
      <c r="F97">
        <v>1E-4</v>
      </c>
      <c r="G97">
        <f t="shared" si="5"/>
        <v>4.5000450004500049E-5</v>
      </c>
      <c r="H97">
        <f t="shared" si="6"/>
        <v>9.0000900009000095E-6</v>
      </c>
      <c r="I97">
        <f t="shared" si="7"/>
        <v>85.875908152234771</v>
      </c>
      <c r="J97">
        <f t="shared" si="8"/>
        <v>1.9338713428293981</v>
      </c>
      <c r="K97" s="2">
        <f t="shared" si="9"/>
        <v>-5.0457531475941408</v>
      </c>
    </row>
    <row r="98" spans="1:11" x14ac:dyDescent="0.2">
      <c r="A98" t="s">
        <v>113</v>
      </c>
      <c r="B98" t="s">
        <v>117</v>
      </c>
      <c r="C98">
        <v>1059</v>
      </c>
      <c r="D98">
        <v>1723417</v>
      </c>
      <c r="E98">
        <v>0.2</v>
      </c>
      <c r="F98">
        <v>1E-3</v>
      </c>
      <c r="G98">
        <f t="shared" si="5"/>
        <v>4.5000450004500047E-4</v>
      </c>
      <c r="H98">
        <f t="shared" si="6"/>
        <v>9.0000900009000099E-5</v>
      </c>
      <c r="I98">
        <f t="shared" si="7"/>
        <v>614.47693738659882</v>
      </c>
      <c r="J98">
        <f t="shared" si="8"/>
        <v>2.788505587541926</v>
      </c>
      <c r="K98" s="2">
        <f t="shared" si="9"/>
        <v>-4.0457531475941408</v>
      </c>
    </row>
    <row r="99" spans="1:11" x14ac:dyDescent="0.2">
      <c r="A99" t="s">
        <v>114</v>
      </c>
      <c r="B99" t="s">
        <v>117</v>
      </c>
      <c r="C99">
        <v>3129</v>
      </c>
      <c r="D99">
        <v>1723417</v>
      </c>
      <c r="E99">
        <v>0.2</v>
      </c>
      <c r="F99">
        <v>0.01</v>
      </c>
      <c r="G99">
        <f t="shared" si="5"/>
        <v>4.5000450004500049E-3</v>
      </c>
      <c r="H99">
        <f t="shared" si="6"/>
        <v>9.0000900009000104E-4</v>
      </c>
      <c r="I99">
        <f t="shared" si="7"/>
        <v>1815.5791662725853</v>
      </c>
      <c r="J99">
        <f t="shared" si="8"/>
        <v>3.2590151905806342</v>
      </c>
      <c r="K99" s="2">
        <f t="shared" si="9"/>
        <v>-3.0457531475941413</v>
      </c>
    </row>
    <row r="100" spans="1:11" x14ac:dyDescent="0.2">
      <c r="A100" t="s">
        <v>115</v>
      </c>
      <c r="B100" t="s">
        <v>117</v>
      </c>
      <c r="C100">
        <v>24856</v>
      </c>
      <c r="D100">
        <v>1723417</v>
      </c>
      <c r="E100">
        <v>0.2</v>
      </c>
      <c r="F100">
        <v>0.1</v>
      </c>
      <c r="G100">
        <f t="shared" si="5"/>
        <v>4.5000450004500051E-2</v>
      </c>
      <c r="H100">
        <f t="shared" si="6"/>
        <v>9.0000900009000098E-3</v>
      </c>
      <c r="I100">
        <f t="shared" si="7"/>
        <v>14422.51062859424</v>
      </c>
      <c r="J100">
        <f t="shared" si="8"/>
        <v>4.1590408676813588</v>
      </c>
      <c r="K100" s="2">
        <f t="shared" si="9"/>
        <v>-2.0457531475941413</v>
      </c>
    </row>
    <row r="101" spans="1:11" x14ac:dyDescent="0.2">
      <c r="A101" t="s">
        <v>116</v>
      </c>
      <c r="B101" t="s">
        <v>117</v>
      </c>
      <c r="C101">
        <v>230898</v>
      </c>
      <c r="D101">
        <v>1723417</v>
      </c>
      <c r="E101">
        <v>0.2</v>
      </c>
      <c r="F101">
        <v>1</v>
      </c>
      <c r="G101">
        <f t="shared" si="5"/>
        <v>0.45000450004500048</v>
      </c>
      <c r="H101">
        <f t="shared" si="6"/>
        <v>9.0000900009000101E-2</v>
      </c>
      <c r="I101">
        <f t="shared" si="7"/>
        <v>133976.86108469396</v>
      </c>
      <c r="J101">
        <f t="shared" si="8"/>
        <v>5.1270297985814759</v>
      </c>
      <c r="K101" s="2">
        <f t="shared" si="9"/>
        <v>-1.0457531475941411</v>
      </c>
    </row>
    <row r="103" spans="1:11" x14ac:dyDescent="0.2">
      <c r="A103" t="s">
        <v>172</v>
      </c>
    </row>
    <row r="104" spans="1:11" x14ac:dyDescent="0.2">
      <c r="A104" t="s">
        <v>126</v>
      </c>
    </row>
    <row r="105" spans="1:11" ht="17" thickBot="1" x14ac:dyDescent="0.25"/>
    <row r="106" spans="1:11" x14ac:dyDescent="0.2">
      <c r="A106" s="32" t="s">
        <v>127</v>
      </c>
      <c r="B106" s="32"/>
    </row>
    <row r="107" spans="1:11" x14ac:dyDescent="0.2">
      <c r="A107" t="s">
        <v>128</v>
      </c>
      <c r="B107">
        <v>0.98277768956987499</v>
      </c>
    </row>
    <row r="108" spans="1:11" x14ac:dyDescent="0.2">
      <c r="A108" t="s">
        <v>129</v>
      </c>
      <c r="B108">
        <v>0.96585198711630149</v>
      </c>
    </row>
    <row r="109" spans="1:11" x14ac:dyDescent="0.2">
      <c r="A109" t="s">
        <v>130</v>
      </c>
      <c r="B109">
        <v>0.96097369956148737</v>
      </c>
    </row>
    <row r="110" spans="1:11" x14ac:dyDescent="0.2">
      <c r="A110" t="s">
        <v>131</v>
      </c>
      <c r="B110">
        <v>0.27547136525396865</v>
      </c>
    </row>
    <row r="111" spans="1:11" ht="17" thickBot="1" x14ac:dyDescent="0.25">
      <c r="A111" s="30" t="s">
        <v>132</v>
      </c>
      <c r="B111" s="30">
        <v>9</v>
      </c>
    </row>
    <row r="113" spans="1:9" ht="17" thickBot="1" x14ac:dyDescent="0.25">
      <c r="A113" t="s">
        <v>133</v>
      </c>
    </row>
    <row r="114" spans="1:9" x14ac:dyDescent="0.2">
      <c r="A114" s="31"/>
      <c r="B114" s="31" t="s">
        <v>138</v>
      </c>
      <c r="C114" s="31" t="s">
        <v>139</v>
      </c>
      <c r="D114" s="31" t="s">
        <v>140</v>
      </c>
      <c r="E114" s="31" t="s">
        <v>141</v>
      </c>
      <c r="F114" s="31" t="s">
        <v>142</v>
      </c>
    </row>
    <row r="115" spans="1:9" x14ac:dyDescent="0.2">
      <c r="A115" t="s">
        <v>134</v>
      </c>
      <c r="B115">
        <v>1</v>
      </c>
      <c r="C115">
        <v>15.024364244031355</v>
      </c>
      <c r="D115">
        <v>15.024364244031355</v>
      </c>
      <c r="E115">
        <v>197.98996600009067</v>
      </c>
      <c r="F115">
        <v>2.170514370853631E-6</v>
      </c>
    </row>
    <row r="116" spans="1:9" x14ac:dyDescent="0.2">
      <c r="A116" t="s">
        <v>135</v>
      </c>
      <c r="B116">
        <v>7</v>
      </c>
      <c r="C116">
        <v>0.53119131152419774</v>
      </c>
      <c r="D116">
        <v>7.5884473074885397E-2</v>
      </c>
    </row>
    <row r="117" spans="1:9" ht="17" thickBot="1" x14ac:dyDescent="0.25">
      <c r="A117" s="30" t="s">
        <v>136</v>
      </c>
      <c r="B117" s="30">
        <v>8</v>
      </c>
      <c r="C117" s="30">
        <v>15.555555555555554</v>
      </c>
      <c r="D117" s="30"/>
      <c r="E117" s="30"/>
      <c r="F117" s="30"/>
    </row>
    <row r="118" spans="1:9" ht="17" thickBot="1" x14ac:dyDescent="0.25"/>
    <row r="119" spans="1:9" x14ac:dyDescent="0.2">
      <c r="A119" s="31"/>
      <c r="B119" s="31" t="s">
        <v>143</v>
      </c>
      <c r="C119" s="31" t="s">
        <v>131</v>
      </c>
      <c r="D119" s="31" t="s">
        <v>144</v>
      </c>
      <c r="E119" s="31" t="s">
        <v>145</v>
      </c>
      <c r="F119" s="31" t="s">
        <v>146</v>
      </c>
      <c r="G119" s="31" t="s">
        <v>147</v>
      </c>
      <c r="H119" s="31" t="s">
        <v>148</v>
      </c>
      <c r="I119" s="31" t="s">
        <v>149</v>
      </c>
    </row>
    <row r="120" spans="1:9" x14ac:dyDescent="0.2">
      <c r="A120" t="s">
        <v>137</v>
      </c>
      <c r="B120">
        <v>-6.7671601206840846</v>
      </c>
      <c r="C120">
        <v>0.30147987595768366</v>
      </c>
      <c r="D120">
        <v>-22.44647374617448</v>
      </c>
      <c r="E120">
        <v>8.8123820173190667E-8</v>
      </c>
      <c r="F120">
        <v>-7.4800467467408076</v>
      </c>
      <c r="G120">
        <v>-6.0542734946273615</v>
      </c>
      <c r="H120">
        <v>-7.4800467467408076</v>
      </c>
      <c r="I120">
        <v>-6.0542734946273615</v>
      </c>
    </row>
    <row r="121" spans="1:9" ht="17" thickBot="1" x14ac:dyDescent="0.25">
      <c r="A121" s="30" t="s">
        <v>151</v>
      </c>
      <c r="B121" s="30">
        <v>1.2561949109446751</v>
      </c>
      <c r="C121" s="30">
        <v>8.9276147107148096E-2</v>
      </c>
      <c r="D121" s="30">
        <v>14.070890732291637</v>
      </c>
      <c r="E121" s="30">
        <v>2.170514370853631E-6</v>
      </c>
      <c r="F121" s="30">
        <v>1.0450903684063477</v>
      </c>
      <c r="G121" s="30">
        <v>1.4672994534830024</v>
      </c>
      <c r="H121" s="30">
        <v>1.0450903684063477</v>
      </c>
      <c r="I121" s="30">
        <v>1.4672994534830024</v>
      </c>
    </row>
    <row r="124" spans="1:9" x14ac:dyDescent="0.2">
      <c r="A124" t="s">
        <v>173</v>
      </c>
    </row>
    <row r="125" spans="1:9" x14ac:dyDescent="0.2">
      <c r="A125" t="s">
        <v>126</v>
      </c>
    </row>
    <row r="126" spans="1:9" ht="17" thickBot="1" x14ac:dyDescent="0.25"/>
    <row r="127" spans="1:9" x14ac:dyDescent="0.2">
      <c r="A127" s="32" t="s">
        <v>127</v>
      </c>
      <c r="B127" s="32"/>
    </row>
    <row r="128" spans="1:9" x14ac:dyDescent="0.2">
      <c r="A128" t="s">
        <v>128</v>
      </c>
      <c r="B128">
        <v>0.98251270102667276</v>
      </c>
    </row>
    <row r="129" spans="1:9" x14ac:dyDescent="0.2">
      <c r="A129" t="s">
        <v>129</v>
      </c>
      <c r="B129">
        <v>0.96533120767872804</v>
      </c>
    </row>
    <row r="130" spans="1:9" x14ac:dyDescent="0.2">
      <c r="A130" t="s">
        <v>130</v>
      </c>
      <c r="B130">
        <v>0.96037852306140348</v>
      </c>
    </row>
    <row r="131" spans="1:9" x14ac:dyDescent="0.2">
      <c r="A131" t="s">
        <v>131</v>
      </c>
      <c r="B131">
        <v>0.2775639758937346</v>
      </c>
    </row>
    <row r="132" spans="1:9" ht="17" thickBot="1" x14ac:dyDescent="0.25">
      <c r="A132" s="30" t="s">
        <v>132</v>
      </c>
      <c r="B132" s="30">
        <v>9</v>
      </c>
    </row>
    <row r="134" spans="1:9" ht="17" thickBot="1" x14ac:dyDescent="0.25">
      <c r="A134" t="s">
        <v>133</v>
      </c>
    </row>
    <row r="135" spans="1:9" x14ac:dyDescent="0.2">
      <c r="A135" s="31"/>
      <c r="B135" s="31" t="s">
        <v>138</v>
      </c>
      <c r="C135" s="31" t="s">
        <v>139</v>
      </c>
      <c r="D135" s="31" t="s">
        <v>140</v>
      </c>
      <c r="E135" s="31" t="s">
        <v>141</v>
      </c>
      <c r="F135" s="31" t="s">
        <v>142</v>
      </c>
    </row>
    <row r="136" spans="1:9" x14ac:dyDescent="0.2">
      <c r="A136" t="s">
        <v>134</v>
      </c>
      <c r="B136">
        <v>1</v>
      </c>
      <c r="C136">
        <v>15.016263230557989</v>
      </c>
      <c r="D136">
        <v>15.016263230557989</v>
      </c>
      <c r="E136">
        <v>194.91069637303065</v>
      </c>
      <c r="F136">
        <v>2.2890733334159977E-6</v>
      </c>
    </row>
    <row r="137" spans="1:9" x14ac:dyDescent="0.2">
      <c r="A137" t="s">
        <v>135</v>
      </c>
      <c r="B137">
        <v>7</v>
      </c>
      <c r="C137">
        <v>0.53929232499756385</v>
      </c>
      <c r="D137">
        <v>7.7041760713937688E-2</v>
      </c>
    </row>
    <row r="138" spans="1:9" ht="17" thickBot="1" x14ac:dyDescent="0.25">
      <c r="A138" s="30" t="s">
        <v>136</v>
      </c>
      <c r="B138" s="30">
        <v>8</v>
      </c>
      <c r="C138" s="30">
        <v>15.555555555555554</v>
      </c>
      <c r="D138" s="30"/>
      <c r="E138" s="30"/>
      <c r="F138" s="30"/>
    </row>
    <row r="139" spans="1:9" ht="17" thickBot="1" x14ac:dyDescent="0.25"/>
    <row r="140" spans="1:9" x14ac:dyDescent="0.2">
      <c r="A140" s="31"/>
      <c r="B140" s="31" t="s">
        <v>143</v>
      </c>
      <c r="C140" s="31" t="s">
        <v>131</v>
      </c>
      <c r="D140" s="31" t="s">
        <v>144</v>
      </c>
      <c r="E140" s="31" t="s">
        <v>145</v>
      </c>
      <c r="F140" s="31" t="s">
        <v>146</v>
      </c>
      <c r="G140" s="31" t="s">
        <v>147</v>
      </c>
      <c r="H140" s="31" t="s">
        <v>148</v>
      </c>
      <c r="I140" s="31" t="s">
        <v>149</v>
      </c>
    </row>
    <row r="141" spans="1:9" x14ac:dyDescent="0.2">
      <c r="A141" t="s">
        <v>137</v>
      </c>
      <c r="B141">
        <v>-7.1961286730013798</v>
      </c>
      <c r="C141">
        <v>0.32657986324660049</v>
      </c>
      <c r="D141">
        <v>-22.034820522806033</v>
      </c>
      <c r="E141">
        <v>1.0015331226030484E-7</v>
      </c>
      <c r="F141">
        <v>-7.9683673377161464</v>
      </c>
      <c r="G141">
        <v>-6.4238900082866133</v>
      </c>
      <c r="H141">
        <v>-7.9683673377161464</v>
      </c>
      <c r="I141">
        <v>-6.4238900082866133</v>
      </c>
    </row>
    <row r="142" spans="1:9" ht="17" thickBot="1" x14ac:dyDescent="0.25">
      <c r="A142" s="30" t="s">
        <v>166</v>
      </c>
      <c r="B142" s="30">
        <v>1.2568191864801974</v>
      </c>
      <c r="C142" s="30">
        <v>9.0023307568673744E-2</v>
      </c>
      <c r="D142" s="30">
        <v>13.961042094809063</v>
      </c>
      <c r="E142" s="30">
        <v>2.2890733334160024E-6</v>
      </c>
      <c r="F142" s="30">
        <v>1.0439478901947152</v>
      </c>
      <c r="G142" s="30">
        <v>1.4696904827656796</v>
      </c>
      <c r="H142" s="30">
        <v>1.0439478901947152</v>
      </c>
      <c r="I142" s="30">
        <v>1.4696904827656796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62EB-1EB8-3046-8607-7A251B8CA1A4}">
  <dimension ref="A1:V68"/>
  <sheetViews>
    <sheetView topLeftCell="A4" workbookViewId="0">
      <selection activeCell="B63" sqref="A48:B63"/>
    </sheetView>
  </sheetViews>
  <sheetFormatPr baseColWidth="10" defaultRowHeight="16" x14ac:dyDescent="0.2"/>
  <sheetData>
    <row r="1" spans="1:14" x14ac:dyDescent="0.2">
      <c r="A1" t="s">
        <v>234</v>
      </c>
    </row>
    <row r="2" spans="1:14" x14ac:dyDescent="0.2">
      <c r="A2" t="s">
        <v>242</v>
      </c>
    </row>
    <row r="3" spans="1:14" x14ac:dyDescent="0.2">
      <c r="A3" t="s">
        <v>243</v>
      </c>
    </row>
    <row r="4" spans="1:14" x14ac:dyDescent="0.2">
      <c r="A4" t="s">
        <v>159</v>
      </c>
    </row>
    <row r="5" spans="1:14" x14ac:dyDescent="0.2">
      <c r="A5" t="s">
        <v>244</v>
      </c>
    </row>
    <row r="6" spans="1:14" x14ac:dyDescent="0.2">
      <c r="A6" t="s">
        <v>160</v>
      </c>
    </row>
    <row r="7" spans="1:14" x14ac:dyDescent="0.2">
      <c r="A7" t="s">
        <v>245</v>
      </c>
    </row>
    <row r="8" spans="1:14" x14ac:dyDescent="0.2">
      <c r="A8" t="s">
        <v>216</v>
      </c>
    </row>
    <row r="9" spans="1:14" x14ac:dyDescent="0.2">
      <c r="A9" t="s">
        <v>163</v>
      </c>
    </row>
    <row r="10" spans="1:14" x14ac:dyDescent="0.2">
      <c r="A10" t="s">
        <v>164</v>
      </c>
    </row>
    <row r="11" spans="1:14" x14ac:dyDescent="0.2">
      <c r="A11" t="s">
        <v>165</v>
      </c>
    </row>
    <row r="13" spans="1:14" x14ac:dyDescent="0.2">
      <c r="A13" t="s">
        <v>155</v>
      </c>
    </row>
    <row r="14" spans="1:14" x14ac:dyDescent="0.2">
      <c r="A14" t="s">
        <v>118</v>
      </c>
      <c r="B14" t="s">
        <v>119</v>
      </c>
      <c r="C14" t="s">
        <v>120</v>
      </c>
      <c r="D14" t="s">
        <v>121</v>
      </c>
      <c r="E14" t="s">
        <v>122</v>
      </c>
      <c r="F14" t="s">
        <v>123</v>
      </c>
      <c r="G14" t="s">
        <v>124</v>
      </c>
      <c r="H14" t="s">
        <v>125</v>
      </c>
      <c r="I14" t="s">
        <v>220</v>
      </c>
      <c r="J14" t="s">
        <v>150</v>
      </c>
      <c r="K14" t="s">
        <v>151</v>
      </c>
      <c r="L14" t="s">
        <v>152</v>
      </c>
    </row>
    <row r="15" spans="1:14" x14ac:dyDescent="0.2">
      <c r="A15" t="s">
        <v>107</v>
      </c>
      <c r="B15" t="s">
        <v>108</v>
      </c>
      <c r="C15">
        <v>93135</v>
      </c>
      <c r="D15">
        <v>3216923</v>
      </c>
      <c r="E15">
        <v>0.22221999000000001</v>
      </c>
      <c r="F15">
        <v>1</v>
      </c>
      <c r="G15">
        <f>F15/(2*(1+0.1+0.01+0.001+0.0001))</f>
        <v>0.45000450004500048</v>
      </c>
      <c r="H15">
        <f>E15*G15</f>
        <v>9.9999995499955002E-2</v>
      </c>
      <c r="I15">
        <f>LOG10(C15)</f>
        <v>4.9691129189016641</v>
      </c>
      <c r="J15">
        <f t="shared" ref="J15:J24" si="0">C15/D15*1000000</f>
        <v>28951.578884542774</v>
      </c>
      <c r="K15">
        <f>LOG10(J15)</f>
        <v>4.4616722531116997</v>
      </c>
      <c r="L15" s="2">
        <f>LOG10(H15)</f>
        <v>-1.0000000195434475</v>
      </c>
      <c r="M15" s="2"/>
      <c r="N15" s="2"/>
    </row>
    <row r="16" spans="1:14" x14ac:dyDescent="0.2">
      <c r="A16" t="s">
        <v>109</v>
      </c>
      <c r="B16" t="s">
        <v>108</v>
      </c>
      <c r="C16">
        <v>15190</v>
      </c>
      <c r="D16">
        <v>3216923</v>
      </c>
      <c r="E16">
        <v>0.22221999000000001</v>
      </c>
      <c r="F16">
        <v>0.1</v>
      </c>
      <c r="G16">
        <f t="shared" ref="G16:G24" si="1">F16/(2*(1+0.1+0.01+0.001+0.0001))</f>
        <v>4.5000450004500051E-2</v>
      </c>
      <c r="H16">
        <f t="shared" ref="H16:H24" si="2">E16*G16</f>
        <v>9.9999995499955013E-3</v>
      </c>
      <c r="I16">
        <f t="shared" ref="I16:I24" si="3">LOG10(C16)</f>
        <v>4.181557773862786</v>
      </c>
      <c r="J16">
        <f t="shared" si="0"/>
        <v>4721.9035084147181</v>
      </c>
      <c r="K16">
        <f t="shared" ref="K16:K24" si="4">LOG10(J16)</f>
        <v>3.6741171080728217</v>
      </c>
      <c r="L16" s="2">
        <f t="shared" ref="L16:L24" si="5">LOG10(H16)</f>
        <v>-2.0000000195434473</v>
      </c>
    </row>
    <row r="17" spans="1:15" x14ac:dyDescent="0.2">
      <c r="A17" t="s">
        <v>110</v>
      </c>
      <c r="B17" t="s">
        <v>108</v>
      </c>
      <c r="C17">
        <v>2447</v>
      </c>
      <c r="D17">
        <v>3216923</v>
      </c>
      <c r="E17">
        <v>0.22221999000000001</v>
      </c>
      <c r="F17">
        <v>0.01</v>
      </c>
      <c r="G17">
        <f t="shared" si="1"/>
        <v>4.5000450004500049E-3</v>
      </c>
      <c r="H17">
        <f t="shared" si="2"/>
        <v>9.9999995499955004E-4</v>
      </c>
      <c r="I17">
        <f t="shared" si="3"/>
        <v>3.3886339693517891</v>
      </c>
      <c r="J17">
        <f t="shared" si="0"/>
        <v>760.66477189537954</v>
      </c>
      <c r="K17">
        <f t="shared" si="4"/>
        <v>2.8811933035618242</v>
      </c>
      <c r="L17" s="2">
        <f t="shared" si="5"/>
        <v>-3.0000000195434477</v>
      </c>
    </row>
    <row r="18" spans="1:15" x14ac:dyDescent="0.2">
      <c r="A18" t="s">
        <v>111</v>
      </c>
      <c r="B18" t="s">
        <v>108</v>
      </c>
      <c r="C18">
        <v>308</v>
      </c>
      <c r="D18">
        <v>3216923</v>
      </c>
      <c r="E18">
        <v>0.22221999000000001</v>
      </c>
      <c r="F18">
        <v>1E-3</v>
      </c>
      <c r="G18">
        <f t="shared" si="1"/>
        <v>4.5000450004500047E-4</v>
      </c>
      <c r="H18">
        <f t="shared" si="2"/>
        <v>9.9999995499955001E-5</v>
      </c>
      <c r="I18">
        <f t="shared" si="3"/>
        <v>2.4885507165004443</v>
      </c>
      <c r="J18">
        <f t="shared" si="0"/>
        <v>95.743665608409032</v>
      </c>
      <c r="K18">
        <f t="shared" si="4"/>
        <v>1.9811100507104795</v>
      </c>
      <c r="L18" s="2">
        <f t="shared" si="5"/>
        <v>-4.0000000195434477</v>
      </c>
    </row>
    <row r="19" spans="1:15" x14ac:dyDescent="0.2">
      <c r="A19" t="s">
        <v>153</v>
      </c>
      <c r="B19" t="s">
        <v>108</v>
      </c>
      <c r="C19">
        <v>77</v>
      </c>
      <c r="D19">
        <v>3216923</v>
      </c>
      <c r="E19">
        <v>0.22221999000000001</v>
      </c>
      <c r="F19">
        <v>1E-4</v>
      </c>
      <c r="G19">
        <f t="shared" si="1"/>
        <v>4.5000450004500049E-5</v>
      </c>
      <c r="H19">
        <f t="shared" si="2"/>
        <v>9.9999995499955008E-6</v>
      </c>
      <c r="I19">
        <f t="shared" si="3"/>
        <v>1.8864907251724818</v>
      </c>
      <c r="J19">
        <f t="shared" si="0"/>
        <v>23.935916402102258</v>
      </c>
      <c r="K19">
        <f t="shared" si="4"/>
        <v>1.379050059382517</v>
      </c>
      <c r="L19" s="2">
        <f t="shared" si="5"/>
        <v>-5.0000000195434477</v>
      </c>
    </row>
    <row r="20" spans="1:15" x14ac:dyDescent="0.2">
      <c r="A20" t="s">
        <v>112</v>
      </c>
      <c r="B20" t="s">
        <v>108</v>
      </c>
      <c r="C20">
        <v>149</v>
      </c>
      <c r="D20">
        <v>3216923</v>
      </c>
      <c r="E20">
        <v>0.22221999000000001</v>
      </c>
      <c r="F20">
        <v>1E-4</v>
      </c>
      <c r="G20">
        <f t="shared" si="1"/>
        <v>4.5000450004500049E-5</v>
      </c>
      <c r="H20">
        <f t="shared" si="2"/>
        <v>9.9999995499955008E-6</v>
      </c>
      <c r="I20">
        <f t="shared" si="3"/>
        <v>2.173186268412274</v>
      </c>
      <c r="J20">
        <f t="shared" si="0"/>
        <v>46.317552518353722</v>
      </c>
      <c r="K20">
        <f t="shared" si="4"/>
        <v>1.6657456026223092</v>
      </c>
      <c r="L20" s="2">
        <f t="shared" si="5"/>
        <v>-5.0000000195434477</v>
      </c>
    </row>
    <row r="21" spans="1:15" x14ac:dyDescent="0.2">
      <c r="A21" t="s">
        <v>113</v>
      </c>
      <c r="B21" t="s">
        <v>108</v>
      </c>
      <c r="C21">
        <v>1075</v>
      </c>
      <c r="D21">
        <v>3216923</v>
      </c>
      <c r="E21">
        <v>0.22221999000000001</v>
      </c>
      <c r="F21">
        <v>1E-3</v>
      </c>
      <c r="G21">
        <f t="shared" si="1"/>
        <v>4.5000450004500047E-4</v>
      </c>
      <c r="H21">
        <f t="shared" si="2"/>
        <v>9.9999995499955001E-5</v>
      </c>
      <c r="I21">
        <f t="shared" si="3"/>
        <v>3.0314084642516241</v>
      </c>
      <c r="J21">
        <f t="shared" si="0"/>
        <v>334.17026145792113</v>
      </c>
      <c r="K21">
        <f t="shared" si="4"/>
        <v>2.5239677984616593</v>
      </c>
      <c r="L21" s="2">
        <f t="shared" si="5"/>
        <v>-4.0000000195434477</v>
      </c>
    </row>
    <row r="22" spans="1:15" x14ac:dyDescent="0.2">
      <c r="A22" t="s">
        <v>114</v>
      </c>
      <c r="B22" t="s">
        <v>108</v>
      </c>
      <c r="C22">
        <v>3189</v>
      </c>
      <c r="D22">
        <v>3216923</v>
      </c>
      <c r="E22">
        <v>0.22221999000000001</v>
      </c>
      <c r="F22">
        <v>0.01</v>
      </c>
      <c r="G22">
        <f t="shared" si="1"/>
        <v>4.5000450004500049E-3</v>
      </c>
      <c r="H22">
        <f t="shared" si="2"/>
        <v>9.9999995499955004E-4</v>
      </c>
      <c r="I22">
        <f t="shared" si="3"/>
        <v>3.5036545192429593</v>
      </c>
      <c r="J22">
        <f t="shared" si="0"/>
        <v>991.31996631563754</v>
      </c>
      <c r="K22">
        <f t="shared" si="4"/>
        <v>2.9962138534529945</v>
      </c>
      <c r="L22" s="2">
        <f t="shared" si="5"/>
        <v>-3.0000000195434477</v>
      </c>
    </row>
    <row r="23" spans="1:15" x14ac:dyDescent="0.2">
      <c r="A23" t="s">
        <v>115</v>
      </c>
      <c r="B23" t="s">
        <v>108</v>
      </c>
      <c r="C23">
        <v>25347</v>
      </c>
      <c r="D23">
        <v>3216923</v>
      </c>
      <c r="E23">
        <v>0.22221999000000001</v>
      </c>
      <c r="F23">
        <v>0.1</v>
      </c>
      <c r="G23">
        <f t="shared" si="1"/>
        <v>4.5000450004500051E-2</v>
      </c>
      <c r="H23">
        <f t="shared" si="2"/>
        <v>9.9999995499955013E-3</v>
      </c>
      <c r="I23">
        <f t="shared" si="3"/>
        <v>4.4039265648312682</v>
      </c>
      <c r="J23">
        <f t="shared" si="0"/>
        <v>7879.2684810920255</v>
      </c>
      <c r="K23">
        <f t="shared" si="4"/>
        <v>3.8964858990413038</v>
      </c>
      <c r="L23" s="2">
        <f t="shared" si="5"/>
        <v>-2.0000000195434473</v>
      </c>
    </row>
    <row r="24" spans="1:15" x14ac:dyDescent="0.2">
      <c r="A24" t="s">
        <v>116</v>
      </c>
      <c r="B24" t="s">
        <v>108</v>
      </c>
      <c r="C24">
        <v>237329</v>
      </c>
      <c r="D24">
        <v>3216923</v>
      </c>
      <c r="E24">
        <v>0.22221999000000001</v>
      </c>
      <c r="F24">
        <v>1</v>
      </c>
      <c r="G24">
        <f t="shared" si="1"/>
        <v>0.45000450004500048</v>
      </c>
      <c r="H24">
        <f t="shared" si="2"/>
        <v>9.9999995499955002E-2</v>
      </c>
      <c r="I24">
        <f t="shared" si="3"/>
        <v>5.3753508093107225</v>
      </c>
      <c r="J24">
        <f t="shared" si="0"/>
        <v>73775.157192136699</v>
      </c>
      <c r="K24">
        <f t="shared" si="4"/>
        <v>4.8679101435207581</v>
      </c>
      <c r="L24" s="2">
        <f t="shared" si="5"/>
        <v>-1.0000000195434475</v>
      </c>
    </row>
    <row r="25" spans="1:15" x14ac:dyDescent="0.2">
      <c r="N25" t="s">
        <v>227</v>
      </c>
    </row>
    <row r="26" spans="1:15" x14ac:dyDescent="0.2">
      <c r="A26" t="s">
        <v>226</v>
      </c>
      <c r="N26" t="s">
        <v>222</v>
      </c>
    </row>
    <row r="27" spans="1:15" x14ac:dyDescent="0.2">
      <c r="A27" t="s">
        <v>221</v>
      </c>
      <c r="N27" t="s">
        <v>126</v>
      </c>
    </row>
    <row r="28" spans="1:15" ht="17" thickBot="1" x14ac:dyDescent="0.25">
      <c r="A28" t="s">
        <v>126</v>
      </c>
    </row>
    <row r="29" spans="1:15" ht="17" thickBot="1" x14ac:dyDescent="0.25">
      <c r="N29" s="32" t="s">
        <v>127</v>
      </c>
      <c r="O29" s="32"/>
    </row>
    <row r="30" spans="1:15" x14ac:dyDescent="0.2">
      <c r="A30" s="32" t="s">
        <v>127</v>
      </c>
      <c r="B30" s="32"/>
      <c r="N30" t="s">
        <v>128</v>
      </c>
      <c r="O30">
        <v>0.98650309751565746</v>
      </c>
    </row>
    <row r="31" spans="1:15" x14ac:dyDescent="0.2">
      <c r="A31" t="s">
        <v>128</v>
      </c>
      <c r="B31">
        <v>0.98650309751565746</v>
      </c>
      <c r="N31" t="s">
        <v>129</v>
      </c>
      <c r="O31">
        <v>0.97318836140798681</v>
      </c>
    </row>
    <row r="32" spans="1:15" x14ac:dyDescent="0.2">
      <c r="A32" t="s">
        <v>129</v>
      </c>
      <c r="B32">
        <v>0.97318836140798681</v>
      </c>
      <c r="N32" t="s">
        <v>130</v>
      </c>
      <c r="O32">
        <v>0.96983690658398514</v>
      </c>
    </row>
    <row r="33" spans="1:22" x14ac:dyDescent="0.2">
      <c r="A33" t="s">
        <v>130</v>
      </c>
      <c r="B33">
        <v>0.96983690658398514</v>
      </c>
      <c r="N33" t="s">
        <v>131</v>
      </c>
      <c r="O33">
        <v>0.25889978076474551</v>
      </c>
    </row>
    <row r="34" spans="1:22" ht="17" thickBot="1" x14ac:dyDescent="0.25">
      <c r="A34" t="s">
        <v>131</v>
      </c>
      <c r="B34">
        <v>0.25889978076474535</v>
      </c>
      <c r="N34" s="30" t="s">
        <v>132</v>
      </c>
      <c r="O34" s="30">
        <v>10</v>
      </c>
    </row>
    <row r="35" spans="1:22" ht="17" thickBot="1" x14ac:dyDescent="0.25">
      <c r="A35" s="30" t="s">
        <v>132</v>
      </c>
      <c r="B35" s="30">
        <v>10</v>
      </c>
    </row>
    <row r="36" spans="1:22" ht="17" thickBot="1" x14ac:dyDescent="0.25">
      <c r="N36" t="s">
        <v>133</v>
      </c>
    </row>
    <row r="37" spans="1:22" ht="17" thickBot="1" x14ac:dyDescent="0.25">
      <c r="A37" t="s">
        <v>133</v>
      </c>
      <c r="N37" s="31"/>
      <c r="O37" s="31" t="s">
        <v>138</v>
      </c>
      <c r="P37" s="31" t="s">
        <v>139</v>
      </c>
      <c r="Q37" s="31" t="s">
        <v>140</v>
      </c>
      <c r="R37" s="31" t="s">
        <v>141</v>
      </c>
      <c r="S37" s="31" t="s">
        <v>142</v>
      </c>
    </row>
    <row r="38" spans="1:22" x14ac:dyDescent="0.2">
      <c r="A38" s="31"/>
      <c r="B38" s="31" t="s">
        <v>138</v>
      </c>
      <c r="C38" s="31" t="s">
        <v>139</v>
      </c>
      <c r="D38" s="31" t="s">
        <v>140</v>
      </c>
      <c r="E38" s="31" t="s">
        <v>141</v>
      </c>
      <c r="F38" s="31" t="s">
        <v>142</v>
      </c>
      <c r="N38" t="s">
        <v>134</v>
      </c>
      <c r="O38">
        <v>1</v>
      </c>
      <c r="P38">
        <v>19.463767228159739</v>
      </c>
      <c r="Q38">
        <v>19.463767228159739</v>
      </c>
      <c r="R38">
        <v>290.37788438574029</v>
      </c>
      <c r="S38">
        <v>1.4284435606597746E-7</v>
      </c>
    </row>
    <row r="39" spans="1:22" x14ac:dyDescent="0.2">
      <c r="A39" t="s">
        <v>134</v>
      </c>
      <c r="B39">
        <v>1</v>
      </c>
      <c r="C39">
        <v>19.463767228159739</v>
      </c>
      <c r="D39">
        <v>19.463767228159739</v>
      </c>
      <c r="E39">
        <v>290.37788438574063</v>
      </c>
      <c r="F39">
        <v>1.4284435606597672E-7</v>
      </c>
      <c r="N39" t="s">
        <v>135</v>
      </c>
      <c r="O39">
        <v>8</v>
      </c>
      <c r="P39">
        <v>0.5362327718402663</v>
      </c>
      <c r="Q39">
        <v>6.7029096480033287E-2</v>
      </c>
    </row>
    <row r="40" spans="1:22" ht="17" thickBot="1" x14ac:dyDescent="0.25">
      <c r="A40" t="s">
        <v>135</v>
      </c>
      <c r="B40">
        <v>8</v>
      </c>
      <c r="C40">
        <v>0.53623277184026574</v>
      </c>
      <c r="D40">
        <v>6.7029096480033218E-2</v>
      </c>
      <c r="N40" s="30" t="s">
        <v>136</v>
      </c>
      <c r="O40" s="30">
        <v>9</v>
      </c>
      <c r="P40" s="30">
        <v>20.000000000000004</v>
      </c>
      <c r="Q40" s="30"/>
      <c r="R40" s="30"/>
      <c r="S40" s="30"/>
    </row>
    <row r="41" spans="1:22" ht="17" thickBot="1" x14ac:dyDescent="0.25">
      <c r="A41" s="30" t="s">
        <v>136</v>
      </c>
      <c r="B41" s="30">
        <v>9</v>
      </c>
      <c r="C41" s="30">
        <v>20.000000000000004</v>
      </c>
      <c r="D41" s="30"/>
      <c r="E41" s="30"/>
      <c r="F41" s="30"/>
    </row>
    <row r="42" spans="1:22" ht="17" thickBot="1" x14ac:dyDescent="0.25">
      <c r="N42" s="31"/>
      <c r="O42" s="31" t="s">
        <v>143</v>
      </c>
      <c r="P42" s="31" t="s">
        <v>131</v>
      </c>
      <c r="Q42" s="31" t="s">
        <v>144</v>
      </c>
      <c r="R42" s="31" t="s">
        <v>145</v>
      </c>
      <c r="S42" s="31" t="s">
        <v>146</v>
      </c>
      <c r="T42" s="31" t="s">
        <v>147</v>
      </c>
      <c r="U42" s="31" t="s">
        <v>148</v>
      </c>
      <c r="V42" s="31" t="s">
        <v>149</v>
      </c>
    </row>
    <row r="43" spans="1:22" x14ac:dyDescent="0.2">
      <c r="A43" s="31"/>
      <c r="B43" s="31" t="s">
        <v>143</v>
      </c>
      <c r="C43" s="31" t="s">
        <v>131</v>
      </c>
      <c r="D43" s="31" t="s">
        <v>144</v>
      </c>
      <c r="E43" s="31" t="s">
        <v>145</v>
      </c>
      <c r="F43" s="31" t="s">
        <v>146</v>
      </c>
      <c r="G43" s="31" t="s">
        <v>147</v>
      </c>
      <c r="H43" s="31" t="s">
        <v>148</v>
      </c>
      <c r="I43" s="31" t="s">
        <v>149</v>
      </c>
      <c r="N43" t="s">
        <v>137</v>
      </c>
      <c r="O43">
        <v>-7.4070960455057921</v>
      </c>
      <c r="P43">
        <v>0.27127453736340112</v>
      </c>
      <c r="Q43">
        <v>-27.304796526417807</v>
      </c>
      <c r="R43">
        <v>3.4883330622524075E-9</v>
      </c>
      <c r="S43">
        <v>-8.0326562504413932</v>
      </c>
      <c r="T43">
        <v>-6.781535840570192</v>
      </c>
      <c r="U43">
        <v>-8.0326562504413932</v>
      </c>
      <c r="V43">
        <v>-6.781535840570192</v>
      </c>
    </row>
    <row r="44" spans="1:22" ht="17" thickBot="1" x14ac:dyDescent="0.25">
      <c r="A44" t="s">
        <v>137</v>
      </c>
      <c r="B44">
        <v>-6.775395073446826</v>
      </c>
      <c r="C44">
        <v>0.23619762782514472</v>
      </c>
      <c r="D44">
        <v>-28.685279932034707</v>
      </c>
      <c r="E44">
        <v>2.3594835483047861E-9</v>
      </c>
      <c r="F44">
        <v>-7.3200677799370251</v>
      </c>
      <c r="G44">
        <v>-6.230722366956627</v>
      </c>
      <c r="H44">
        <v>-7.3200677799370251</v>
      </c>
      <c r="I44">
        <v>-6.230722366956627</v>
      </c>
      <c r="N44" s="30" t="s">
        <v>166</v>
      </c>
      <c r="O44" s="30">
        <v>1.2448765237913191</v>
      </c>
      <c r="P44" s="30">
        <v>7.30540855033502E-2</v>
      </c>
      <c r="Q44" s="30">
        <v>17.040477821520742</v>
      </c>
      <c r="R44" s="30">
        <v>1.4284435606597746E-7</v>
      </c>
      <c r="S44" s="30">
        <v>1.0764135005270348</v>
      </c>
      <c r="T44" s="30">
        <v>1.4133395470556034</v>
      </c>
      <c r="U44" s="30">
        <v>1.0764135005270348</v>
      </c>
      <c r="V44" s="30">
        <v>1.4133395470556034</v>
      </c>
    </row>
    <row r="45" spans="1:22" ht="17" thickBot="1" x14ac:dyDescent="0.25">
      <c r="A45" s="30" t="s">
        <v>166</v>
      </c>
      <c r="B45" s="30">
        <v>1.2448765237913184</v>
      </c>
      <c r="C45" s="30">
        <v>7.3054085503350158E-2</v>
      </c>
      <c r="D45" s="30">
        <v>17.040477821520742</v>
      </c>
      <c r="E45" s="30">
        <v>1.4284435606597746E-7</v>
      </c>
      <c r="F45" s="30">
        <v>1.0764135005270341</v>
      </c>
      <c r="G45" s="30">
        <v>1.4133395470556027</v>
      </c>
      <c r="H45" s="30">
        <v>1.0764135005270341</v>
      </c>
      <c r="I45" s="30">
        <v>1.4133395470556027</v>
      </c>
    </row>
    <row r="48" spans="1:22" x14ac:dyDescent="0.2">
      <c r="A48" t="s">
        <v>218</v>
      </c>
    </row>
    <row r="50" spans="1:15" x14ac:dyDescent="0.2">
      <c r="A50" t="str" cm="1">
        <f t="array" ref="A50:A63">syndna_saliva_analysis_ex1!D7:D20</f>
        <v>Species</v>
      </c>
      <c r="B50" t="s">
        <v>182</v>
      </c>
      <c r="C50" t="s">
        <v>184</v>
      </c>
      <c r="D50" t="s">
        <v>219</v>
      </c>
      <c r="E50" t="s">
        <v>217</v>
      </c>
      <c r="F50" t="s">
        <v>223</v>
      </c>
      <c r="G50" t="s">
        <v>229</v>
      </c>
      <c r="H50" t="s">
        <v>224</v>
      </c>
      <c r="I50" t="s">
        <v>225</v>
      </c>
      <c r="J50" t="s">
        <v>228</v>
      </c>
    </row>
    <row r="51" spans="1:15" x14ac:dyDescent="0.2">
      <c r="A51" t="str">
        <v>Lactobacillus gasseri</v>
      </c>
      <c r="B51" cm="1">
        <f t="array" ref="B51:B63">syndna_saliva_analysis_ex1!E8:E20</f>
        <v>79950</v>
      </c>
      <c r="C51" cm="1">
        <f t="array" ref="C51:C63">syndna_saliva_analysis_ex1!G8:G20</f>
        <v>3216923</v>
      </c>
      <c r="D51">
        <v>472140</v>
      </c>
      <c r="E51" cm="1">
        <f t="array" ref="E51:E63">syndna_saliva_analysis_ex1!K8:K20</f>
        <v>0.54168919427718798</v>
      </c>
      <c r="F51">
        <f>10^($B$45*LOG10(B51/D51*1000000)+$B$44)</f>
        <v>0.54168916990092197</v>
      </c>
      <c r="G51" t="b">
        <f>ABS(E51-F51)&lt;0.000001</f>
        <v>1</v>
      </c>
      <c r="H51">
        <f t="shared" ref="H51:H63" si="6">10^($B$45*LOG10(B51/C51*1000000)+$B$44)</f>
        <v>4.9694413094131758E-2</v>
      </c>
      <c r="I51">
        <f>10^($O$44*LOG10(B51)+$O$43)</f>
        <v>4.9694413094131862E-2</v>
      </c>
      <c r="J51" t="b">
        <f>ABS(H51-I51)&lt;0.000001</f>
        <v>1</v>
      </c>
    </row>
    <row r="52" spans="1:15" x14ac:dyDescent="0.2">
      <c r="A52" t="str">
        <v>Ruminococcus albus</v>
      </c>
      <c r="B52">
        <v>93024</v>
      </c>
      <c r="C52">
        <v>3216923</v>
      </c>
      <c r="D52">
        <v>472140</v>
      </c>
      <c r="E52">
        <v>0.65408448128256302</v>
      </c>
      <c r="F52">
        <f t="shared" ref="F52:F63" si="7">10^($B$45*LOG10(B52/D52*1000000)+$B$44)</f>
        <v>0.6540844518484572</v>
      </c>
      <c r="G52" t="b">
        <f t="shared" ref="G52:G63" si="8">ABS(E52-F52)&lt;0.000001</f>
        <v>1</v>
      </c>
      <c r="H52">
        <f t="shared" si="6"/>
        <v>6.0005524855797389E-2</v>
      </c>
      <c r="I52">
        <f t="shared" ref="I52:I63" si="9">10^($O$44*LOG10(B52)+$O$43)</f>
        <v>6.0005524855797389E-2</v>
      </c>
      <c r="J52" t="b">
        <f t="shared" ref="J52:J63" si="10">ABS(H52-I52)&lt;0.000001</f>
        <v>1</v>
      </c>
    </row>
    <row r="53" spans="1:15" x14ac:dyDescent="0.2">
      <c r="A53" t="str">
        <v>Escherichia coli</v>
      </c>
      <c r="B53">
        <v>86188</v>
      </c>
      <c r="C53">
        <v>3216923</v>
      </c>
      <c r="D53">
        <v>472140</v>
      </c>
      <c r="E53">
        <v>0.59479652205780897</v>
      </c>
      <c r="F53">
        <f t="shared" si="7"/>
        <v>0.59479649529168821</v>
      </c>
      <c r="G53" t="b">
        <f t="shared" si="8"/>
        <v>1</v>
      </c>
      <c r="H53">
        <f t="shared" si="6"/>
        <v>5.4566464286840539E-2</v>
      </c>
      <c r="I53">
        <f t="shared" si="9"/>
        <v>5.4566464286840755E-2</v>
      </c>
      <c r="J53" t="b">
        <f t="shared" si="10"/>
        <v>1</v>
      </c>
      <c r="O53" s="2"/>
    </row>
    <row r="54" spans="1:15" x14ac:dyDescent="0.2">
      <c r="A54" t="str">
        <v>Tyzzerella nexilis</v>
      </c>
      <c r="B54">
        <v>45441</v>
      </c>
      <c r="C54">
        <v>3216923</v>
      </c>
      <c r="D54">
        <v>472140</v>
      </c>
      <c r="E54">
        <v>0.26809831701850501</v>
      </c>
      <c r="F54">
        <f t="shared" si="7"/>
        <v>0.26809830495395648</v>
      </c>
      <c r="G54" t="b">
        <f t="shared" si="8"/>
        <v>1</v>
      </c>
      <c r="H54">
        <f t="shared" si="6"/>
        <v>2.4595263587520632E-2</v>
      </c>
      <c r="I54">
        <f t="shared" si="9"/>
        <v>2.4595263587520677E-2</v>
      </c>
      <c r="J54" t="b">
        <f>ABS(H54-I54)&lt;0.000001</f>
        <v>1</v>
      </c>
      <c r="O54" s="2"/>
    </row>
    <row r="55" spans="1:15" x14ac:dyDescent="0.2">
      <c r="A55" t="str">
        <v>Prevotella sp. oral taxon 299</v>
      </c>
      <c r="B55">
        <v>31185</v>
      </c>
      <c r="C55">
        <v>3216923</v>
      </c>
      <c r="D55">
        <v>472140</v>
      </c>
      <c r="E55">
        <v>0.167785382502355</v>
      </c>
      <c r="F55">
        <f t="shared" si="7"/>
        <v>0.16778537495193438</v>
      </c>
      <c r="G55" t="b">
        <f t="shared" si="8"/>
        <v>1</v>
      </c>
      <c r="H55">
        <f t="shared" si="6"/>
        <v>1.5392583417424199E-2</v>
      </c>
      <c r="I55">
        <f t="shared" si="9"/>
        <v>1.5392583417424239E-2</v>
      </c>
      <c r="J55" t="b">
        <f t="shared" si="10"/>
        <v>1</v>
      </c>
      <c r="O55" s="2"/>
    </row>
    <row r="56" spans="1:15" x14ac:dyDescent="0.2">
      <c r="A56" t="str">
        <v>Streptococcus mitis</v>
      </c>
      <c r="B56">
        <v>24929</v>
      </c>
      <c r="C56">
        <v>3216923</v>
      </c>
      <c r="D56">
        <v>472140</v>
      </c>
      <c r="E56">
        <v>0.126970029419671</v>
      </c>
      <c r="F56">
        <f t="shared" si="7"/>
        <v>0.12697002370596067</v>
      </c>
      <c r="G56" t="b">
        <f t="shared" si="8"/>
        <v>1</v>
      </c>
      <c r="H56">
        <f t="shared" si="6"/>
        <v>1.1648194498276183E-2</v>
      </c>
      <c r="I56">
        <f t="shared" si="9"/>
        <v>1.1648194498276204E-2</v>
      </c>
      <c r="J56" t="b">
        <f t="shared" si="10"/>
        <v>1</v>
      </c>
      <c r="O56" s="2"/>
    </row>
    <row r="57" spans="1:15" x14ac:dyDescent="0.2">
      <c r="A57" t="str">
        <v>Leptolyngbya valderiana</v>
      </c>
      <c r="B57">
        <v>1975</v>
      </c>
      <c r="C57">
        <v>3216923</v>
      </c>
      <c r="D57">
        <v>472140</v>
      </c>
      <c r="E57">
        <v>5.4065556339343897E-3</v>
      </c>
      <c r="F57">
        <f t="shared" si="7"/>
        <v>5.4065553906369008E-3</v>
      </c>
      <c r="G57" t="b">
        <f t="shared" si="8"/>
        <v>1</v>
      </c>
      <c r="H57">
        <f t="shared" si="6"/>
        <v>4.9599588089929323E-4</v>
      </c>
      <c r="I57">
        <f t="shared" si="9"/>
        <v>4.959958808992928E-4</v>
      </c>
      <c r="J57" t="b">
        <f t="shared" si="10"/>
        <v>1</v>
      </c>
      <c r="O57" s="2"/>
    </row>
    <row r="58" spans="1:15" x14ac:dyDescent="0.2">
      <c r="A58" t="str">
        <v>Neisseria subflava</v>
      </c>
      <c r="B58">
        <v>26130</v>
      </c>
      <c r="C58">
        <v>3216923</v>
      </c>
      <c r="D58">
        <v>472140</v>
      </c>
      <c r="E58">
        <v>0.13462933928829501</v>
      </c>
      <c r="F58">
        <f t="shared" si="7"/>
        <v>0.13462933322991283</v>
      </c>
      <c r="G58" t="b">
        <f t="shared" si="8"/>
        <v>1</v>
      </c>
      <c r="H58">
        <f t="shared" si="6"/>
        <v>1.2350857413927082E-2</v>
      </c>
      <c r="I58">
        <f t="shared" si="9"/>
        <v>1.2350857413927082E-2</v>
      </c>
      <c r="J58" t="b">
        <f t="shared" si="10"/>
        <v>1</v>
      </c>
      <c r="O58" s="2"/>
    </row>
    <row r="59" spans="1:15" x14ac:dyDescent="0.2">
      <c r="A59" t="str">
        <v>Neisseria flavescens</v>
      </c>
      <c r="B59">
        <v>22303</v>
      </c>
      <c r="C59">
        <v>3216923</v>
      </c>
      <c r="D59">
        <v>472140</v>
      </c>
      <c r="E59">
        <v>0.110540628776225</v>
      </c>
      <c r="F59">
        <f t="shared" si="7"/>
        <v>0.11054062380184555</v>
      </c>
      <c r="G59" t="b">
        <f t="shared" si="8"/>
        <v>1</v>
      </c>
      <c r="H59">
        <f t="shared" si="6"/>
        <v>1.0140965941587242E-2</v>
      </c>
      <c r="I59">
        <f t="shared" si="9"/>
        <v>1.0140965941587261E-2</v>
      </c>
      <c r="J59" t="b">
        <f t="shared" si="10"/>
        <v>1</v>
      </c>
      <c r="O59" s="2"/>
    </row>
    <row r="60" spans="1:15" x14ac:dyDescent="0.2">
      <c r="A60" t="str">
        <v>Fusobacterium periodonticum</v>
      </c>
      <c r="B60">
        <v>19783</v>
      </c>
      <c r="C60">
        <v>3216923</v>
      </c>
      <c r="D60">
        <v>472140</v>
      </c>
      <c r="E60">
        <v>9.5213778252424205E-2</v>
      </c>
      <c r="F60">
        <f t="shared" si="7"/>
        <v>9.5213773967759943E-2</v>
      </c>
      <c r="G60" t="b">
        <f t="shared" si="8"/>
        <v>1</v>
      </c>
      <c r="H60">
        <f t="shared" si="6"/>
        <v>8.7348850202609522E-3</v>
      </c>
      <c r="I60">
        <f t="shared" si="9"/>
        <v>8.7348850202609522E-3</v>
      </c>
      <c r="J60" t="b">
        <f t="shared" si="10"/>
        <v>1</v>
      </c>
      <c r="O60" s="2"/>
    </row>
    <row r="61" spans="1:15" x14ac:dyDescent="0.2">
      <c r="A61" t="str">
        <v>Streptococcus pneumoniae</v>
      </c>
      <c r="B61">
        <v>14478</v>
      </c>
      <c r="C61">
        <v>3216923</v>
      </c>
      <c r="D61">
        <v>472140</v>
      </c>
      <c r="E61">
        <v>6.4552785174152694E-2</v>
      </c>
      <c r="F61">
        <f t="shared" si="7"/>
        <v>6.4552782269247475E-2</v>
      </c>
      <c r="G61" t="b">
        <f t="shared" si="8"/>
        <v>1</v>
      </c>
      <c r="H61">
        <f t="shared" si="6"/>
        <v>5.9220542087822688E-3</v>
      </c>
      <c r="I61">
        <f t="shared" si="9"/>
        <v>5.9220542087822688E-3</v>
      </c>
      <c r="J61" t="b">
        <f t="shared" si="10"/>
        <v>1</v>
      </c>
      <c r="O61" s="2"/>
    </row>
    <row r="62" spans="1:15" x14ac:dyDescent="0.2">
      <c r="A62" t="str">
        <v>Haemophilus influenzae</v>
      </c>
      <c r="B62">
        <v>12145</v>
      </c>
      <c r="C62">
        <v>3216923</v>
      </c>
      <c r="D62">
        <v>472140</v>
      </c>
      <c r="E62">
        <v>5.1870107297287402E-2</v>
      </c>
      <c r="F62">
        <f t="shared" si="7"/>
        <v>5.1870104963108551E-2</v>
      </c>
      <c r="G62" t="b">
        <f t="shared" si="8"/>
        <v>1</v>
      </c>
      <c r="H62">
        <f t="shared" si="6"/>
        <v>4.7585489363654032E-3</v>
      </c>
      <c r="I62">
        <f t="shared" si="9"/>
        <v>4.7585489363654119E-3</v>
      </c>
      <c r="J62" t="b">
        <f t="shared" si="10"/>
        <v>1</v>
      </c>
    </row>
    <row r="63" spans="1:15" x14ac:dyDescent="0.2">
      <c r="A63" t="str">
        <v>Veillonella dispar</v>
      </c>
      <c r="B63">
        <v>14609</v>
      </c>
      <c r="C63">
        <v>3216923</v>
      </c>
      <c r="D63">
        <v>472140</v>
      </c>
      <c r="E63">
        <v>6.5280705356246499E-2</v>
      </c>
      <c r="F63">
        <f t="shared" si="7"/>
        <v>6.528070241858451E-2</v>
      </c>
      <c r="G63" t="b">
        <f t="shared" si="8"/>
        <v>1</v>
      </c>
      <c r="H63">
        <f t="shared" si="6"/>
        <v>5.9888333998953415E-3</v>
      </c>
      <c r="I63">
        <f t="shared" si="9"/>
        <v>5.9888333998953519E-3</v>
      </c>
      <c r="J63" t="b">
        <f t="shared" si="10"/>
        <v>1</v>
      </c>
    </row>
    <row r="65" spans="1:1" x14ac:dyDescent="0.2">
      <c r="A65" t="s">
        <v>230</v>
      </c>
    </row>
    <row r="66" spans="1:1" x14ac:dyDescent="0.2">
      <c r="A66" t="s">
        <v>231</v>
      </c>
    </row>
    <row r="67" spans="1:1" x14ac:dyDescent="0.2">
      <c r="A67" t="s">
        <v>232</v>
      </c>
    </row>
    <row r="68" spans="1:1" x14ac:dyDescent="0.2">
      <c r="A68" t="s">
        <v>233</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A8AC-889E-CA4E-873C-2DEEB4CB6BC7}">
  <dimension ref="A1:P20"/>
  <sheetViews>
    <sheetView workbookViewId="0">
      <selection activeCell="D7" sqref="D7"/>
    </sheetView>
  </sheetViews>
  <sheetFormatPr baseColWidth="10" defaultRowHeight="16" x14ac:dyDescent="0.2"/>
  <sheetData>
    <row r="1" spans="1:16" x14ac:dyDescent="0.2">
      <c r="A1" t="s">
        <v>208</v>
      </c>
    </row>
    <row r="2" spans="1:16" x14ac:dyDescent="0.2">
      <c r="A2" t="s">
        <v>209</v>
      </c>
    </row>
    <row r="3" spans="1:16" x14ac:dyDescent="0.2">
      <c r="A3" s="42" t="s">
        <v>207</v>
      </c>
    </row>
    <row r="4" spans="1:16" x14ac:dyDescent="0.2">
      <c r="A4" t="s">
        <v>210</v>
      </c>
    </row>
    <row r="5" spans="1:16" x14ac:dyDescent="0.2">
      <c r="A5" t="s">
        <v>211</v>
      </c>
    </row>
    <row r="7" spans="1:16" x14ac:dyDescent="0.2">
      <c r="B7" t="s">
        <v>179</v>
      </c>
      <c r="C7" t="s">
        <v>180</v>
      </c>
      <c r="D7" t="s">
        <v>181</v>
      </c>
      <c r="E7" t="s">
        <v>182</v>
      </c>
      <c r="F7" t="s">
        <v>183</v>
      </c>
      <c r="G7" t="s">
        <v>184</v>
      </c>
      <c r="H7" t="s">
        <v>185</v>
      </c>
      <c r="I7" t="s">
        <v>186</v>
      </c>
      <c r="J7" t="s">
        <v>187</v>
      </c>
      <c r="K7" t="s">
        <v>188</v>
      </c>
      <c r="L7" t="s">
        <v>189</v>
      </c>
      <c r="M7" t="s">
        <v>190</v>
      </c>
      <c r="N7" t="s">
        <v>191</v>
      </c>
      <c r="O7" t="s">
        <v>192</v>
      </c>
      <c r="P7" t="s">
        <v>193</v>
      </c>
    </row>
    <row r="8" spans="1:16" x14ac:dyDescent="0.2">
      <c r="A8">
        <v>1</v>
      </c>
      <c r="B8" t="s">
        <v>169</v>
      </c>
      <c r="C8">
        <v>863707</v>
      </c>
      <c r="D8" t="s">
        <v>195</v>
      </c>
      <c r="E8">
        <v>79950</v>
      </c>
      <c r="F8">
        <v>1904788.33333333</v>
      </c>
      <c r="G8">
        <v>3216923</v>
      </c>
      <c r="H8">
        <v>6.2959751433448901</v>
      </c>
      <c r="I8">
        <v>16.933536662854198</v>
      </c>
      <c r="J8">
        <v>5.2287476723885904</v>
      </c>
      <c r="K8">
        <v>0.54168919427718798</v>
      </c>
      <c r="L8">
        <v>263469.801612971</v>
      </c>
      <c r="M8">
        <v>27.0005847092309</v>
      </c>
      <c r="N8">
        <v>27508</v>
      </c>
      <c r="O8" s="3">
        <v>1.52585311990327E-6</v>
      </c>
      <c r="P8">
        <v>22.105160047300998</v>
      </c>
    </row>
    <row r="9" spans="1:16" x14ac:dyDescent="0.2">
      <c r="A9">
        <v>2</v>
      </c>
      <c r="B9" t="s">
        <v>169</v>
      </c>
      <c r="C9">
        <v>863707</v>
      </c>
      <c r="D9" t="s">
        <v>196</v>
      </c>
      <c r="E9">
        <v>93024</v>
      </c>
      <c r="F9">
        <v>4373730</v>
      </c>
      <c r="G9">
        <v>3216923</v>
      </c>
      <c r="H9">
        <v>3.1903203901475399</v>
      </c>
      <c r="I9">
        <v>19.7026305756767</v>
      </c>
      <c r="J9">
        <v>5.2945242143966702</v>
      </c>
      <c r="K9">
        <v>0.65408448128256302</v>
      </c>
      <c r="L9">
        <v>138550.87415383701</v>
      </c>
      <c r="M9">
        <v>14.1987984627703</v>
      </c>
      <c r="N9">
        <v>27508</v>
      </c>
      <c r="O9" s="3">
        <v>7.73186076813422E-7</v>
      </c>
      <c r="P9">
        <v>11.2012104909474</v>
      </c>
    </row>
    <row r="10" spans="1:16" x14ac:dyDescent="0.2">
      <c r="A10">
        <v>3</v>
      </c>
      <c r="B10" t="s">
        <v>169</v>
      </c>
      <c r="C10">
        <v>863707</v>
      </c>
      <c r="D10" t="s">
        <v>197</v>
      </c>
      <c r="E10">
        <v>86188</v>
      </c>
      <c r="F10">
        <v>5033120.8857142897</v>
      </c>
      <c r="G10">
        <v>3216923</v>
      </c>
      <c r="H10">
        <v>2.5686249731641899</v>
      </c>
      <c r="I10">
        <v>18.254754945567001</v>
      </c>
      <c r="J10">
        <v>5.2613760072938298</v>
      </c>
      <c r="K10">
        <v>0.59479652205780897</v>
      </c>
      <c r="L10">
        <v>109485.965747681</v>
      </c>
      <c r="M10">
        <v>11.220204647911601</v>
      </c>
      <c r="N10">
        <v>27508</v>
      </c>
      <c r="O10" s="3">
        <v>6.2251586766618001E-7</v>
      </c>
      <c r="P10">
        <v>9.0184387391216596</v>
      </c>
    </row>
    <row r="11" spans="1:16" x14ac:dyDescent="0.2">
      <c r="A11">
        <v>4</v>
      </c>
      <c r="B11" t="s">
        <v>169</v>
      </c>
      <c r="C11">
        <v>863707</v>
      </c>
      <c r="D11" t="s">
        <v>198</v>
      </c>
      <c r="E11">
        <v>45441</v>
      </c>
      <c r="F11">
        <v>3861016</v>
      </c>
      <c r="G11">
        <v>3216923</v>
      </c>
      <c r="H11">
        <v>1.76537729965377</v>
      </c>
      <c r="I11">
        <v>9.62447579107892</v>
      </c>
      <c r="J11">
        <v>4.98337708444115</v>
      </c>
      <c r="K11">
        <v>0.26809831701850501</v>
      </c>
      <c r="L11">
        <v>64330.937567706002</v>
      </c>
      <c r="M11">
        <v>6.5926831788208</v>
      </c>
      <c r="N11">
        <v>27508</v>
      </c>
      <c r="O11" s="3">
        <v>4.2784579023163401E-7</v>
      </c>
      <c r="P11">
        <v>6.1982372649562496</v>
      </c>
    </row>
    <row r="12" spans="1:16" x14ac:dyDescent="0.2">
      <c r="A12">
        <v>5</v>
      </c>
      <c r="B12" t="s">
        <v>169</v>
      </c>
      <c r="C12">
        <v>863707</v>
      </c>
      <c r="D12" t="s">
        <v>194</v>
      </c>
      <c r="E12">
        <v>31185</v>
      </c>
      <c r="F12">
        <v>2453028</v>
      </c>
      <c r="G12">
        <v>3216923</v>
      </c>
      <c r="H12">
        <v>1.9069289058257799</v>
      </c>
      <c r="I12">
        <v>6.6050324056423904</v>
      </c>
      <c r="J12">
        <v>4.8198749526934899</v>
      </c>
      <c r="K12">
        <v>0.167785382502355</v>
      </c>
      <c r="L12">
        <v>63369.314824163899</v>
      </c>
      <c r="M12">
        <v>6.49413535213868</v>
      </c>
      <c r="N12" s="3">
        <v>27508</v>
      </c>
      <c r="O12" s="3">
        <v>4.6215135132222898E-7</v>
      </c>
      <c r="P12">
        <v>6.6952247590527403</v>
      </c>
    </row>
    <row r="13" spans="1:16" x14ac:dyDescent="0.2">
      <c r="A13">
        <v>6</v>
      </c>
      <c r="B13" t="s">
        <v>169</v>
      </c>
      <c r="C13">
        <v>863707</v>
      </c>
      <c r="D13" t="s">
        <v>199</v>
      </c>
      <c r="E13">
        <v>24929</v>
      </c>
      <c r="F13">
        <v>2031251</v>
      </c>
      <c r="G13">
        <v>3216923</v>
      </c>
      <c r="H13">
        <v>1.84090986293668</v>
      </c>
      <c r="I13">
        <v>5.28000169441267</v>
      </c>
      <c r="J13">
        <v>4.7226340619038796</v>
      </c>
      <c r="K13">
        <v>0.126970029419671</v>
      </c>
      <c r="L13">
        <v>57911.527819385701</v>
      </c>
      <c r="M13">
        <v>5.9348172084831603</v>
      </c>
      <c r="N13">
        <v>27508</v>
      </c>
      <c r="O13" s="3">
        <v>4.46151389398644E-7</v>
      </c>
      <c r="P13">
        <v>6.46343199049715</v>
      </c>
    </row>
    <row r="14" spans="1:16" x14ac:dyDescent="0.2">
      <c r="A14">
        <v>7</v>
      </c>
      <c r="B14" t="s">
        <v>169</v>
      </c>
      <c r="C14">
        <v>863707</v>
      </c>
      <c r="D14" t="s">
        <v>200</v>
      </c>
      <c r="E14">
        <v>1975</v>
      </c>
      <c r="F14">
        <v>89264</v>
      </c>
      <c r="G14">
        <v>3216923</v>
      </c>
      <c r="H14">
        <v>3.3188071338949601</v>
      </c>
      <c r="I14">
        <v>0.41830812894480501</v>
      </c>
      <c r="J14">
        <v>3.62149630426882</v>
      </c>
      <c r="K14">
        <v>5.4065556339343897E-3</v>
      </c>
      <c r="L14">
        <v>56114.064464876603</v>
      </c>
      <c r="M14">
        <v>5.7506118032790701</v>
      </c>
      <c r="N14">
        <v>27508</v>
      </c>
      <c r="O14" s="3">
        <v>8.0432531963912597E-7</v>
      </c>
      <c r="P14">
        <v>11.6523272710852</v>
      </c>
    </row>
    <row r="15" spans="1:16" x14ac:dyDescent="0.2">
      <c r="A15">
        <v>8</v>
      </c>
      <c r="B15" t="s">
        <v>169</v>
      </c>
      <c r="C15">
        <v>863707</v>
      </c>
      <c r="D15" t="s">
        <v>201</v>
      </c>
      <c r="E15">
        <v>26130</v>
      </c>
      <c r="F15">
        <v>2292986</v>
      </c>
      <c r="G15">
        <v>3216923</v>
      </c>
      <c r="H15">
        <v>1.70934318831428</v>
      </c>
      <c r="I15">
        <v>5.5343753971279703</v>
      </c>
      <c r="J15">
        <v>4.7430686140336702</v>
      </c>
      <c r="K15">
        <v>0.13462933928829501</v>
      </c>
      <c r="L15">
        <v>54395.842276880299</v>
      </c>
      <c r="M15">
        <v>5.5745270928027404</v>
      </c>
      <c r="N15">
        <v>27508</v>
      </c>
      <c r="O15" s="3">
        <v>4.1426571380792901E-7</v>
      </c>
      <c r="P15">
        <v>6.0015015773039497</v>
      </c>
    </row>
    <row r="16" spans="1:16" x14ac:dyDescent="0.2">
      <c r="A16">
        <v>9</v>
      </c>
      <c r="B16" t="s">
        <v>169</v>
      </c>
      <c r="C16">
        <v>863707</v>
      </c>
      <c r="D16" t="s">
        <v>202</v>
      </c>
      <c r="E16">
        <v>22303</v>
      </c>
      <c r="F16">
        <v>2204851</v>
      </c>
      <c r="G16">
        <v>3216923</v>
      </c>
      <c r="H16">
        <v>1.5173134148293901</v>
      </c>
      <c r="I16">
        <v>4.7238107341042896</v>
      </c>
      <c r="J16">
        <v>4.6742924886915302</v>
      </c>
      <c r="K16">
        <v>0.110540628776225</v>
      </c>
      <c r="L16">
        <v>46448.327346622202</v>
      </c>
      <c r="M16">
        <v>4.7600597466833703</v>
      </c>
      <c r="N16">
        <v>27508</v>
      </c>
      <c r="O16" s="3">
        <v>3.67726580105034E-7</v>
      </c>
      <c r="P16">
        <v>5.3272853073719899</v>
      </c>
    </row>
    <row r="17" spans="1:16" x14ac:dyDescent="0.2">
      <c r="A17">
        <v>10</v>
      </c>
      <c r="B17" t="s">
        <v>169</v>
      </c>
      <c r="C17">
        <v>863707</v>
      </c>
      <c r="D17" t="s">
        <v>203</v>
      </c>
      <c r="E17">
        <v>19783</v>
      </c>
      <c r="F17">
        <v>2484878.3333333302</v>
      </c>
      <c r="G17">
        <v>3216923</v>
      </c>
      <c r="H17">
        <v>1.1942033379233199</v>
      </c>
      <c r="I17">
        <v>4.1900707417291496</v>
      </c>
      <c r="J17">
        <v>4.6222213553011997</v>
      </c>
      <c r="K17">
        <v>9.5213778252424205E-2</v>
      </c>
      <c r="L17">
        <v>35499.485950342299</v>
      </c>
      <c r="M17">
        <v>3.63801419239836</v>
      </c>
      <c r="N17">
        <v>27508</v>
      </c>
      <c r="O17" s="3">
        <v>2.8941964469083402E-7</v>
      </c>
      <c r="P17">
        <v>4.1928462728636804</v>
      </c>
    </row>
    <row r="18" spans="1:16" x14ac:dyDescent="0.2">
      <c r="A18">
        <v>11</v>
      </c>
      <c r="B18" t="s">
        <v>169</v>
      </c>
      <c r="C18">
        <v>863707</v>
      </c>
      <c r="D18" t="s">
        <v>204</v>
      </c>
      <c r="E18">
        <v>14478</v>
      </c>
      <c r="F18">
        <v>2058778.25</v>
      </c>
      <c r="G18">
        <v>3216923</v>
      </c>
      <c r="H18">
        <v>1.0548489134271699</v>
      </c>
      <c r="I18">
        <v>3.0664633371457599</v>
      </c>
      <c r="J18">
        <v>4.4866377765987702</v>
      </c>
      <c r="K18">
        <v>6.4552785174152694E-2</v>
      </c>
      <c r="L18">
        <v>29049.108452754801</v>
      </c>
      <c r="M18">
        <v>2.97697462367401</v>
      </c>
      <c r="N18">
        <v>27508</v>
      </c>
      <c r="O18" s="3">
        <v>2.5564657879578699E-7</v>
      </c>
      <c r="P18">
        <v>3.70357308060164</v>
      </c>
    </row>
    <row r="19" spans="1:16" x14ac:dyDescent="0.2">
      <c r="A19">
        <v>12</v>
      </c>
      <c r="B19" t="s">
        <v>169</v>
      </c>
      <c r="C19">
        <v>863707</v>
      </c>
      <c r="D19" t="s">
        <v>205</v>
      </c>
      <c r="E19">
        <v>12145</v>
      </c>
      <c r="F19">
        <v>1680673.6</v>
      </c>
      <c r="G19">
        <v>3216923</v>
      </c>
      <c r="H19">
        <v>1.0839403915192101</v>
      </c>
      <c r="I19">
        <v>2.5723302410301998</v>
      </c>
      <c r="J19">
        <v>4.4103267234474899</v>
      </c>
      <c r="K19">
        <v>5.1870107297287402E-2</v>
      </c>
      <c r="L19">
        <v>28593.094701320901</v>
      </c>
      <c r="M19">
        <v>2.9302419892362601</v>
      </c>
      <c r="N19">
        <v>27508</v>
      </c>
      <c r="O19" s="3">
        <v>2.62697007299503E-7</v>
      </c>
      <c r="P19">
        <v>3.80571322007102</v>
      </c>
    </row>
    <row r="20" spans="1:16" x14ac:dyDescent="0.2">
      <c r="A20">
        <v>13</v>
      </c>
      <c r="B20" t="s">
        <v>169</v>
      </c>
      <c r="C20">
        <v>863707</v>
      </c>
      <c r="D20" t="s">
        <v>206</v>
      </c>
      <c r="E20">
        <v>14609</v>
      </c>
      <c r="F20">
        <v>2116567</v>
      </c>
      <c r="G20">
        <v>3216923</v>
      </c>
      <c r="H20">
        <v>1.03533221485547</v>
      </c>
      <c r="I20">
        <v>3.0942093446859</v>
      </c>
      <c r="J20">
        <v>4.4905496933860496</v>
      </c>
      <c r="K20">
        <v>6.5280705356246499E-2</v>
      </c>
      <c r="L20">
        <v>28574.603457486799</v>
      </c>
      <c r="M20">
        <v>2.9283469925707499</v>
      </c>
      <c r="N20">
        <v>27508</v>
      </c>
      <c r="O20" s="3">
        <v>2.5091663391388501E-7</v>
      </c>
      <c r="P20">
        <v>3.6350499788263</v>
      </c>
    </row>
  </sheetData>
  <hyperlinks>
    <hyperlink ref="A3" r:id="rId1" xr:uid="{2982A4A5-5DE3-1144-97A9-5540A88189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full_calcs on correct masses </vt:lpstr>
      <vt:lpstr>linear regressions counts</vt:lpstr>
      <vt:lpstr>diagrm artifacts from linregcts</vt:lpstr>
      <vt:lpstr>full_calcs on Zaramela masses </vt:lpstr>
      <vt:lpstr>linear regressions CPMs</vt:lpstr>
      <vt:lpstr>zaramela linear reg CPM&amp;counts </vt:lpstr>
      <vt:lpstr>syndna_saliva_analysis_ex1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Birmingham, Amanda</dc:creator>
  <cp:lastModifiedBy>Birmingham, Amanda</cp:lastModifiedBy>
  <dcterms:created xsi:type="dcterms:W3CDTF">2023-10-27T16:55:29Z</dcterms:created>
  <dcterms:modified xsi:type="dcterms:W3CDTF">2025-04-22T20:29:02Z</dcterms:modified>
</cp:coreProperties>
</file>