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QFT\"/>
    </mc:Choice>
  </mc:AlternateContent>
  <xr:revisionPtr revIDLastSave="0" documentId="13_ncr:1_{8462D557-DC87-4ABC-B737-25730207AFA5}" xr6:coauthVersionLast="45" xr6:coauthVersionMax="45" xr10:uidLastSave="{00000000-0000-0000-0000-000000000000}"/>
  <bookViews>
    <workbookView xWindow="-110" yWindow="-110" windowWidth="19420" windowHeight="10420" activeTab="1" xr2:uid="{480A3EF8-E92D-4598-BD1F-36DCFC3830A8}"/>
  </bookViews>
  <sheets>
    <sheet name="Methodology" sheetId="1" r:id="rId1"/>
    <sheet name="Assign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6" i="2" l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55" i="2"/>
  <c r="J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54" i="2"/>
  <c r="H45" i="2"/>
  <c r="I45" i="2" s="1"/>
  <c r="J45" i="2" s="1"/>
  <c r="J46" i="2" s="1"/>
  <c r="J47" i="2" s="1"/>
  <c r="J48" i="2" s="1"/>
  <c r="J49" i="2" s="1"/>
  <c r="J50" i="2" s="1"/>
  <c r="J51" i="2" s="1"/>
  <c r="G125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54" i="2"/>
  <c r="F125" i="2"/>
  <c r="F124" i="2"/>
  <c r="F121" i="2"/>
  <c r="F122" i="2"/>
  <c r="F123" i="2"/>
  <c r="F118" i="2"/>
  <c r="F119" i="2"/>
  <c r="F120" i="2" s="1"/>
  <c r="F56" i="2"/>
  <c r="F57" i="2"/>
  <c r="F58" i="2"/>
  <c r="F59" i="2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55" i="2"/>
  <c r="F54" i="2"/>
  <c r="I46" i="2"/>
  <c r="I47" i="2"/>
  <c r="I48" i="2"/>
  <c r="I49" i="2"/>
  <c r="I50" i="2"/>
  <c r="I51" i="2"/>
  <c r="J44" i="2"/>
  <c r="I44" i="2"/>
  <c r="H46" i="2"/>
  <c r="H47" i="2"/>
  <c r="H48" i="2"/>
  <c r="H49" i="2"/>
  <c r="H50" i="2"/>
  <c r="H51" i="2"/>
  <c r="H44" i="2"/>
  <c r="H26" i="2"/>
  <c r="I26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G51" i="2"/>
  <c r="G45" i="2"/>
  <c r="G46" i="2"/>
  <c r="G47" i="2"/>
  <c r="G48" i="2"/>
  <c r="G49" i="2"/>
  <c r="G50" i="2"/>
  <c r="G44" i="2"/>
  <c r="F46" i="2"/>
  <c r="F47" i="2" s="1"/>
  <c r="F48" i="2" s="1"/>
  <c r="F49" i="2" s="1"/>
  <c r="F50" i="2" s="1"/>
  <c r="F51" i="2" s="1"/>
  <c r="F45" i="2"/>
  <c r="F44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17" i="2"/>
  <c r="G41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26" i="2"/>
  <c r="G17" i="2"/>
  <c r="F37" i="2"/>
  <c r="F38" i="2" s="1"/>
  <c r="F39" i="2" s="1"/>
  <c r="F40" i="2" s="1"/>
  <c r="F41" i="2" s="1"/>
  <c r="F28" i="2"/>
  <c r="F29" i="2" s="1"/>
  <c r="F30" i="2" s="1"/>
  <c r="F31" i="2" s="1"/>
  <c r="F32" i="2" s="1"/>
  <c r="F33" i="2" s="1"/>
  <c r="F34" i="2" s="1"/>
  <c r="F35" i="2" s="1"/>
  <c r="F36" i="2" s="1"/>
  <c r="F27" i="2"/>
  <c r="F26" i="2"/>
  <c r="H13" i="2"/>
  <c r="I13" i="2" s="1"/>
  <c r="J13" i="2" s="1"/>
  <c r="J14" i="2" s="1"/>
  <c r="G23" i="2"/>
  <c r="G18" i="2"/>
  <c r="G19" i="2"/>
  <c r="G20" i="2"/>
  <c r="G21" i="2"/>
  <c r="G22" i="2"/>
  <c r="F17" i="2"/>
  <c r="F18" i="2" s="1"/>
  <c r="F19" i="2" s="1"/>
  <c r="G14" i="2"/>
  <c r="I14" i="2" s="1"/>
  <c r="H14" i="2"/>
  <c r="A25" i="2"/>
  <c r="I17" i="2" l="1"/>
  <c r="J17" i="2" s="1"/>
  <c r="F20" i="2"/>
  <c r="H19" i="2"/>
  <c r="I19" i="2" s="1"/>
  <c r="H18" i="2"/>
  <c r="I18" i="2" s="1"/>
  <c r="J18" i="2" s="1"/>
  <c r="J19" i="2" s="1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62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38" i="2"/>
  <c r="B27" i="2"/>
  <c r="B28" i="2"/>
  <c r="B29" i="2"/>
  <c r="B30" i="2"/>
  <c r="B31" i="2"/>
  <c r="B32" i="2"/>
  <c r="B33" i="2"/>
  <c r="B34" i="2"/>
  <c r="B35" i="2"/>
  <c r="B36" i="2"/>
  <c r="B26" i="2"/>
  <c r="B15" i="2"/>
  <c r="B16" i="2"/>
  <c r="B17" i="2"/>
  <c r="B18" i="2"/>
  <c r="B19" i="2"/>
  <c r="B20" i="2"/>
  <c r="B21" i="2"/>
  <c r="B22" i="2"/>
  <c r="B23" i="2"/>
  <c r="B24" i="2"/>
  <c r="B14" i="2"/>
  <c r="B9" i="2"/>
  <c r="B10" i="2"/>
  <c r="B11" i="2"/>
  <c r="B12" i="2"/>
  <c r="B8" i="2"/>
  <c r="A74" i="2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60" i="2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50" i="2"/>
  <c r="A51" i="2" s="1"/>
  <c r="A52" i="2" s="1"/>
  <c r="A53" i="2" s="1"/>
  <c r="A54" i="2" s="1"/>
  <c r="A55" i="2" s="1"/>
  <c r="A56" i="2" s="1"/>
  <c r="A57" i="2" s="1"/>
  <c r="A58" i="2" s="1"/>
  <c r="A59" i="2" s="1"/>
  <c r="A24" i="2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4" i="2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3" i="2"/>
  <c r="G13" i="2"/>
  <c r="F21" i="2" l="1"/>
  <c r="H20" i="2"/>
  <c r="I20" i="2" s="1"/>
  <c r="J20" i="2" s="1"/>
  <c r="T2" i="1"/>
  <c r="C12" i="1"/>
  <c r="D12" i="1" s="1"/>
  <c r="C18" i="1"/>
  <c r="D18" i="1" s="1"/>
  <c r="G17" i="1"/>
  <c r="P7" i="1"/>
  <c r="Q7" i="1" s="1"/>
  <c r="H15" i="1" s="1"/>
  <c r="Q4" i="1"/>
  <c r="H12" i="1" s="1"/>
  <c r="Q10" i="1"/>
  <c r="Q11" i="1"/>
  <c r="C19" i="1" s="1"/>
  <c r="D19" i="1" s="1"/>
  <c r="Q12" i="1"/>
  <c r="Q14" i="1"/>
  <c r="Q15" i="1"/>
  <c r="Q16" i="1"/>
  <c r="Q17" i="1"/>
  <c r="Q18" i="1"/>
  <c r="Q19" i="1"/>
  <c r="Q20" i="1"/>
  <c r="P21" i="1"/>
  <c r="Q21" i="1" s="1"/>
  <c r="P17" i="1"/>
  <c r="P13" i="1"/>
  <c r="Q13" i="1" s="1"/>
  <c r="P9" i="1"/>
  <c r="Q9" i="1" s="1"/>
  <c r="P5" i="1"/>
  <c r="Q5" i="1" s="1"/>
  <c r="P3" i="1"/>
  <c r="P2" i="1" s="1"/>
  <c r="Q2" i="1" s="1"/>
  <c r="B19" i="1"/>
  <c r="B11" i="1"/>
  <c r="B12" i="1"/>
  <c r="B13" i="1"/>
  <c r="B14" i="1"/>
  <c r="B15" i="1"/>
  <c r="B16" i="1"/>
  <c r="B17" i="1"/>
  <c r="B18" i="1"/>
  <c r="B10" i="1"/>
  <c r="F22" i="2" l="1"/>
  <c r="H21" i="2"/>
  <c r="I21" i="2" s="1"/>
  <c r="J21" i="2" s="1"/>
  <c r="C13" i="1"/>
  <c r="D13" i="1" s="1"/>
  <c r="H13" i="1"/>
  <c r="Q3" i="1"/>
  <c r="C10" i="1"/>
  <c r="D10" i="1" s="1"/>
  <c r="H10" i="1"/>
  <c r="C17" i="1"/>
  <c r="D17" i="1" s="1"/>
  <c r="H17" i="1"/>
  <c r="P6" i="1"/>
  <c r="Q6" i="1" s="1"/>
  <c r="P8" i="1"/>
  <c r="Q8" i="1" s="1"/>
  <c r="C15" i="1"/>
  <c r="D15" i="1" s="1"/>
  <c r="F23" i="2" l="1"/>
  <c r="H23" i="2" s="1"/>
  <c r="I23" i="2" s="1"/>
  <c r="H22" i="2"/>
  <c r="I22" i="2" s="1"/>
  <c r="J22" i="2" s="1"/>
  <c r="J23" i="2" s="1"/>
  <c r="H11" i="1"/>
  <c r="C11" i="1"/>
  <c r="D11" i="1" s="1"/>
  <c r="B6" i="1" s="1"/>
  <c r="H16" i="1"/>
  <c r="C16" i="1"/>
  <c r="D16" i="1" s="1"/>
  <c r="C14" i="1"/>
  <c r="D14" i="1" s="1"/>
  <c r="H14" i="1"/>
</calcChain>
</file>

<file path=xl/sharedStrings.xml><?xml version="1.0" encoding="utf-8"?>
<sst xmlns="http://schemas.openxmlformats.org/spreadsheetml/2006/main" count="60" uniqueCount="28">
  <si>
    <t>Time in Years</t>
  </si>
  <si>
    <t xml:space="preserve">Coupon </t>
  </si>
  <si>
    <t>Value</t>
  </si>
  <si>
    <t>Principal (or Par)</t>
  </si>
  <si>
    <t>Time</t>
  </si>
  <si>
    <t>Spot Rates</t>
  </si>
  <si>
    <t>m</t>
  </si>
  <si>
    <t>T</t>
  </si>
  <si>
    <t>Discount Factors (z)</t>
  </si>
  <si>
    <t>Cashflow (CF)</t>
  </si>
  <si>
    <t>Bond 1</t>
  </si>
  <si>
    <t>Bond 2</t>
  </si>
  <si>
    <t>Bond 3</t>
  </si>
  <si>
    <t>Bond 4</t>
  </si>
  <si>
    <t>Bond 5</t>
  </si>
  <si>
    <t>Coupon</t>
  </si>
  <si>
    <t>Time to Maturity</t>
  </si>
  <si>
    <t>m (freq) - nb of period in a year</t>
  </si>
  <si>
    <t>Time (yrs)</t>
  </si>
  <si>
    <t>y=2x</t>
  </si>
  <si>
    <t>y=1.5x+0.5</t>
  </si>
  <si>
    <t>y=.5x+2.5</t>
  </si>
  <si>
    <t>y=.1x+3.7</t>
  </si>
  <si>
    <t>y=0.18x+3.3</t>
  </si>
  <si>
    <t>Present Value of Cashflow</t>
  </si>
  <si>
    <t>Time(yrs)</t>
  </si>
  <si>
    <t>Cashflow(CF)</t>
  </si>
  <si>
    <t>Total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</si>
</sst>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5" borderId="4" xfId="0" applyFill="1" applyBorder="1"/>
    <xf numFmtId="0" fontId="0" fillId="5" borderId="0" xfId="0" applyFill="1" applyBorder="1"/>
    <xf numFmtId="165" fontId="0" fillId="5" borderId="0" xfId="0" applyNumberFormat="1" applyFill="1" applyBorder="1"/>
    <xf numFmtId="0" fontId="0" fillId="5" borderId="5" xfId="0" applyFill="1" applyBorder="1"/>
    <xf numFmtId="166" fontId="0" fillId="5" borderId="0" xfId="0" applyNumberFormat="1" applyFill="1" applyBorder="1"/>
    <xf numFmtId="0" fontId="0" fillId="5" borderId="6" xfId="0" applyFill="1" applyBorder="1"/>
    <xf numFmtId="0" fontId="0" fillId="5" borderId="7" xfId="0" applyFill="1" applyBorder="1"/>
    <xf numFmtId="165" fontId="0" fillId="5" borderId="7" xfId="0" applyNumberFormat="1" applyFill="1" applyBorder="1"/>
    <xf numFmtId="0" fontId="0" fillId="5" borderId="8" xfId="0" applyFill="1" applyBorder="1"/>
    <xf numFmtId="0" fontId="0" fillId="0" borderId="9" xfId="0" applyBorder="1"/>
    <xf numFmtId="9" fontId="0" fillId="0" borderId="9" xfId="0" applyNumberFormat="1" applyBorder="1"/>
    <xf numFmtId="0" fontId="1" fillId="6" borderId="9" xfId="0" applyFont="1" applyFill="1" applyBorder="1"/>
    <xf numFmtId="164" fontId="0" fillId="0" borderId="9" xfId="0" applyNumberFormat="1" applyBorder="1"/>
    <xf numFmtId="10" fontId="0" fillId="0" borderId="9" xfId="0" applyNumberFormat="1" applyFill="1" applyBorder="1"/>
    <xf numFmtId="0" fontId="0" fillId="0" borderId="10" xfId="0" applyBorder="1"/>
    <xf numFmtId="0" fontId="2" fillId="3" borderId="11" xfId="0" applyFont="1" applyFill="1" applyBorder="1"/>
    <xf numFmtId="164" fontId="0" fillId="0" borderId="12" xfId="0" applyNumberFormat="1" applyBorder="1"/>
    <xf numFmtId="10" fontId="0" fillId="0" borderId="12" xfId="0" applyNumberFormat="1" applyFill="1" applyBorder="1"/>
    <xf numFmtId="164" fontId="0" fillId="7" borderId="0" xfId="0" applyNumberFormat="1" applyFill="1" applyBorder="1"/>
    <xf numFmtId="10" fontId="0" fillId="7" borderId="0" xfId="0" applyNumberFormat="1" applyFill="1" applyBorder="1"/>
    <xf numFmtId="164" fontId="0" fillId="4" borderId="0" xfId="0" applyNumberFormat="1" applyFill="1" applyBorder="1"/>
    <xf numFmtId="10" fontId="0" fillId="4" borderId="0" xfId="0" applyNumberFormat="1" applyFill="1" applyBorder="1"/>
    <xf numFmtId="10" fontId="0" fillId="7" borderId="0" xfId="1" applyNumberFormat="1" applyFont="1" applyFill="1" applyBorder="1"/>
    <xf numFmtId="0" fontId="0" fillId="0" borderId="12" xfId="0" applyBorder="1"/>
    <xf numFmtId="0" fontId="0" fillId="4" borderId="0" xfId="0" applyFill="1" applyBorder="1"/>
    <xf numFmtId="9" fontId="0" fillId="4" borderId="0" xfId="0" applyNumberFormat="1" applyFill="1" applyBorder="1"/>
    <xf numFmtId="0" fontId="0" fillId="0" borderId="13" xfId="0" applyBorder="1"/>
    <xf numFmtId="0" fontId="0" fillId="9" borderId="0" xfId="0" applyFill="1" applyBorder="1"/>
    <xf numFmtId="0" fontId="0" fillId="0" borderId="11" xfId="0" applyBorder="1"/>
    <xf numFmtId="0" fontId="0" fillId="8" borderId="0" xfId="0" applyFill="1" applyBorder="1"/>
    <xf numFmtId="0" fontId="0" fillId="0" borderId="0" xfId="0" applyBorder="1"/>
    <xf numFmtId="0" fontId="0" fillId="9" borderId="0" xfId="0" applyNumberFormat="1" applyFill="1" applyBorder="1"/>
    <xf numFmtId="0" fontId="2" fillId="3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Methodology!$L$1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Methodology!$L$2:$L$7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D-4935-8F91-DDB04386C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757912"/>
        <c:axId val="345756600"/>
      </c:lineChart>
      <c:catAx>
        <c:axId val="34575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56600"/>
        <c:crosses val="autoZero"/>
        <c:auto val="1"/>
        <c:lblAlgn val="ctr"/>
        <c:lblOffset val="100"/>
        <c:noMultiLvlLbl val="0"/>
      </c:catAx>
      <c:valAx>
        <c:axId val="3457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5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79375</xdr:colOff>
      <xdr:row>4</xdr:row>
      <xdr:rowOff>165100</xdr:rowOff>
    </xdr:from>
    <xdr:to>
      <xdr:col>28</xdr:col>
      <xdr:colOff>384175</xdr:colOff>
      <xdr:row>19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D209C-577F-42A7-A97D-194FAA630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CCF3-E105-46E1-8BE5-002BF2A0917E}">
  <dimension ref="A1:T23"/>
  <sheetViews>
    <sheetView showGridLines="0" topLeftCell="A5" workbookViewId="0">
      <selection activeCell="B19" sqref="B19"/>
    </sheetView>
  </sheetViews>
  <sheetFormatPr defaultRowHeight="14.5" x14ac:dyDescent="0.35"/>
  <cols>
    <col min="1" max="1" width="18.453125" customWidth="1"/>
    <col min="2" max="2" width="21.54296875" customWidth="1"/>
    <col min="3" max="3" width="20.1796875" customWidth="1"/>
    <col min="6" max="6" width="14.7265625" bestFit="1" customWidth="1"/>
    <col min="14" max="14" width="14.6328125" customWidth="1"/>
  </cols>
  <sheetData>
    <row r="1" spans="1:20" x14ac:dyDescent="0.35">
      <c r="B1" s="1"/>
      <c r="G1" s="1"/>
      <c r="L1" s="5" t="s">
        <v>4</v>
      </c>
      <c r="M1" s="5" t="s">
        <v>5</v>
      </c>
    </row>
    <row r="2" spans="1:20" x14ac:dyDescent="0.35">
      <c r="A2" t="s">
        <v>1</v>
      </c>
      <c r="B2" s="1">
        <v>0.05</v>
      </c>
      <c r="F2" t="s">
        <v>1</v>
      </c>
      <c r="G2" s="1">
        <v>0.04</v>
      </c>
      <c r="L2" s="5">
        <v>0.5</v>
      </c>
      <c r="M2" s="6">
        <v>0.01</v>
      </c>
      <c r="O2">
        <v>0.25</v>
      </c>
      <c r="P2" s="1">
        <f>P3</f>
        <v>0.01</v>
      </c>
      <c r="Q2">
        <f>1/(1+P2/4)^(4*O2)</f>
        <v>0.99750623441396513</v>
      </c>
      <c r="S2">
        <v>0.5</v>
      </c>
      <c r="T2">
        <f>1/(1+M2/2)^(2*S2)</f>
        <v>0.99502487562189068</v>
      </c>
    </row>
    <row r="3" spans="1:20" x14ac:dyDescent="0.35">
      <c r="A3" s="21" t="s">
        <v>3</v>
      </c>
      <c r="B3" s="19">
        <v>1000</v>
      </c>
      <c r="F3" t="s">
        <v>3</v>
      </c>
      <c r="G3">
        <v>100</v>
      </c>
      <c r="L3" s="5">
        <v>1</v>
      </c>
      <c r="M3" s="6">
        <v>0.02</v>
      </c>
      <c r="O3">
        <v>0.5</v>
      </c>
      <c r="P3" s="1">
        <f>M2</f>
        <v>0.01</v>
      </c>
      <c r="Q3">
        <f t="shared" ref="Q3:Q21" si="0">1/(1+P3/4)^(4*O3)</f>
        <v>0.99501868769472834</v>
      </c>
      <c r="S3">
        <v>1</v>
      </c>
    </row>
    <row r="4" spans="1:20" x14ac:dyDescent="0.35">
      <c r="A4" s="21" t="s">
        <v>6</v>
      </c>
      <c r="B4" s="19">
        <v>4</v>
      </c>
      <c r="F4" t="s">
        <v>6</v>
      </c>
      <c r="G4">
        <v>4</v>
      </c>
      <c r="L4" s="5">
        <v>2</v>
      </c>
      <c r="M4" s="6">
        <v>3.5000000000000003E-2</v>
      </c>
      <c r="O4">
        <v>0.75</v>
      </c>
      <c r="P4" s="2">
        <v>1.4999999999999999E-2</v>
      </c>
      <c r="Q4">
        <f t="shared" si="0"/>
        <v>0.9888338506070633</v>
      </c>
      <c r="S4">
        <v>1.5</v>
      </c>
    </row>
    <row r="5" spans="1:20" x14ac:dyDescent="0.35">
      <c r="A5" s="21" t="s">
        <v>7</v>
      </c>
      <c r="B5" s="20">
        <v>0.05</v>
      </c>
      <c r="F5" t="s">
        <v>7</v>
      </c>
      <c r="G5">
        <v>2</v>
      </c>
      <c r="L5" s="5">
        <v>3</v>
      </c>
      <c r="M5" s="6">
        <v>0.04</v>
      </c>
      <c r="O5">
        <v>1</v>
      </c>
      <c r="P5" s="1">
        <f>M3</f>
        <v>0.02</v>
      </c>
      <c r="Q5">
        <f t="shared" si="0"/>
        <v>0.9802475217013038</v>
      </c>
      <c r="S5">
        <v>2</v>
      </c>
    </row>
    <row r="6" spans="1:20" x14ac:dyDescent="0.35">
      <c r="A6" s="21" t="s">
        <v>2</v>
      </c>
      <c r="B6" s="19">
        <f>SUM(D10:D117)</f>
        <v>1122.1478121805894</v>
      </c>
      <c r="L6" s="5">
        <v>5</v>
      </c>
      <c r="M6" s="6">
        <v>4.2000000000000003E-2</v>
      </c>
      <c r="O6">
        <v>1.25</v>
      </c>
      <c r="P6" s="1">
        <f>AVERAGE(P5,P7)</f>
        <v>2.375E-2</v>
      </c>
      <c r="Q6">
        <f t="shared" si="0"/>
        <v>0.97083406846932896</v>
      </c>
      <c r="S6">
        <v>2.5</v>
      </c>
    </row>
    <row r="7" spans="1:20" x14ac:dyDescent="0.35">
      <c r="L7" s="5">
        <v>10</v>
      </c>
      <c r="M7" s="6">
        <v>5.0999999999999997E-2</v>
      </c>
      <c r="O7">
        <v>1.5</v>
      </c>
      <c r="P7" s="1">
        <f>AVERAGE(M3,M4)</f>
        <v>2.7500000000000004E-2</v>
      </c>
      <c r="Q7" s="4">
        <f t="shared" si="0"/>
        <v>0.95972465852607036</v>
      </c>
      <c r="S7">
        <v>3</v>
      </c>
    </row>
    <row r="8" spans="1:20" ht="15" thickBot="1" x14ac:dyDescent="0.4">
      <c r="L8" s="5">
        <v>20</v>
      </c>
      <c r="M8" s="6">
        <v>5.5E-2</v>
      </c>
      <c r="O8">
        <v>1.75</v>
      </c>
      <c r="P8" s="1">
        <f>AVERAGE(P7,P9)</f>
        <v>3.125E-2</v>
      </c>
      <c r="Q8">
        <f t="shared" si="0"/>
        <v>0.94698219912579018</v>
      </c>
      <c r="S8">
        <v>3.5</v>
      </c>
    </row>
    <row r="9" spans="1:20" x14ac:dyDescent="0.35">
      <c r="A9" s="7" t="s">
        <v>0</v>
      </c>
      <c r="B9" s="8" t="s">
        <v>9</v>
      </c>
      <c r="C9" s="8" t="s">
        <v>8</v>
      </c>
      <c r="D9" s="9"/>
      <c r="L9" s="5">
        <v>30</v>
      </c>
      <c r="M9" s="6">
        <v>0.06</v>
      </c>
      <c r="O9">
        <v>2</v>
      </c>
      <c r="P9" s="2">
        <f>M4</f>
        <v>3.5000000000000003E-2</v>
      </c>
      <c r="Q9">
        <f t="shared" si="0"/>
        <v>0.93267775390889895</v>
      </c>
      <c r="S9">
        <v>4</v>
      </c>
    </row>
    <row r="10" spans="1:20" x14ac:dyDescent="0.35">
      <c r="A10" s="10">
        <v>0.25</v>
      </c>
      <c r="B10" s="11">
        <f>$B$2*$B$3/$B$4</f>
        <v>12.5</v>
      </c>
      <c r="C10" s="12">
        <f>VLOOKUP(A10,$O$2:$Q$21,3,0)</f>
        <v>0.99750623441396513</v>
      </c>
      <c r="D10" s="13">
        <f>B10*C10</f>
        <v>12.468827930174564</v>
      </c>
      <c r="F10">
        <v>0.25</v>
      </c>
      <c r="G10">
        <v>1</v>
      </c>
      <c r="H10" s="3">
        <f>VLOOKUP(F10,$O$2:$Q$21,3,0)</f>
        <v>0.99750623441396513</v>
      </c>
      <c r="O10">
        <v>2.25</v>
      </c>
      <c r="Q10">
        <f t="shared" si="0"/>
        <v>1</v>
      </c>
      <c r="S10">
        <v>4.5</v>
      </c>
    </row>
    <row r="11" spans="1:20" x14ac:dyDescent="0.35">
      <c r="A11" s="10">
        <v>0.5</v>
      </c>
      <c r="B11" s="11">
        <f t="shared" ref="B11:B18" si="1">$B$2*$B$3/$B$4</f>
        <v>12.5</v>
      </c>
      <c r="C11" s="14">
        <f t="shared" ref="C11:C19" si="2">VLOOKUP(A11,$O$2:$Q$21,3,0)</f>
        <v>0.99501868769472834</v>
      </c>
      <c r="D11" s="13">
        <f t="shared" ref="D11:D19" si="3">B11*C11</f>
        <v>12.437733596184104</v>
      </c>
      <c r="F11">
        <v>0.5</v>
      </c>
      <c r="G11">
        <v>1</v>
      </c>
      <c r="H11" s="3">
        <f t="shared" ref="H11:H17" si="4">VLOOKUP(F11,$O$2:$Q$21,3,0)</f>
        <v>0.99501868769472834</v>
      </c>
      <c r="O11">
        <v>2.5</v>
      </c>
      <c r="Q11">
        <f t="shared" si="0"/>
        <v>1</v>
      </c>
      <c r="S11">
        <v>5</v>
      </c>
    </row>
    <row r="12" spans="1:20" x14ac:dyDescent="0.35">
      <c r="A12" s="10">
        <v>0.75</v>
      </c>
      <c r="B12" s="11">
        <f t="shared" si="1"/>
        <v>12.5</v>
      </c>
      <c r="C12" s="12">
        <f t="shared" si="2"/>
        <v>0.9888338506070633</v>
      </c>
      <c r="D12" s="13">
        <f t="shared" si="3"/>
        <v>12.360423132588291</v>
      </c>
      <c r="F12">
        <v>0.75</v>
      </c>
      <c r="G12">
        <v>1</v>
      </c>
      <c r="H12" s="3">
        <f t="shared" si="4"/>
        <v>0.9888338506070633</v>
      </c>
      <c r="O12">
        <v>2.75</v>
      </c>
      <c r="Q12">
        <f t="shared" si="0"/>
        <v>1</v>
      </c>
    </row>
    <row r="13" spans="1:20" x14ac:dyDescent="0.35">
      <c r="A13" s="10">
        <v>1</v>
      </c>
      <c r="B13" s="11">
        <f t="shared" si="1"/>
        <v>12.5</v>
      </c>
      <c r="C13" s="12">
        <f t="shared" si="2"/>
        <v>0.9802475217013038</v>
      </c>
      <c r="D13" s="13">
        <f t="shared" si="3"/>
        <v>12.253094021266298</v>
      </c>
      <c r="F13">
        <v>1</v>
      </c>
      <c r="G13">
        <v>1</v>
      </c>
      <c r="H13" s="3">
        <f t="shared" si="4"/>
        <v>0.9802475217013038</v>
      </c>
      <c r="O13">
        <v>3</v>
      </c>
      <c r="P13" s="2">
        <f>M5</f>
        <v>0.04</v>
      </c>
      <c r="Q13">
        <f t="shared" si="0"/>
        <v>0.88744922526515368</v>
      </c>
    </row>
    <row r="14" spans="1:20" x14ac:dyDescent="0.35">
      <c r="A14" s="10">
        <v>1.25</v>
      </c>
      <c r="B14" s="11">
        <f t="shared" si="1"/>
        <v>12.5</v>
      </c>
      <c r="C14" s="12">
        <f t="shared" si="2"/>
        <v>0.97083406846932896</v>
      </c>
      <c r="D14" s="13">
        <f t="shared" si="3"/>
        <v>12.135425855866613</v>
      </c>
      <c r="F14">
        <v>1.25</v>
      </c>
      <c r="G14">
        <v>1</v>
      </c>
      <c r="H14" s="3">
        <f t="shared" si="4"/>
        <v>0.97083406846932896</v>
      </c>
      <c r="O14">
        <v>3.25</v>
      </c>
      <c r="Q14">
        <f t="shared" si="0"/>
        <v>1</v>
      </c>
    </row>
    <row r="15" spans="1:20" x14ac:dyDescent="0.35">
      <c r="A15" s="10">
        <v>1.5</v>
      </c>
      <c r="B15" s="11">
        <f t="shared" si="1"/>
        <v>12.5</v>
      </c>
      <c r="C15" s="12">
        <f t="shared" si="2"/>
        <v>0.95972465852607036</v>
      </c>
      <c r="D15" s="13">
        <f t="shared" si="3"/>
        <v>11.996558231575879</v>
      </c>
      <c r="F15">
        <v>1.5</v>
      </c>
      <c r="G15">
        <v>1</v>
      </c>
      <c r="H15" s="3">
        <f t="shared" si="4"/>
        <v>0.95972465852607036</v>
      </c>
      <c r="O15">
        <v>3.5</v>
      </c>
      <c r="Q15">
        <f t="shared" si="0"/>
        <v>1</v>
      </c>
    </row>
    <row r="16" spans="1:20" x14ac:dyDescent="0.35">
      <c r="A16" s="10">
        <v>1.75</v>
      </c>
      <c r="B16" s="11">
        <f t="shared" si="1"/>
        <v>12.5</v>
      </c>
      <c r="C16" s="12">
        <f t="shared" si="2"/>
        <v>0.94698219912579018</v>
      </c>
      <c r="D16" s="13">
        <f t="shared" si="3"/>
        <v>11.837277489072378</v>
      </c>
      <c r="F16">
        <v>1.75</v>
      </c>
      <c r="G16">
        <v>1</v>
      </c>
      <c r="H16" s="3">
        <f t="shared" si="4"/>
        <v>0.94698219912579018</v>
      </c>
      <c r="O16">
        <v>3.75</v>
      </c>
      <c r="Q16">
        <f t="shared" si="0"/>
        <v>1</v>
      </c>
    </row>
    <row r="17" spans="1:17" x14ac:dyDescent="0.35">
      <c r="A17" s="10">
        <v>2</v>
      </c>
      <c r="B17" s="11">
        <f t="shared" si="1"/>
        <v>12.5</v>
      </c>
      <c r="C17" s="12">
        <f t="shared" si="2"/>
        <v>0.93267775390889895</v>
      </c>
      <c r="D17" s="13">
        <f t="shared" si="3"/>
        <v>11.658471923861237</v>
      </c>
      <c r="F17">
        <v>2</v>
      </c>
      <c r="G17">
        <f>1+G3</f>
        <v>101</v>
      </c>
      <c r="H17" s="3">
        <f t="shared" si="4"/>
        <v>0.93267775390889895</v>
      </c>
      <c r="O17">
        <v>4</v>
      </c>
      <c r="P17" s="2">
        <f>M6</f>
        <v>4.2000000000000003E-2</v>
      </c>
      <c r="Q17">
        <f t="shared" si="0"/>
        <v>0.84609458266500515</v>
      </c>
    </row>
    <row r="18" spans="1:17" x14ac:dyDescent="0.35">
      <c r="A18" s="10">
        <v>2.25</v>
      </c>
      <c r="B18" s="11">
        <f t="shared" si="1"/>
        <v>12.5</v>
      </c>
      <c r="C18" s="12">
        <f t="shared" si="2"/>
        <v>1</v>
      </c>
      <c r="D18" s="13">
        <f t="shared" si="3"/>
        <v>12.5</v>
      </c>
      <c r="O18">
        <v>4.25</v>
      </c>
      <c r="Q18">
        <f t="shared" si="0"/>
        <v>1</v>
      </c>
    </row>
    <row r="19" spans="1:17" ht="15" thickBot="1" x14ac:dyDescent="0.4">
      <c r="A19" s="15">
        <v>2.5</v>
      </c>
      <c r="B19" s="16">
        <f>$B$2*$B$3/$B$4+B3</f>
        <v>1012.5</v>
      </c>
      <c r="C19" s="17">
        <f t="shared" si="2"/>
        <v>1</v>
      </c>
      <c r="D19" s="18">
        <f t="shared" si="3"/>
        <v>1012.5</v>
      </c>
      <c r="O19">
        <v>4.5</v>
      </c>
      <c r="Q19">
        <f t="shared" si="0"/>
        <v>1</v>
      </c>
    </row>
    <row r="20" spans="1:17" x14ac:dyDescent="0.35">
      <c r="A20">
        <v>2.75</v>
      </c>
      <c r="O20">
        <v>4.75</v>
      </c>
      <c r="Q20">
        <f t="shared" si="0"/>
        <v>1</v>
      </c>
    </row>
    <row r="21" spans="1:17" x14ac:dyDescent="0.35">
      <c r="A21">
        <v>3</v>
      </c>
      <c r="O21">
        <v>5</v>
      </c>
      <c r="P21" s="1">
        <f>M7</f>
        <v>5.0999999999999997E-2</v>
      </c>
      <c r="Q21">
        <f t="shared" si="0"/>
        <v>0.77616662259170011</v>
      </c>
    </row>
    <row r="22" spans="1:17" x14ac:dyDescent="0.35">
      <c r="A22">
        <v>3.25</v>
      </c>
    </row>
    <row r="23" spans="1:17" x14ac:dyDescent="0.35">
      <c r="A23">
        <v>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380A-2094-4D28-9E43-3FB9A6A64606}">
  <dimension ref="A1:K137"/>
  <sheetViews>
    <sheetView showGridLines="0" tabSelected="1" workbookViewId="0">
      <selection activeCell="G7" sqref="G7"/>
    </sheetView>
  </sheetViews>
  <sheetFormatPr defaultRowHeight="14.5" x14ac:dyDescent="0.35"/>
  <cols>
    <col min="1" max="1" width="8.7265625" style="19"/>
    <col min="2" max="2" width="11.1796875" style="19" customWidth="1"/>
    <col min="3" max="3" width="17.90625" style="19" customWidth="1"/>
    <col min="4" max="4" width="17.26953125" style="19" customWidth="1"/>
    <col min="5" max="5" width="8" style="19" customWidth="1"/>
    <col min="6" max="6" width="20.1796875" style="19" customWidth="1"/>
    <col min="7" max="7" width="13.90625" style="19" customWidth="1"/>
    <col min="8" max="8" width="17.90625" style="19" customWidth="1"/>
    <col min="9" max="9" width="29.1796875" style="19" customWidth="1"/>
    <col min="10" max="16384" width="8.7265625" style="19"/>
  </cols>
  <sheetData>
    <row r="1" spans="1:11" x14ac:dyDescent="0.35">
      <c r="A1" s="25" t="s">
        <v>4</v>
      </c>
      <c r="B1" s="25" t="s">
        <v>5</v>
      </c>
      <c r="D1" s="36"/>
      <c r="E1" s="40"/>
      <c r="F1" s="42" t="s">
        <v>3</v>
      </c>
      <c r="G1" s="42" t="s">
        <v>15</v>
      </c>
      <c r="H1" s="42" t="s">
        <v>16</v>
      </c>
      <c r="I1" s="42" t="s">
        <v>17</v>
      </c>
      <c r="J1" s="24"/>
    </row>
    <row r="2" spans="1:11" x14ac:dyDescent="0.35">
      <c r="A2" s="28">
        <v>8.3333333333333329E-2</v>
      </c>
      <c r="B2" s="29">
        <v>0.01</v>
      </c>
      <c r="C2" s="24"/>
      <c r="D2" s="36"/>
      <c r="E2" s="42" t="s">
        <v>10</v>
      </c>
      <c r="F2" s="34">
        <v>1000000</v>
      </c>
      <c r="G2" s="35">
        <v>0.05</v>
      </c>
      <c r="H2" s="34">
        <v>2</v>
      </c>
      <c r="I2" s="34">
        <v>1</v>
      </c>
      <c r="J2" s="24"/>
    </row>
    <row r="3" spans="1:11" x14ac:dyDescent="0.35">
      <c r="A3" s="28">
        <f>A2+1/12</f>
        <v>0.16666666666666666</v>
      </c>
      <c r="B3" s="29">
        <v>0.01</v>
      </c>
      <c r="C3" s="24"/>
      <c r="D3" s="36"/>
      <c r="E3" s="42" t="s">
        <v>11</v>
      </c>
      <c r="F3" s="34">
        <v>2000000</v>
      </c>
      <c r="G3" s="35">
        <v>0.04</v>
      </c>
      <c r="H3" s="34">
        <v>3.5</v>
      </c>
      <c r="I3" s="34">
        <v>2</v>
      </c>
      <c r="J3" s="24"/>
    </row>
    <row r="4" spans="1:11" x14ac:dyDescent="0.35">
      <c r="A4" s="28">
        <f t="shared" ref="A4:A67" si="0">A3+1/12</f>
        <v>0.25</v>
      </c>
      <c r="B4" s="29">
        <v>0.01</v>
      </c>
      <c r="C4" s="24"/>
      <c r="D4" s="36"/>
      <c r="E4" s="42" t="s">
        <v>12</v>
      </c>
      <c r="F4" s="34">
        <v>1500000</v>
      </c>
      <c r="G4" s="35">
        <v>0.06</v>
      </c>
      <c r="H4" s="34">
        <v>4</v>
      </c>
      <c r="I4" s="34">
        <v>4</v>
      </c>
      <c r="J4" s="24"/>
    </row>
    <row r="5" spans="1:11" x14ac:dyDescent="0.35">
      <c r="A5" s="28">
        <f t="shared" si="0"/>
        <v>0.33333333333333331</v>
      </c>
      <c r="B5" s="29">
        <v>0.01</v>
      </c>
      <c r="C5" s="24"/>
      <c r="D5" s="36"/>
      <c r="E5" s="42" t="s">
        <v>13</v>
      </c>
      <c r="F5" s="34">
        <v>500000</v>
      </c>
      <c r="G5" s="35">
        <v>0.04</v>
      </c>
      <c r="H5" s="34">
        <v>4</v>
      </c>
      <c r="I5" s="34">
        <v>2</v>
      </c>
      <c r="J5" s="24"/>
    </row>
    <row r="6" spans="1:11" x14ac:dyDescent="0.35">
      <c r="A6" s="28">
        <f t="shared" si="0"/>
        <v>0.41666666666666663</v>
      </c>
      <c r="B6" s="29">
        <v>0.01</v>
      </c>
      <c r="C6" s="24"/>
      <c r="D6" s="36"/>
      <c r="E6" s="42" t="s">
        <v>14</v>
      </c>
      <c r="F6" s="34">
        <v>1000000</v>
      </c>
      <c r="G6" s="35">
        <v>0.05</v>
      </c>
      <c r="H6" s="34">
        <v>6</v>
      </c>
      <c r="I6" s="34">
        <v>12</v>
      </c>
      <c r="J6" s="24"/>
    </row>
    <row r="7" spans="1:11" x14ac:dyDescent="0.35">
      <c r="A7" s="30">
        <f t="shared" si="0"/>
        <v>0.49999999999999994</v>
      </c>
      <c r="B7" s="31">
        <v>0.01</v>
      </c>
      <c r="C7" s="24" t="s">
        <v>19</v>
      </c>
      <c r="E7" s="33"/>
      <c r="F7" s="33"/>
      <c r="G7" s="33"/>
      <c r="H7" s="33"/>
      <c r="I7" s="33"/>
    </row>
    <row r="8" spans="1:11" x14ac:dyDescent="0.35">
      <c r="A8" s="28">
        <f t="shared" si="0"/>
        <v>0.58333333333333326</v>
      </c>
      <c r="B8" s="32">
        <f>A8*2/100</f>
        <v>1.1666666666666665E-2</v>
      </c>
      <c r="C8" s="24"/>
    </row>
    <row r="9" spans="1:11" x14ac:dyDescent="0.35">
      <c r="A9" s="28">
        <f t="shared" si="0"/>
        <v>0.66666666666666663</v>
      </c>
      <c r="B9" s="32">
        <f t="shared" ref="B9:B12" si="1">A9*2/100</f>
        <v>1.3333333333333332E-2</v>
      </c>
      <c r="C9" s="24"/>
    </row>
    <row r="10" spans="1:11" x14ac:dyDescent="0.35">
      <c r="A10" s="28">
        <f t="shared" si="0"/>
        <v>0.75</v>
      </c>
      <c r="B10" s="32">
        <f t="shared" si="1"/>
        <v>1.4999999999999999E-2</v>
      </c>
      <c r="C10" s="24"/>
    </row>
    <row r="11" spans="1:11" x14ac:dyDescent="0.35">
      <c r="A11" s="28">
        <f t="shared" si="0"/>
        <v>0.83333333333333337</v>
      </c>
      <c r="B11" s="32">
        <f t="shared" si="1"/>
        <v>1.6666666666666666E-2</v>
      </c>
      <c r="C11" s="24"/>
      <c r="E11" s="38"/>
      <c r="F11" s="38"/>
      <c r="G11" s="38"/>
      <c r="H11" s="38"/>
      <c r="I11" s="38"/>
      <c r="J11" s="38"/>
    </row>
    <row r="12" spans="1:11" x14ac:dyDescent="0.35">
      <c r="A12" s="28">
        <f t="shared" si="0"/>
        <v>0.91666666666666674</v>
      </c>
      <c r="B12" s="32">
        <f t="shared" si="1"/>
        <v>1.8333333333333333E-2</v>
      </c>
      <c r="C12" s="24"/>
      <c r="D12" s="36"/>
      <c r="E12" s="39" t="s">
        <v>10</v>
      </c>
      <c r="F12" s="39" t="s">
        <v>18</v>
      </c>
      <c r="G12" s="39" t="s">
        <v>9</v>
      </c>
      <c r="H12" s="39" t="s">
        <v>8</v>
      </c>
      <c r="I12" s="39" t="s">
        <v>24</v>
      </c>
      <c r="J12" s="39" t="s">
        <v>27</v>
      </c>
      <c r="K12" s="24"/>
    </row>
    <row r="13" spans="1:11" x14ac:dyDescent="0.35">
      <c r="A13" s="30">
        <f t="shared" si="0"/>
        <v>1</v>
      </c>
      <c r="B13" s="31">
        <v>0.02</v>
      </c>
      <c r="C13" s="24" t="s">
        <v>20</v>
      </c>
      <c r="D13" s="36"/>
      <c r="E13" s="37"/>
      <c r="F13" s="37">
        <v>1</v>
      </c>
      <c r="G13" s="37">
        <f>$G$2*$F$2 / $I$2</f>
        <v>50000</v>
      </c>
      <c r="H13" s="37">
        <f>1/(1+VLOOKUP(F13,$A$1:$B$121,2,1)/$I$2)^($I$2*F13)</f>
        <v>0.98039215686274506</v>
      </c>
      <c r="I13" s="37">
        <f>H13*G13</f>
        <v>49019.607843137252</v>
      </c>
      <c r="J13" s="37">
        <f>I13</f>
        <v>49019.607843137252</v>
      </c>
      <c r="K13" s="24"/>
    </row>
    <row r="14" spans="1:11" x14ac:dyDescent="0.35">
      <c r="A14" s="28">
        <f t="shared" si="0"/>
        <v>1.0833333333333333</v>
      </c>
      <c r="B14" s="32">
        <f>(A14*1.5+0.5)/100</f>
        <v>2.1250000000000002E-2</v>
      </c>
      <c r="C14" s="24"/>
      <c r="D14" s="36"/>
      <c r="E14" s="37"/>
      <c r="F14" s="37">
        <v>2</v>
      </c>
      <c r="G14" s="37">
        <f>$G$2*$F$2 / $I$2 +$F$2</f>
        <v>1050000</v>
      </c>
      <c r="H14" s="37">
        <f>1/(1+VLOOKUP(F14,$A$1:$B$121,2,1)/$I$2)^($I$2*F14)</f>
        <v>0.93351070036640305</v>
      </c>
      <c r="I14" s="37">
        <f>H14*G14</f>
        <v>980186.23538472317</v>
      </c>
      <c r="J14" s="37">
        <f>J13+I14</f>
        <v>1029205.8432278604</v>
      </c>
      <c r="K14" s="24"/>
    </row>
    <row r="15" spans="1:11" x14ac:dyDescent="0.35">
      <c r="A15" s="28">
        <f t="shared" si="0"/>
        <v>1.1666666666666665</v>
      </c>
      <c r="B15" s="32">
        <f t="shared" ref="B15:B24" si="2">(A15*1.5+0.5)/100</f>
        <v>2.2499999999999999E-2</v>
      </c>
      <c r="C15" s="24"/>
      <c r="D15" s="36"/>
      <c r="E15" s="40"/>
      <c r="F15" s="40"/>
      <c r="G15" s="40"/>
      <c r="H15" s="40"/>
      <c r="I15" s="40"/>
      <c r="J15" s="40"/>
      <c r="K15" s="24"/>
    </row>
    <row r="16" spans="1:11" x14ac:dyDescent="0.35">
      <c r="A16" s="28">
        <f t="shared" si="0"/>
        <v>1.2499999999999998</v>
      </c>
      <c r="B16" s="32">
        <f t="shared" si="2"/>
        <v>2.3749999999999997E-2</v>
      </c>
      <c r="C16" s="24"/>
      <c r="D16" s="36"/>
      <c r="E16" s="39" t="s">
        <v>11</v>
      </c>
      <c r="F16" s="39" t="s">
        <v>25</v>
      </c>
      <c r="G16" s="39" t="s">
        <v>26</v>
      </c>
      <c r="H16" s="39" t="s">
        <v>8</v>
      </c>
      <c r="I16" s="39" t="s">
        <v>24</v>
      </c>
      <c r="J16" s="39" t="s">
        <v>27</v>
      </c>
      <c r="K16" s="24"/>
    </row>
    <row r="17" spans="1:11" x14ac:dyDescent="0.35">
      <c r="A17" s="28">
        <f t="shared" si="0"/>
        <v>1.333333333333333</v>
      </c>
      <c r="B17" s="32">
        <f t="shared" si="2"/>
        <v>2.4999999999999994E-2</v>
      </c>
      <c r="C17" s="24"/>
      <c r="D17" s="36"/>
      <c r="E17" s="37"/>
      <c r="F17" s="37">
        <f>1/$I$3</f>
        <v>0.5</v>
      </c>
      <c r="G17" s="37">
        <f>$F$3*$G$3 / $I$3</f>
        <v>40000</v>
      </c>
      <c r="H17" s="37">
        <f>1/(1+VLOOKUP(F17,$A$1:$B$121,2,1)/$I$3)^($I$3*F17)</f>
        <v>0.99502487562189068</v>
      </c>
      <c r="I17" s="37">
        <f>H17*G17</f>
        <v>39800.995024875629</v>
      </c>
      <c r="J17" s="37">
        <f>I17</f>
        <v>39800.995024875629</v>
      </c>
      <c r="K17" s="24"/>
    </row>
    <row r="18" spans="1:11" x14ac:dyDescent="0.35">
      <c r="A18" s="28">
        <f t="shared" si="0"/>
        <v>1.4166666666666663</v>
      </c>
      <c r="B18" s="32">
        <f t="shared" si="2"/>
        <v>2.6249999999999996E-2</v>
      </c>
      <c r="C18" s="24"/>
      <c r="D18" s="36"/>
      <c r="E18" s="37"/>
      <c r="F18" s="37">
        <f>F17+1/$I$3</f>
        <v>1</v>
      </c>
      <c r="G18" s="37">
        <f t="shared" ref="G18:G23" si="3">$F$3*$G$3 / $I$3</f>
        <v>40000</v>
      </c>
      <c r="H18" s="37">
        <f>1/(1+VLOOKUP(F18,$A$1:$B$121,2,1)/$I$3)^($I$3*F18)</f>
        <v>0.98029604940692083</v>
      </c>
      <c r="I18" s="37">
        <f t="shared" ref="I18:I23" si="4">H18*G18</f>
        <v>39211.841976276832</v>
      </c>
      <c r="J18" s="37">
        <f>J17+I18</f>
        <v>79012.837001152453</v>
      </c>
      <c r="K18" s="24"/>
    </row>
    <row r="19" spans="1:11" x14ac:dyDescent="0.35">
      <c r="A19" s="28">
        <f t="shared" si="0"/>
        <v>1.4999999999999996</v>
      </c>
      <c r="B19" s="32">
        <f t="shared" si="2"/>
        <v>2.749999999999999E-2</v>
      </c>
      <c r="C19" s="24"/>
      <c r="D19" s="36"/>
      <c r="E19" s="37"/>
      <c r="F19" s="37">
        <f t="shared" ref="F19:F23" si="5">F18+1/$I$3</f>
        <v>1.5</v>
      </c>
      <c r="G19" s="37">
        <f t="shared" si="3"/>
        <v>40000</v>
      </c>
      <c r="H19" s="37">
        <f>1/(1+VLOOKUP(F19,$A$1:$B$121,2,1)/$I$3)^($I$3*F19)</f>
        <v>0.95985890494035664</v>
      </c>
      <c r="I19" s="37">
        <f t="shared" si="4"/>
        <v>38394.356197614266</v>
      </c>
      <c r="J19" s="37">
        <f t="shared" ref="J19:J23" si="6">J18+I19</f>
        <v>117407.19319876672</v>
      </c>
      <c r="K19" s="24"/>
    </row>
    <row r="20" spans="1:11" x14ac:dyDescent="0.35">
      <c r="A20" s="28">
        <f t="shared" si="0"/>
        <v>1.5833333333333328</v>
      </c>
      <c r="B20" s="32">
        <f t="shared" si="2"/>
        <v>2.8749999999999991E-2</v>
      </c>
      <c r="C20" s="24"/>
      <c r="D20" s="36"/>
      <c r="E20" s="37"/>
      <c r="F20" s="37">
        <f t="shared" si="5"/>
        <v>2</v>
      </c>
      <c r="G20" s="37">
        <f t="shared" si="3"/>
        <v>40000</v>
      </c>
      <c r="H20" s="37">
        <f>1/(1+VLOOKUP(F20,$A$1:$B$121,2,1)/$I$3)^($I$3*F20)</f>
        <v>0.93295850555772986</v>
      </c>
      <c r="I20" s="37">
        <f t="shared" si="4"/>
        <v>37318.340222309191</v>
      </c>
      <c r="J20" s="37">
        <f t="shared" si="6"/>
        <v>154725.5334210759</v>
      </c>
      <c r="K20" s="24"/>
    </row>
    <row r="21" spans="1:11" x14ac:dyDescent="0.35">
      <c r="A21" s="28">
        <f t="shared" si="0"/>
        <v>1.6666666666666661</v>
      </c>
      <c r="B21" s="32">
        <f t="shared" si="2"/>
        <v>2.9999999999999992E-2</v>
      </c>
      <c r="C21" s="24"/>
      <c r="D21" s="36"/>
      <c r="E21" s="37"/>
      <c r="F21" s="37">
        <f t="shared" si="5"/>
        <v>2.5</v>
      </c>
      <c r="G21" s="37">
        <f t="shared" si="3"/>
        <v>40000</v>
      </c>
      <c r="H21" s="37">
        <f>1/(1+VLOOKUP(F21,$A$1:$B$121,2,1)/$I$3)^($I$3*F21)</f>
        <v>0.91130109321015051</v>
      </c>
      <c r="I21" s="37">
        <f t="shared" si="4"/>
        <v>36452.043728406017</v>
      </c>
      <c r="J21" s="37">
        <f t="shared" si="6"/>
        <v>191177.57714948192</v>
      </c>
      <c r="K21" s="24"/>
    </row>
    <row r="22" spans="1:11" x14ac:dyDescent="0.35">
      <c r="A22" s="28">
        <f t="shared" si="0"/>
        <v>1.7499999999999993</v>
      </c>
      <c r="B22" s="32">
        <f t="shared" si="2"/>
        <v>3.124999999999999E-2</v>
      </c>
      <c r="C22" s="24"/>
      <c r="D22" s="36"/>
      <c r="E22" s="37"/>
      <c r="F22" s="37">
        <f t="shared" si="5"/>
        <v>3</v>
      </c>
      <c r="G22" s="37">
        <f t="shared" si="3"/>
        <v>40000</v>
      </c>
      <c r="H22" s="37">
        <f>1/(1+VLOOKUP(F22,$A$1:$B$121,2,1)/$I$3)^($I$3*F22)</f>
        <v>0.88906036075426975</v>
      </c>
      <c r="I22" s="37">
        <f t="shared" si="4"/>
        <v>35562.414430170793</v>
      </c>
      <c r="J22" s="37">
        <f t="shared" si="6"/>
        <v>226739.99157965271</v>
      </c>
      <c r="K22" s="24"/>
    </row>
    <row r="23" spans="1:11" x14ac:dyDescent="0.35">
      <c r="A23" s="28">
        <f t="shared" si="0"/>
        <v>1.8333333333333326</v>
      </c>
      <c r="B23" s="32">
        <f t="shared" si="2"/>
        <v>3.2499999999999994E-2</v>
      </c>
      <c r="C23" s="24"/>
      <c r="D23" s="36"/>
      <c r="E23" s="37"/>
      <c r="F23" s="37">
        <f t="shared" si="5"/>
        <v>3.5</v>
      </c>
      <c r="G23" s="41">
        <f>$F$3*$G$3 / $I$3+$F$3</f>
        <v>2040000</v>
      </c>
      <c r="H23" s="37">
        <f>1/(1+VLOOKUP(F23,$A$1:$B$121,2,1)/$I$3)^($I$3*F23)</f>
        <v>0.86931652142323146</v>
      </c>
      <c r="I23" s="37">
        <f t="shared" si="4"/>
        <v>1773405.7037033921</v>
      </c>
      <c r="J23" s="37">
        <f t="shared" si="6"/>
        <v>2000145.6952830448</v>
      </c>
      <c r="K23" s="24"/>
    </row>
    <row r="24" spans="1:11" x14ac:dyDescent="0.35">
      <c r="A24" s="28">
        <f t="shared" si="0"/>
        <v>1.9166666666666659</v>
      </c>
      <c r="B24" s="32">
        <f t="shared" si="2"/>
        <v>3.3749999999999988E-2</v>
      </c>
      <c r="C24" s="24"/>
      <c r="D24" s="36"/>
      <c r="E24" s="40"/>
      <c r="F24" s="40"/>
      <c r="G24" s="40"/>
      <c r="H24" s="40"/>
      <c r="I24" s="40"/>
      <c r="J24" s="40"/>
      <c r="K24" s="24"/>
    </row>
    <row r="25" spans="1:11" x14ac:dyDescent="0.35">
      <c r="A25" s="30">
        <f>A24+1/12</f>
        <v>1.9999999999999991</v>
      </c>
      <c r="B25" s="31">
        <v>3.5000000000000003E-2</v>
      </c>
      <c r="C25" s="24" t="s">
        <v>21</v>
      </c>
      <c r="D25" s="36"/>
      <c r="E25" s="39" t="s">
        <v>12</v>
      </c>
      <c r="F25" s="39" t="s">
        <v>25</v>
      </c>
      <c r="G25" s="39" t="s">
        <v>26</v>
      </c>
      <c r="H25" s="39" t="s">
        <v>8</v>
      </c>
      <c r="I25" s="39" t="s">
        <v>24</v>
      </c>
      <c r="J25" s="39" t="s">
        <v>27</v>
      </c>
      <c r="K25" s="24"/>
    </row>
    <row r="26" spans="1:11" x14ac:dyDescent="0.35">
      <c r="A26" s="28">
        <f t="shared" si="0"/>
        <v>2.0833333333333326</v>
      </c>
      <c r="B26" s="29">
        <f>(A26*0.5+2.5)/100</f>
        <v>3.5416666666666659E-2</v>
      </c>
      <c r="C26" s="24"/>
      <c r="D26" s="36"/>
      <c r="E26" s="37"/>
      <c r="F26" s="37">
        <f>1/$I$4</f>
        <v>0.25</v>
      </c>
      <c r="G26" s="37">
        <f>$F$4*$G$4 / $I$4</f>
        <v>22500</v>
      </c>
      <c r="H26" s="37">
        <f>1/(1+VLOOKUP(F26,$A$1:$B$121,2,1)/$I$4)^($I$4*F26)</f>
        <v>0.99750623441396513</v>
      </c>
      <c r="I26" s="37">
        <f>H26*G26</f>
        <v>22443.890274314217</v>
      </c>
      <c r="J26" s="37">
        <f>I26</f>
        <v>22443.890274314217</v>
      </c>
      <c r="K26" s="24"/>
    </row>
    <row r="27" spans="1:11" x14ac:dyDescent="0.35">
      <c r="A27" s="28">
        <f t="shared" si="0"/>
        <v>2.1666666666666661</v>
      </c>
      <c r="B27" s="29">
        <f t="shared" ref="B27:B36" si="7">(A27*0.5+2.5)/100</f>
        <v>3.5833333333333328E-2</v>
      </c>
      <c r="C27" s="24"/>
      <c r="D27" s="36"/>
      <c r="E27" s="37"/>
      <c r="F27" s="37">
        <f>F26+1/$I$4</f>
        <v>0.5</v>
      </c>
      <c r="G27" s="37">
        <f t="shared" ref="G27:G41" si="8">$F$4*$G$4 / $I$4</f>
        <v>22500</v>
      </c>
      <c r="H27" s="37">
        <f t="shared" ref="H27:H41" si="9">1/(1+VLOOKUP(F27,$A$1:$B$121,2,1)/$I$4)^($I$4*F27)</f>
        <v>0.99501868769472834</v>
      </c>
      <c r="I27" s="37">
        <f t="shared" ref="I27:I41" si="10">H27*G27</f>
        <v>22387.920473131388</v>
      </c>
      <c r="J27" s="37">
        <f>J26+I27</f>
        <v>44831.810747445605</v>
      </c>
      <c r="K27" s="24"/>
    </row>
    <row r="28" spans="1:11" x14ac:dyDescent="0.35">
      <c r="A28" s="28">
        <f t="shared" si="0"/>
        <v>2.2499999999999996</v>
      </c>
      <c r="B28" s="29">
        <f t="shared" si="7"/>
        <v>3.6249999999999998E-2</v>
      </c>
      <c r="C28" s="24"/>
      <c r="D28" s="36"/>
      <c r="E28" s="37"/>
      <c r="F28" s="37">
        <f t="shared" ref="F28:F44" si="11">F27+1/$I$4</f>
        <v>0.75</v>
      </c>
      <c r="G28" s="37">
        <f t="shared" si="8"/>
        <v>22500</v>
      </c>
      <c r="H28" s="37">
        <f t="shared" si="9"/>
        <v>0.9888338506070633</v>
      </c>
      <c r="I28" s="37">
        <f t="shared" si="10"/>
        <v>22248.761638658925</v>
      </c>
      <c r="J28" s="37">
        <f t="shared" ref="J28:J41" si="12">J27+I28</f>
        <v>67080.572386104526</v>
      </c>
      <c r="K28" s="24"/>
    </row>
    <row r="29" spans="1:11" x14ac:dyDescent="0.35">
      <c r="A29" s="28">
        <f t="shared" si="0"/>
        <v>2.333333333333333</v>
      </c>
      <c r="B29" s="29">
        <f t="shared" si="7"/>
        <v>3.6666666666666667E-2</v>
      </c>
      <c r="C29" s="24"/>
      <c r="D29" s="36"/>
      <c r="E29" s="37"/>
      <c r="F29" s="37">
        <f t="shared" si="11"/>
        <v>1</v>
      </c>
      <c r="G29" s="37">
        <f t="shared" si="8"/>
        <v>22500</v>
      </c>
      <c r="H29" s="37">
        <f t="shared" si="9"/>
        <v>0.9802475217013038</v>
      </c>
      <c r="I29" s="37">
        <f t="shared" si="10"/>
        <v>22055.569238279335</v>
      </c>
      <c r="J29" s="37">
        <f t="shared" si="12"/>
        <v>89136.141624383861</v>
      </c>
      <c r="K29" s="24"/>
    </row>
    <row r="30" spans="1:11" x14ac:dyDescent="0.35">
      <c r="A30" s="28">
        <f t="shared" si="0"/>
        <v>2.4166666666666665</v>
      </c>
      <c r="B30" s="29">
        <f t="shared" si="7"/>
        <v>3.7083333333333329E-2</v>
      </c>
      <c r="C30" s="24"/>
      <c r="D30" s="36"/>
      <c r="E30" s="37"/>
      <c r="F30" s="37">
        <f t="shared" si="11"/>
        <v>1.25</v>
      </c>
      <c r="G30" s="37">
        <f t="shared" si="8"/>
        <v>22500</v>
      </c>
      <c r="H30" s="37">
        <f t="shared" si="9"/>
        <v>0.97083406846932896</v>
      </c>
      <c r="I30" s="37">
        <f t="shared" si="10"/>
        <v>21843.7665405599</v>
      </c>
      <c r="J30" s="37">
        <f t="shared" si="12"/>
        <v>110979.90816494376</v>
      </c>
      <c r="K30" s="24"/>
    </row>
    <row r="31" spans="1:11" x14ac:dyDescent="0.35">
      <c r="A31" s="28">
        <f t="shared" si="0"/>
        <v>2.5</v>
      </c>
      <c r="B31" s="29">
        <f t="shared" si="7"/>
        <v>3.7499999999999999E-2</v>
      </c>
      <c r="C31" s="24"/>
      <c r="D31" s="36"/>
      <c r="E31" s="37"/>
      <c r="F31" s="37">
        <f t="shared" si="11"/>
        <v>1.5</v>
      </c>
      <c r="G31" s="37">
        <f t="shared" si="8"/>
        <v>22500</v>
      </c>
      <c r="H31" s="37">
        <f t="shared" si="9"/>
        <v>0.95972465852607036</v>
      </c>
      <c r="I31" s="37">
        <f t="shared" si="10"/>
        <v>21593.804816836582</v>
      </c>
      <c r="J31" s="37">
        <f t="shared" si="12"/>
        <v>132573.71298178035</v>
      </c>
      <c r="K31" s="24"/>
    </row>
    <row r="32" spans="1:11" x14ac:dyDescent="0.35">
      <c r="A32" s="28">
        <f t="shared" si="0"/>
        <v>2.5833333333333335</v>
      </c>
      <c r="B32" s="29">
        <f t="shared" si="7"/>
        <v>3.7916666666666668E-2</v>
      </c>
      <c r="C32" s="24"/>
      <c r="D32" s="36"/>
      <c r="E32" s="37"/>
      <c r="F32" s="37">
        <f t="shared" si="11"/>
        <v>1.75</v>
      </c>
      <c r="G32" s="37">
        <f t="shared" si="8"/>
        <v>22500</v>
      </c>
      <c r="H32" s="37">
        <f t="shared" si="9"/>
        <v>0.94698219912579018</v>
      </c>
      <c r="I32" s="37">
        <f t="shared" si="10"/>
        <v>21307.099480330278</v>
      </c>
      <c r="J32" s="37">
        <f t="shared" si="12"/>
        <v>153880.81246211063</v>
      </c>
      <c r="K32" s="24"/>
    </row>
    <row r="33" spans="1:11" x14ac:dyDescent="0.35">
      <c r="A33" s="28">
        <f t="shared" si="0"/>
        <v>2.666666666666667</v>
      </c>
      <c r="B33" s="29">
        <f t="shared" si="7"/>
        <v>3.8333333333333337E-2</v>
      </c>
      <c r="C33" s="24"/>
      <c r="D33" s="36"/>
      <c r="E33" s="37"/>
      <c r="F33" s="37">
        <f t="shared" si="11"/>
        <v>2</v>
      </c>
      <c r="G33" s="37">
        <f t="shared" si="8"/>
        <v>22500</v>
      </c>
      <c r="H33" s="37">
        <f t="shared" si="9"/>
        <v>0.93267775390889895</v>
      </c>
      <c r="I33" s="37">
        <f t="shared" si="10"/>
        <v>20985.249462950225</v>
      </c>
      <c r="J33" s="37">
        <f t="shared" si="12"/>
        <v>174866.06192506084</v>
      </c>
      <c r="K33" s="24"/>
    </row>
    <row r="34" spans="1:11" x14ac:dyDescent="0.35">
      <c r="A34" s="28">
        <f t="shared" si="0"/>
        <v>2.7500000000000004</v>
      </c>
      <c r="B34" s="29">
        <f t="shared" si="7"/>
        <v>3.875E-2</v>
      </c>
      <c r="C34" s="24"/>
      <c r="D34" s="36"/>
      <c r="E34" s="37"/>
      <c r="F34" s="37">
        <f t="shared" si="11"/>
        <v>2.25</v>
      </c>
      <c r="G34" s="37">
        <f t="shared" si="8"/>
        <v>22500</v>
      </c>
      <c r="H34" s="37">
        <f t="shared" si="9"/>
        <v>0.92201375421408671</v>
      </c>
      <c r="I34" s="37">
        <f t="shared" si="10"/>
        <v>20745.309469816952</v>
      </c>
      <c r="J34" s="37">
        <f t="shared" si="12"/>
        <v>195611.37139487779</v>
      </c>
      <c r="K34" s="24"/>
    </row>
    <row r="35" spans="1:11" x14ac:dyDescent="0.35">
      <c r="A35" s="28">
        <f t="shared" si="0"/>
        <v>2.8333333333333339</v>
      </c>
      <c r="B35" s="29">
        <f t="shared" si="7"/>
        <v>3.9166666666666669E-2</v>
      </c>
      <c r="C35" s="24"/>
      <c r="D35" s="36"/>
      <c r="E35" s="37"/>
      <c r="F35" s="37">
        <f t="shared" si="11"/>
        <v>2.5</v>
      </c>
      <c r="G35" s="37">
        <f t="shared" si="8"/>
        <v>22500</v>
      </c>
      <c r="H35" s="37">
        <f t="shared" si="9"/>
        <v>0.91090809150828977</v>
      </c>
      <c r="I35" s="37">
        <f t="shared" si="10"/>
        <v>20495.43205893652</v>
      </c>
      <c r="J35" s="37">
        <f t="shared" si="12"/>
        <v>216106.8034538143</v>
      </c>
      <c r="K35" s="24"/>
    </row>
    <row r="36" spans="1:11" x14ac:dyDescent="0.35">
      <c r="A36" s="28">
        <f t="shared" si="0"/>
        <v>2.9166666666666674</v>
      </c>
      <c r="B36" s="29">
        <f t="shared" si="7"/>
        <v>3.9583333333333338E-2</v>
      </c>
      <c r="C36" s="24"/>
      <c r="D36" s="36"/>
      <c r="E36" s="37"/>
      <c r="F36" s="37">
        <f t="shared" si="11"/>
        <v>2.75</v>
      </c>
      <c r="G36" s="37">
        <f t="shared" si="8"/>
        <v>22500</v>
      </c>
      <c r="H36" s="37">
        <f t="shared" si="9"/>
        <v>0.90040127916693968</v>
      </c>
      <c r="I36" s="37">
        <f t="shared" si="10"/>
        <v>20259.028781256144</v>
      </c>
      <c r="J36" s="37">
        <f t="shared" si="12"/>
        <v>236365.83223507044</v>
      </c>
      <c r="K36" s="24"/>
    </row>
    <row r="37" spans="1:11" x14ac:dyDescent="0.35">
      <c r="A37" s="30">
        <f t="shared" si="0"/>
        <v>3.0000000000000009</v>
      </c>
      <c r="B37" s="31">
        <v>0.04</v>
      </c>
      <c r="C37" s="24" t="s">
        <v>22</v>
      </c>
      <c r="D37" s="36"/>
      <c r="E37" s="37"/>
      <c r="F37" s="37">
        <f>F36+1/$I$4</f>
        <v>3</v>
      </c>
      <c r="G37" s="37">
        <f t="shared" si="8"/>
        <v>22500</v>
      </c>
      <c r="H37" s="37">
        <f t="shared" si="9"/>
        <v>0.88854829016554238</v>
      </c>
      <c r="I37" s="37">
        <f t="shared" si="10"/>
        <v>19992.336528724703</v>
      </c>
      <c r="J37" s="37">
        <f t="shared" si="12"/>
        <v>256358.16876379514</v>
      </c>
      <c r="K37" s="24"/>
    </row>
    <row r="38" spans="1:11" x14ac:dyDescent="0.35">
      <c r="A38" s="28">
        <f t="shared" si="0"/>
        <v>3.0833333333333344</v>
      </c>
      <c r="B38" s="29">
        <f>(A38*0.1+3.7)/100</f>
        <v>4.0083333333333339E-2</v>
      </c>
      <c r="C38" s="24"/>
      <c r="D38" s="36"/>
      <c r="E38" s="37"/>
      <c r="F38" s="37">
        <f t="shared" si="11"/>
        <v>3.25</v>
      </c>
      <c r="G38" s="37">
        <f t="shared" si="8"/>
        <v>22500</v>
      </c>
      <c r="H38" s="37">
        <f t="shared" si="9"/>
        <v>0.87819150538376345</v>
      </c>
      <c r="I38" s="37">
        <f t="shared" si="10"/>
        <v>19759.308871134679</v>
      </c>
      <c r="J38" s="37">
        <f t="shared" si="12"/>
        <v>276117.47763492982</v>
      </c>
      <c r="K38" s="24"/>
    </row>
    <row r="39" spans="1:11" x14ac:dyDescent="0.35">
      <c r="A39" s="28">
        <f t="shared" si="0"/>
        <v>3.1666666666666679</v>
      </c>
      <c r="B39" s="29">
        <f t="shared" ref="B39:B60" si="13">(A39*0.1+3.7)/100</f>
        <v>4.0166666666666663E-2</v>
      </c>
      <c r="C39" s="24"/>
      <c r="D39" s="36"/>
      <c r="E39" s="37"/>
      <c r="F39" s="37">
        <f t="shared" si="11"/>
        <v>3.5</v>
      </c>
      <c r="G39" s="37">
        <f t="shared" si="8"/>
        <v>22500</v>
      </c>
      <c r="H39" s="37">
        <f t="shared" si="9"/>
        <v>0.86870780603045961</v>
      </c>
      <c r="I39" s="37">
        <f t="shared" si="10"/>
        <v>19545.92563568534</v>
      </c>
      <c r="J39" s="37">
        <f t="shared" si="12"/>
        <v>295663.40327061515</v>
      </c>
      <c r="K39" s="24"/>
    </row>
    <row r="40" spans="1:11" x14ac:dyDescent="0.35">
      <c r="A40" s="28">
        <f t="shared" si="0"/>
        <v>3.2500000000000013</v>
      </c>
      <c r="B40" s="29">
        <f t="shared" si="13"/>
        <v>4.0250000000000001E-2</v>
      </c>
      <c r="C40" s="24"/>
      <c r="D40" s="36"/>
      <c r="E40" s="37"/>
      <c r="F40" s="37">
        <f t="shared" si="11"/>
        <v>3.75</v>
      </c>
      <c r="G40" s="37">
        <f t="shared" si="8"/>
        <v>22500</v>
      </c>
      <c r="H40" s="37">
        <f t="shared" si="9"/>
        <v>0.85922023363453381</v>
      </c>
      <c r="I40" s="37">
        <f t="shared" si="10"/>
        <v>19332.455256777012</v>
      </c>
      <c r="J40" s="37">
        <f t="shared" si="12"/>
        <v>314995.85852739215</v>
      </c>
      <c r="K40" s="24"/>
    </row>
    <row r="41" spans="1:11" x14ac:dyDescent="0.35">
      <c r="A41" s="28">
        <f t="shared" si="0"/>
        <v>3.3333333333333348</v>
      </c>
      <c r="B41" s="29">
        <f t="shared" si="13"/>
        <v>4.0333333333333332E-2</v>
      </c>
      <c r="C41" s="24"/>
      <c r="D41" s="36"/>
      <c r="E41" s="37"/>
      <c r="F41" s="37">
        <f t="shared" si="11"/>
        <v>4</v>
      </c>
      <c r="G41" s="37">
        <f>$F$4*$G$4 / $I$4 + $F$4</f>
        <v>1522500</v>
      </c>
      <c r="H41" s="37">
        <f t="shared" si="9"/>
        <v>0.84973117443670965</v>
      </c>
      <c r="I41" s="37">
        <f t="shared" si="10"/>
        <v>1293715.7130798905</v>
      </c>
      <c r="J41" s="37">
        <f t="shared" si="12"/>
        <v>1608711.5716072826</v>
      </c>
      <c r="K41" s="24"/>
    </row>
    <row r="42" spans="1:11" x14ac:dyDescent="0.35">
      <c r="A42" s="28">
        <f t="shared" si="0"/>
        <v>3.4166666666666683</v>
      </c>
      <c r="B42" s="29">
        <f t="shared" si="13"/>
        <v>4.041666666666667E-2</v>
      </c>
      <c r="C42" s="24"/>
      <c r="D42" s="36"/>
      <c r="E42" s="40"/>
      <c r="F42" s="40"/>
      <c r="G42" s="40"/>
      <c r="H42" s="40"/>
      <c r="I42" s="40"/>
      <c r="J42" s="40"/>
      <c r="K42" s="24"/>
    </row>
    <row r="43" spans="1:11" x14ac:dyDescent="0.35">
      <c r="A43" s="28">
        <f t="shared" si="0"/>
        <v>3.5000000000000018</v>
      </c>
      <c r="B43" s="29">
        <f t="shared" si="13"/>
        <v>4.0500000000000008E-2</v>
      </c>
      <c r="C43" s="24"/>
      <c r="D43" s="36"/>
      <c r="E43" s="39" t="s">
        <v>13</v>
      </c>
      <c r="F43" s="39" t="s">
        <v>25</v>
      </c>
      <c r="G43" s="39" t="s">
        <v>26</v>
      </c>
      <c r="H43" s="39" t="s">
        <v>8</v>
      </c>
      <c r="I43" s="39" t="s">
        <v>24</v>
      </c>
      <c r="J43" s="39" t="s">
        <v>27</v>
      </c>
      <c r="K43" s="24"/>
    </row>
    <row r="44" spans="1:11" x14ac:dyDescent="0.35">
      <c r="A44" s="28">
        <f t="shared" si="0"/>
        <v>3.5833333333333353</v>
      </c>
      <c r="B44" s="29">
        <f t="shared" si="13"/>
        <v>4.0583333333333332E-2</v>
      </c>
      <c r="C44" s="24"/>
      <c r="D44" s="36"/>
      <c r="E44" s="37"/>
      <c r="F44" s="37">
        <f>1/$I$5</f>
        <v>0.5</v>
      </c>
      <c r="G44" s="37">
        <f>$F$5*$G$5/$I$5</f>
        <v>10000</v>
      </c>
      <c r="H44" s="37">
        <f>1/(1+VLOOKUP(F44,$A$1:$B$121,2,1)/$I$5)^($I$5*F44)</f>
        <v>0.99502487562189068</v>
      </c>
      <c r="I44" s="37">
        <f>H44*G44</f>
        <v>9950.2487562189071</v>
      </c>
      <c r="J44" s="37">
        <f>I44</f>
        <v>9950.2487562189071</v>
      </c>
      <c r="K44" s="24"/>
    </row>
    <row r="45" spans="1:11" x14ac:dyDescent="0.35">
      <c r="A45" s="28">
        <f t="shared" si="0"/>
        <v>3.6666666666666687</v>
      </c>
      <c r="B45" s="29">
        <f t="shared" si="13"/>
        <v>4.066666666666667E-2</v>
      </c>
      <c r="C45" s="24"/>
      <c r="D45" s="36"/>
      <c r="E45" s="37"/>
      <c r="F45" s="37">
        <f>F44+1/$I$5</f>
        <v>1</v>
      </c>
      <c r="G45" s="37">
        <f t="shared" ref="G45:G51" si="14">$F$5*$G$5/$I$5</f>
        <v>10000</v>
      </c>
      <c r="H45" s="37">
        <f>1/(1+VLOOKUP(F45,$A$1:$B$121,2,1)/$I$5)^($I$5*F45)</f>
        <v>0.98029604940692083</v>
      </c>
      <c r="I45" s="37">
        <f t="shared" ref="I45:I51" si="15">H45*G45</f>
        <v>9802.9604940692079</v>
      </c>
      <c r="J45" s="37">
        <f>J44+I45</f>
        <v>19753.209250288113</v>
      </c>
      <c r="K45" s="24"/>
    </row>
    <row r="46" spans="1:11" x14ac:dyDescent="0.35">
      <c r="A46" s="28">
        <f t="shared" si="0"/>
        <v>3.7500000000000022</v>
      </c>
      <c r="B46" s="29">
        <f t="shared" si="13"/>
        <v>4.0750000000000001E-2</v>
      </c>
      <c r="C46" s="24"/>
      <c r="D46" s="36"/>
      <c r="E46" s="37"/>
      <c r="F46" s="37">
        <f t="shared" ref="F46:F51" si="16">F45+1/$I$5</f>
        <v>1.5</v>
      </c>
      <c r="G46" s="37">
        <f t="shared" si="14"/>
        <v>10000</v>
      </c>
      <c r="H46" s="37">
        <f t="shared" ref="H45:H51" si="17">1/(1+VLOOKUP(F46,$A$1:$B$121,2,1)/$I$5)^($I$5*F46)</f>
        <v>0.95985890494035664</v>
      </c>
      <c r="I46" s="37">
        <f t="shared" si="15"/>
        <v>9598.5890494035666</v>
      </c>
      <c r="J46" s="37">
        <f t="shared" ref="J46:J51" si="18">J45+I46</f>
        <v>29351.79829969168</v>
      </c>
      <c r="K46" s="24"/>
    </row>
    <row r="47" spans="1:11" x14ac:dyDescent="0.35">
      <c r="A47" s="28">
        <f t="shared" si="0"/>
        <v>3.8333333333333357</v>
      </c>
      <c r="B47" s="29">
        <f t="shared" si="13"/>
        <v>4.083333333333334E-2</v>
      </c>
      <c r="C47" s="24"/>
      <c r="D47" s="36"/>
      <c r="E47" s="37"/>
      <c r="F47" s="37">
        <f t="shared" si="16"/>
        <v>2</v>
      </c>
      <c r="G47" s="37">
        <f t="shared" si="14"/>
        <v>10000</v>
      </c>
      <c r="H47" s="37">
        <f t="shared" si="17"/>
        <v>0.93295850555772986</v>
      </c>
      <c r="I47" s="37">
        <f t="shared" si="15"/>
        <v>9329.5850555772977</v>
      </c>
      <c r="J47" s="37">
        <f t="shared" si="18"/>
        <v>38681.383355268976</v>
      </c>
      <c r="K47" s="24"/>
    </row>
    <row r="48" spans="1:11" x14ac:dyDescent="0.35">
      <c r="A48" s="28">
        <f t="shared" si="0"/>
        <v>3.9166666666666692</v>
      </c>
      <c r="B48" s="29">
        <f t="shared" si="13"/>
        <v>4.0916666666666671E-2</v>
      </c>
      <c r="C48" s="24"/>
      <c r="D48" s="36"/>
      <c r="E48" s="37"/>
      <c r="F48" s="37">
        <f t="shared" si="16"/>
        <v>2.5</v>
      </c>
      <c r="G48" s="37">
        <f t="shared" si="14"/>
        <v>10000</v>
      </c>
      <c r="H48" s="37">
        <f t="shared" si="17"/>
        <v>0.91130109321015051</v>
      </c>
      <c r="I48" s="37">
        <f t="shared" si="15"/>
        <v>9113.0109321015043</v>
      </c>
      <c r="J48" s="37">
        <f t="shared" si="18"/>
        <v>47794.39428737048</v>
      </c>
      <c r="K48" s="24"/>
    </row>
    <row r="49" spans="1:11" x14ac:dyDescent="0.35">
      <c r="A49" s="28">
        <f t="shared" si="0"/>
        <v>4.0000000000000027</v>
      </c>
      <c r="B49" s="29">
        <f t="shared" si="13"/>
        <v>4.1000000000000009E-2</v>
      </c>
      <c r="C49" s="24"/>
      <c r="D49" s="36"/>
      <c r="E49" s="37"/>
      <c r="F49" s="37">
        <f t="shared" si="16"/>
        <v>3</v>
      </c>
      <c r="G49" s="37">
        <f t="shared" si="14"/>
        <v>10000</v>
      </c>
      <c r="H49" s="37">
        <f t="shared" si="17"/>
        <v>0.88906036075426975</v>
      </c>
      <c r="I49" s="37">
        <f t="shared" si="15"/>
        <v>8890.6036075426982</v>
      </c>
      <c r="J49" s="37">
        <f t="shared" si="18"/>
        <v>56684.997894913176</v>
      </c>
      <c r="K49" s="24"/>
    </row>
    <row r="50" spans="1:11" x14ac:dyDescent="0.35">
      <c r="A50" s="28">
        <f t="shared" si="0"/>
        <v>4.0833333333333357</v>
      </c>
      <c r="B50" s="29">
        <f t="shared" si="13"/>
        <v>4.1083333333333333E-2</v>
      </c>
      <c r="C50" s="24"/>
      <c r="D50" s="36"/>
      <c r="E50" s="37"/>
      <c r="F50" s="37">
        <f t="shared" si="16"/>
        <v>3.5</v>
      </c>
      <c r="G50" s="37">
        <f t="shared" si="14"/>
        <v>10000</v>
      </c>
      <c r="H50" s="37">
        <f t="shared" si="17"/>
        <v>0.86931652142323146</v>
      </c>
      <c r="I50" s="37">
        <f t="shared" si="15"/>
        <v>8693.1652142323146</v>
      </c>
      <c r="J50" s="37">
        <f t="shared" si="18"/>
        <v>65378.163109145491</v>
      </c>
      <c r="K50" s="24"/>
    </row>
    <row r="51" spans="1:11" x14ac:dyDescent="0.35">
      <c r="A51" s="28">
        <f t="shared" si="0"/>
        <v>4.1666666666666687</v>
      </c>
      <c r="B51" s="29">
        <f t="shared" si="13"/>
        <v>4.1166666666666671E-2</v>
      </c>
      <c r="C51" s="24"/>
      <c r="D51" s="36"/>
      <c r="E51" s="37"/>
      <c r="F51" s="37">
        <f t="shared" si="16"/>
        <v>4</v>
      </c>
      <c r="G51" s="37">
        <f>$F$5*$G$5/$I$5+$F$5</f>
        <v>510000</v>
      </c>
      <c r="H51" s="37">
        <f t="shared" si="17"/>
        <v>0.85042846315175724</v>
      </c>
      <c r="I51" s="37">
        <f t="shared" si="15"/>
        <v>433718.51620739617</v>
      </c>
      <c r="J51" s="37">
        <f t="shared" si="18"/>
        <v>499096.67931654165</v>
      </c>
      <c r="K51" s="24"/>
    </row>
    <row r="52" spans="1:11" x14ac:dyDescent="0.35">
      <c r="A52" s="28">
        <f t="shared" si="0"/>
        <v>4.2500000000000018</v>
      </c>
      <c r="B52" s="29">
        <f t="shared" si="13"/>
        <v>4.1250000000000002E-2</v>
      </c>
      <c r="C52" s="24"/>
      <c r="D52" s="36"/>
      <c r="E52" s="40"/>
      <c r="F52" s="40"/>
      <c r="G52" s="40"/>
      <c r="H52" s="40"/>
      <c r="I52" s="40"/>
      <c r="J52" s="40"/>
      <c r="K52" s="24"/>
    </row>
    <row r="53" spans="1:11" x14ac:dyDescent="0.35">
      <c r="A53" s="28">
        <f t="shared" si="0"/>
        <v>4.3333333333333348</v>
      </c>
      <c r="B53" s="29">
        <f t="shared" si="13"/>
        <v>4.133333333333334E-2</v>
      </c>
      <c r="C53" s="24"/>
      <c r="D53" s="36"/>
      <c r="E53" s="39" t="s">
        <v>14</v>
      </c>
      <c r="F53" s="39" t="s">
        <v>25</v>
      </c>
      <c r="G53" s="39" t="s">
        <v>26</v>
      </c>
      <c r="H53" s="39" t="s">
        <v>8</v>
      </c>
      <c r="I53" s="39" t="s">
        <v>24</v>
      </c>
      <c r="J53" s="39" t="s">
        <v>27</v>
      </c>
      <c r="K53" s="24"/>
    </row>
    <row r="54" spans="1:11" x14ac:dyDescent="0.35">
      <c r="A54" s="28">
        <f t="shared" si="0"/>
        <v>4.4166666666666679</v>
      </c>
      <c r="B54" s="29">
        <f t="shared" si="13"/>
        <v>4.1416666666666664E-2</v>
      </c>
      <c r="C54" s="24"/>
      <c r="D54" s="36"/>
      <c r="E54" s="37"/>
      <c r="F54" s="37">
        <f>1/$I$6</f>
        <v>8.3333333333333329E-2</v>
      </c>
      <c r="G54" s="37">
        <f>$F$6/$I$6</f>
        <v>83333.333333333328</v>
      </c>
      <c r="H54" s="37">
        <f>1/(1+VLOOKUP(F54,$A$1:$B$121,2,1)/$I$6)^($I$6*F54)</f>
        <v>0.99916736053288935</v>
      </c>
      <c r="I54" s="37">
        <f>H54*G54</f>
        <v>83263.94671107411</v>
      </c>
      <c r="J54" s="37">
        <f>I54</f>
        <v>83263.94671107411</v>
      </c>
      <c r="K54" s="24"/>
    </row>
    <row r="55" spans="1:11" x14ac:dyDescent="0.35">
      <c r="A55" s="28">
        <f t="shared" si="0"/>
        <v>4.5000000000000009</v>
      </c>
      <c r="B55" s="29">
        <f t="shared" si="13"/>
        <v>4.1500000000000002E-2</v>
      </c>
      <c r="C55" s="24"/>
      <c r="D55" s="36"/>
      <c r="E55" s="37"/>
      <c r="F55" s="37">
        <f>F54+1/$I$6</f>
        <v>0.16666666666666666</v>
      </c>
      <c r="G55" s="37">
        <f t="shared" ref="G55:G118" si="19">$F$6/$I$6</f>
        <v>83333.333333333328</v>
      </c>
      <c r="H55" s="37">
        <f t="shared" ref="H55:H118" si="20">1/(1+VLOOKUP(F55,$A$1:$B$121,2,1)/$I$6)^($I$6*F55)</f>
        <v>0.99833541435426099</v>
      </c>
      <c r="I55" s="37">
        <f t="shared" ref="I55:I118" si="21">H55*G55</f>
        <v>83194.617862855084</v>
      </c>
      <c r="J55" s="37">
        <f>J54+I55</f>
        <v>166458.56457392918</v>
      </c>
      <c r="K55" s="24"/>
    </row>
    <row r="56" spans="1:11" x14ac:dyDescent="0.35">
      <c r="A56" s="28">
        <f t="shared" si="0"/>
        <v>4.5833333333333339</v>
      </c>
      <c r="B56" s="29">
        <f t="shared" si="13"/>
        <v>4.1583333333333333E-2</v>
      </c>
      <c r="C56" s="24"/>
      <c r="D56" s="36"/>
      <c r="E56" s="37"/>
      <c r="F56" s="37">
        <f t="shared" ref="F56:F119" si="22">F55+1/$I$6</f>
        <v>0.25</v>
      </c>
      <c r="G56" s="37">
        <f t="shared" si="19"/>
        <v>83333.333333333328</v>
      </c>
      <c r="H56" s="37">
        <f t="shared" si="20"/>
        <v>0.99750416088685534</v>
      </c>
      <c r="I56" s="37">
        <f t="shared" si="21"/>
        <v>83125.346740571273</v>
      </c>
      <c r="J56" s="37">
        <f t="shared" ref="J56:J119" si="23">J55+I56</f>
        <v>249583.91131450044</v>
      </c>
      <c r="K56" s="24"/>
    </row>
    <row r="57" spans="1:11" x14ac:dyDescent="0.35">
      <c r="A57" s="28">
        <f t="shared" si="0"/>
        <v>4.666666666666667</v>
      </c>
      <c r="B57" s="29">
        <f t="shared" si="13"/>
        <v>4.1666666666666671E-2</v>
      </c>
      <c r="C57" s="24"/>
      <c r="D57" s="36"/>
      <c r="E57" s="37"/>
      <c r="F57" s="37">
        <f t="shared" si="22"/>
        <v>0.33333333333333331</v>
      </c>
      <c r="G57" s="37">
        <f t="shared" si="19"/>
        <v>83333.333333333328</v>
      </c>
      <c r="H57" s="37">
        <f t="shared" si="20"/>
        <v>0.9966735995538939</v>
      </c>
      <c r="I57" s="37">
        <f t="shared" si="21"/>
        <v>83056.133296157815</v>
      </c>
      <c r="J57" s="37">
        <f t="shared" si="23"/>
        <v>332640.04461065825</v>
      </c>
      <c r="K57" s="24"/>
    </row>
    <row r="58" spans="1:11" x14ac:dyDescent="0.35">
      <c r="A58" s="28">
        <f t="shared" si="0"/>
        <v>4.75</v>
      </c>
      <c r="B58" s="29">
        <f t="shared" si="13"/>
        <v>4.1749999999999995E-2</v>
      </c>
      <c r="C58" s="24"/>
      <c r="D58" s="36"/>
      <c r="E58" s="37"/>
      <c r="F58" s="37">
        <f t="shared" si="22"/>
        <v>0.41666666666666663</v>
      </c>
      <c r="G58" s="37">
        <f t="shared" si="19"/>
        <v>83333.333333333328</v>
      </c>
      <c r="H58" s="37">
        <f t="shared" si="20"/>
        <v>0.99584372977907809</v>
      </c>
      <c r="I58" s="37">
        <f t="shared" si="21"/>
        <v>82986.977481589842</v>
      </c>
      <c r="J58" s="37">
        <f t="shared" si="23"/>
        <v>415627.02209224808</v>
      </c>
      <c r="K58" s="24"/>
    </row>
    <row r="59" spans="1:11" x14ac:dyDescent="0.35">
      <c r="A59" s="28">
        <f t="shared" si="0"/>
        <v>4.833333333333333</v>
      </c>
      <c r="B59" s="29">
        <f t="shared" si="13"/>
        <v>4.1833333333333333E-2</v>
      </c>
      <c r="C59" s="24"/>
      <c r="D59" s="36"/>
      <c r="E59" s="37"/>
      <c r="F59" s="37">
        <f t="shared" si="22"/>
        <v>0.49999999999999994</v>
      </c>
      <c r="G59" s="37">
        <f t="shared" si="19"/>
        <v>83333.333333333328</v>
      </c>
      <c r="H59" s="37">
        <f t="shared" si="20"/>
        <v>0.99501455098658931</v>
      </c>
      <c r="I59" s="37">
        <f t="shared" si="21"/>
        <v>82917.87924888244</v>
      </c>
      <c r="J59" s="37">
        <f t="shared" si="23"/>
        <v>498544.90134113049</v>
      </c>
      <c r="K59" s="24"/>
    </row>
    <row r="60" spans="1:11" x14ac:dyDescent="0.35">
      <c r="A60" s="28">
        <f t="shared" si="0"/>
        <v>4.9166666666666661</v>
      </c>
      <c r="B60" s="29">
        <f t="shared" si="13"/>
        <v>4.1916666666666665E-2</v>
      </c>
      <c r="C60" s="24"/>
      <c r="D60" s="36"/>
      <c r="E60" s="37"/>
      <c r="F60" s="37">
        <f t="shared" si="22"/>
        <v>0.58333333333333326</v>
      </c>
      <c r="G60" s="37">
        <f t="shared" si="19"/>
        <v>83333.333333333328</v>
      </c>
      <c r="H60" s="37">
        <f t="shared" si="20"/>
        <v>0.99322083348840418</v>
      </c>
      <c r="I60" s="37">
        <f t="shared" si="21"/>
        <v>82768.402790700347</v>
      </c>
      <c r="J60" s="37">
        <f t="shared" si="23"/>
        <v>581313.30413183081</v>
      </c>
      <c r="K60" s="24"/>
    </row>
    <row r="61" spans="1:11" x14ac:dyDescent="0.35">
      <c r="A61" s="30">
        <f t="shared" si="0"/>
        <v>4.9999999999999991</v>
      </c>
      <c r="B61" s="31">
        <v>4.2000000000000003E-2</v>
      </c>
      <c r="C61" s="24" t="s">
        <v>23</v>
      </c>
      <c r="D61" s="36"/>
      <c r="E61" s="37"/>
      <c r="F61" s="37">
        <f t="shared" si="22"/>
        <v>0.66666666666666663</v>
      </c>
      <c r="G61" s="37">
        <f t="shared" si="19"/>
        <v>83333.333333333328</v>
      </c>
      <c r="H61" s="37">
        <f t="shared" si="20"/>
        <v>0.99115539144813647</v>
      </c>
      <c r="I61" s="37">
        <f t="shared" si="21"/>
        <v>82596.28262067803</v>
      </c>
      <c r="J61" s="37">
        <f t="shared" si="23"/>
        <v>663909.58675250888</v>
      </c>
      <c r="K61" s="24"/>
    </row>
    <row r="62" spans="1:11" x14ac:dyDescent="0.35">
      <c r="A62" s="28">
        <f t="shared" si="0"/>
        <v>5.0833333333333321</v>
      </c>
      <c r="B62" s="29">
        <f>(A62*0.18+3.3)/100</f>
        <v>4.215E-2</v>
      </c>
      <c r="C62" s="24"/>
      <c r="D62" s="36"/>
      <c r="E62" s="37"/>
      <c r="F62" s="37">
        <f t="shared" si="22"/>
        <v>0.75</v>
      </c>
      <c r="G62" s="37">
        <f t="shared" si="19"/>
        <v>83333.333333333328</v>
      </c>
      <c r="H62" s="37">
        <f t="shared" si="20"/>
        <v>0.98881999143895516</v>
      </c>
      <c r="I62" s="37">
        <f t="shared" si="21"/>
        <v>82401.665953246265</v>
      </c>
      <c r="J62" s="37">
        <f t="shared" si="23"/>
        <v>746311.25270575518</v>
      </c>
      <c r="K62" s="24"/>
    </row>
    <row r="63" spans="1:11" x14ac:dyDescent="0.35">
      <c r="A63" s="28">
        <f t="shared" si="0"/>
        <v>5.1666666666666652</v>
      </c>
      <c r="B63" s="29">
        <f t="shared" ref="B63:B120" si="24">(A63*0.18+3.3)/100</f>
        <v>4.2299999999999997E-2</v>
      </c>
      <c r="C63" s="24"/>
      <c r="D63" s="36"/>
      <c r="E63" s="37"/>
      <c r="F63" s="37">
        <f t="shared" si="22"/>
        <v>0.83333333333333337</v>
      </c>
      <c r="G63" s="37">
        <f t="shared" si="19"/>
        <v>83333.333333333328</v>
      </c>
      <c r="H63" s="37">
        <f t="shared" si="20"/>
        <v>0.98621662001995236</v>
      </c>
      <c r="I63" s="37">
        <f t="shared" si="21"/>
        <v>82184.718334996025</v>
      </c>
      <c r="J63" s="37">
        <f t="shared" si="23"/>
        <v>828495.9710407512</v>
      </c>
      <c r="K63" s="24"/>
    </row>
    <row r="64" spans="1:11" x14ac:dyDescent="0.35">
      <c r="A64" s="28">
        <f t="shared" si="0"/>
        <v>5.2499999999999982</v>
      </c>
      <c r="B64" s="29">
        <f t="shared" si="24"/>
        <v>4.2449999999999995E-2</v>
      </c>
      <c r="C64" s="24"/>
      <c r="D64" s="36"/>
      <c r="E64" s="37"/>
      <c r="F64" s="37">
        <f t="shared" si="22"/>
        <v>0.91666666666666674</v>
      </c>
      <c r="G64" s="37">
        <f t="shared" si="19"/>
        <v>83333.333333333328</v>
      </c>
      <c r="H64" s="37">
        <f t="shared" si="20"/>
        <v>0.98334748092478486</v>
      </c>
      <c r="I64" s="37">
        <f t="shared" si="21"/>
        <v>81945.623410398737</v>
      </c>
      <c r="J64" s="37">
        <f t="shared" si="23"/>
        <v>910441.59445114993</v>
      </c>
      <c r="K64" s="24"/>
    </row>
    <row r="65" spans="1:11" x14ac:dyDescent="0.35">
      <c r="A65" s="28">
        <f t="shared" si="0"/>
        <v>5.3333333333333313</v>
      </c>
      <c r="B65" s="29">
        <f t="shared" si="24"/>
        <v>4.2599999999999999E-2</v>
      </c>
      <c r="C65" s="24"/>
      <c r="D65" s="36"/>
      <c r="E65" s="37"/>
      <c r="F65" s="37">
        <f t="shared" si="22"/>
        <v>1</v>
      </c>
      <c r="G65" s="37">
        <f t="shared" si="19"/>
        <v>83333.333333333328</v>
      </c>
      <c r="H65" s="37">
        <f t="shared" si="20"/>
        <v>0.98021499195797956</v>
      </c>
      <c r="I65" s="37">
        <f t="shared" si="21"/>
        <v>81684.582663164954</v>
      </c>
      <c r="J65" s="37">
        <f t="shared" si="23"/>
        <v>992126.17711431487</v>
      </c>
      <c r="K65" s="24"/>
    </row>
    <row r="66" spans="1:11" x14ac:dyDescent="0.35">
      <c r="A66" s="28">
        <f t="shared" si="0"/>
        <v>5.4166666666666643</v>
      </c>
      <c r="B66" s="29">
        <f t="shared" si="24"/>
        <v>4.2749999999999996E-2</v>
      </c>
      <c r="C66" s="24"/>
      <c r="D66" s="36"/>
      <c r="E66" s="37"/>
      <c r="F66" s="37">
        <f t="shared" si="22"/>
        <v>1.0833333333333333</v>
      </c>
      <c r="G66" s="37">
        <f t="shared" si="19"/>
        <v>83333.333333333328</v>
      </c>
      <c r="H66" s="37">
        <f t="shared" si="20"/>
        <v>0.97726202022338793</v>
      </c>
      <c r="I66" s="37">
        <f t="shared" si="21"/>
        <v>81438.501685282317</v>
      </c>
      <c r="J66" s="37">
        <f t="shared" si="23"/>
        <v>1073564.6787995971</v>
      </c>
      <c r="K66" s="24"/>
    </row>
    <row r="67" spans="1:11" x14ac:dyDescent="0.35">
      <c r="A67" s="28">
        <f t="shared" si="0"/>
        <v>5.4999999999999973</v>
      </c>
      <c r="B67" s="29">
        <f t="shared" si="24"/>
        <v>4.2899999999999994E-2</v>
      </c>
      <c r="C67" s="24"/>
      <c r="D67" s="36"/>
      <c r="E67" s="37"/>
      <c r="F67" s="37">
        <f t="shared" si="22"/>
        <v>1.1666666666666665</v>
      </c>
      <c r="G67" s="37">
        <f t="shared" si="19"/>
        <v>83333.333333333328</v>
      </c>
      <c r="H67" s="37">
        <f t="shared" si="20"/>
        <v>0.97411547843725788</v>
      </c>
      <c r="I67" s="37">
        <f t="shared" si="21"/>
        <v>81176.289869771485</v>
      </c>
      <c r="J67" s="37">
        <f t="shared" si="23"/>
        <v>1154740.9686693687</v>
      </c>
      <c r="K67" s="24"/>
    </row>
    <row r="68" spans="1:11" x14ac:dyDescent="0.35">
      <c r="A68" s="28">
        <f t="shared" ref="A68:A121" si="25">A67+1/12</f>
        <v>5.5833333333333304</v>
      </c>
      <c r="B68" s="29">
        <f t="shared" si="24"/>
        <v>4.3049999999999998E-2</v>
      </c>
      <c r="C68" s="24"/>
      <c r="D68" s="36"/>
      <c r="E68" s="37"/>
      <c r="F68" s="37">
        <f t="shared" si="22"/>
        <v>1.2499999999999998</v>
      </c>
      <c r="G68" s="37">
        <f t="shared" si="19"/>
        <v>83333.333333333328</v>
      </c>
      <c r="H68" s="37">
        <f t="shared" si="20"/>
        <v>0.97077732691950347</v>
      </c>
      <c r="I68" s="37">
        <f t="shared" si="21"/>
        <v>80898.110576625288</v>
      </c>
      <c r="J68" s="37">
        <f t="shared" si="23"/>
        <v>1235639.0792459939</v>
      </c>
      <c r="K68" s="24"/>
    </row>
    <row r="69" spans="1:11" x14ac:dyDescent="0.35">
      <c r="A69" s="28">
        <f t="shared" si="25"/>
        <v>5.6666666666666634</v>
      </c>
      <c r="B69" s="29">
        <f t="shared" si="24"/>
        <v>4.3199999999999995E-2</v>
      </c>
      <c r="C69" s="24"/>
      <c r="D69" s="36"/>
      <c r="E69" s="37"/>
      <c r="F69" s="37">
        <f t="shared" si="22"/>
        <v>1.333333333333333</v>
      </c>
      <c r="G69" s="37">
        <f t="shared" si="19"/>
        <v>83333.333333333328</v>
      </c>
      <c r="H69" s="37">
        <f t="shared" si="20"/>
        <v>0.96724963838429212</v>
      </c>
      <c r="I69" s="37">
        <f t="shared" si="21"/>
        <v>80604.136532024335</v>
      </c>
      <c r="J69" s="37">
        <f t="shared" si="23"/>
        <v>1316243.2157780181</v>
      </c>
      <c r="K69" s="24"/>
    </row>
    <row r="70" spans="1:11" x14ac:dyDescent="0.35">
      <c r="A70" s="28">
        <f t="shared" si="25"/>
        <v>5.7499999999999964</v>
      </c>
      <c r="B70" s="29">
        <f t="shared" si="24"/>
        <v>4.3349999999999993E-2</v>
      </c>
      <c r="C70" s="24"/>
      <c r="D70" s="36"/>
      <c r="E70" s="37"/>
      <c r="F70" s="37">
        <f t="shared" si="22"/>
        <v>1.4166666666666663</v>
      </c>
      <c r="G70" s="37">
        <f t="shared" si="19"/>
        <v>83333.333333333328</v>
      </c>
      <c r="H70" s="37">
        <f t="shared" si="20"/>
        <v>0.96353459579867695</v>
      </c>
      <c r="I70" s="37">
        <f t="shared" si="21"/>
        <v>80294.549649889741</v>
      </c>
      <c r="J70" s="37">
        <f t="shared" si="23"/>
        <v>1396537.7654279079</v>
      </c>
      <c r="K70" s="24"/>
    </row>
    <row r="71" spans="1:11" x14ac:dyDescent="0.35">
      <c r="A71" s="28">
        <f t="shared" si="25"/>
        <v>5.8333333333333295</v>
      </c>
      <c r="B71" s="29">
        <f t="shared" si="24"/>
        <v>4.3499999999999997E-2</v>
      </c>
      <c r="C71" s="24"/>
      <c r="D71" s="36"/>
      <c r="E71" s="37"/>
      <c r="F71" s="37">
        <f t="shared" si="22"/>
        <v>1.4999999999999996</v>
      </c>
      <c r="G71" s="37">
        <f t="shared" si="19"/>
        <v>83333.333333333328</v>
      </c>
      <c r="H71" s="37">
        <f t="shared" si="20"/>
        <v>0.95963449013513824</v>
      </c>
      <c r="I71" s="37">
        <f t="shared" si="21"/>
        <v>79969.540844594841</v>
      </c>
      <c r="J71" s="37">
        <f t="shared" si="23"/>
        <v>1476507.3062725028</v>
      </c>
      <c r="K71" s="24"/>
    </row>
    <row r="72" spans="1:11" x14ac:dyDescent="0.35">
      <c r="A72" s="28">
        <f t="shared" si="25"/>
        <v>5.9166666666666625</v>
      </c>
      <c r="B72" s="29">
        <f t="shared" si="24"/>
        <v>4.3649999999999994E-2</v>
      </c>
      <c r="C72" s="24"/>
      <c r="D72" s="36"/>
      <c r="E72" s="37"/>
      <c r="F72" s="37">
        <f t="shared" si="22"/>
        <v>1.5833333333333328</v>
      </c>
      <c r="G72" s="37">
        <f t="shared" si="19"/>
        <v>83333.333333333328</v>
      </c>
      <c r="H72" s="37">
        <f t="shared" si="20"/>
        <v>0.95555171802134808</v>
      </c>
      <c r="I72" s="37">
        <f t="shared" si="21"/>
        <v>79629.309835112334</v>
      </c>
      <c r="J72" s="37">
        <f t="shared" si="23"/>
        <v>1556136.6161076152</v>
      </c>
      <c r="K72" s="24"/>
    </row>
    <row r="73" spans="1:11" x14ac:dyDescent="0.35">
      <c r="A73" s="28">
        <f t="shared" si="25"/>
        <v>5.9999999999999956</v>
      </c>
      <c r="B73" s="29">
        <f t="shared" si="24"/>
        <v>4.3799999999999992E-2</v>
      </c>
      <c r="C73" s="24"/>
      <c r="D73" s="36"/>
      <c r="E73" s="37"/>
      <c r="F73" s="37">
        <f t="shared" si="22"/>
        <v>1.6666666666666661</v>
      </c>
      <c r="G73" s="37">
        <f t="shared" si="19"/>
        <v>83333.333333333328</v>
      </c>
      <c r="H73" s="37">
        <f t="shared" si="20"/>
        <v>0.95128877929049638</v>
      </c>
      <c r="I73" s="37">
        <f t="shared" si="21"/>
        <v>79274.064940874698</v>
      </c>
      <c r="J73" s="37">
        <f t="shared" si="23"/>
        <v>1635410.6810484899</v>
      </c>
      <c r="K73" s="24"/>
    </row>
    <row r="74" spans="1:11" x14ac:dyDescent="0.35">
      <c r="A74" s="28">
        <f t="shared" si="25"/>
        <v>6.0833333333333286</v>
      </c>
      <c r="B74" s="29">
        <f t="shared" si="24"/>
        <v>4.3949999999999989E-2</v>
      </c>
      <c r="C74" s="24"/>
      <c r="D74" s="36"/>
      <c r="E74" s="37"/>
      <c r="F74" s="37">
        <f t="shared" si="22"/>
        <v>1.7499999999999993</v>
      </c>
      <c r="G74" s="37">
        <f t="shared" si="19"/>
        <v>83333.333333333328</v>
      </c>
      <c r="H74" s="37">
        <f t="shared" si="20"/>
        <v>0.94684827443563635</v>
      </c>
      <c r="I74" s="37">
        <f t="shared" si="21"/>
        <v>78904.022869636363</v>
      </c>
      <c r="J74" s="37">
        <f t="shared" si="23"/>
        <v>1714314.7039181262</v>
      </c>
      <c r="K74" s="24"/>
    </row>
    <row r="75" spans="1:11" x14ac:dyDescent="0.35">
      <c r="A75" s="28">
        <f t="shared" si="25"/>
        <v>6.1666666666666616</v>
      </c>
      <c r="B75" s="29">
        <f t="shared" si="24"/>
        <v>4.4099999999999986E-2</v>
      </c>
      <c r="C75" s="24"/>
      <c r="D75" s="36"/>
      <c r="E75" s="37"/>
      <c r="F75" s="37">
        <f t="shared" si="22"/>
        <v>1.8333333333333326</v>
      </c>
      <c r="G75" s="37">
        <f t="shared" si="19"/>
        <v>83333.333333333328</v>
      </c>
      <c r="H75" s="37">
        <f t="shared" si="20"/>
        <v>0.94223290197176901</v>
      </c>
      <c r="I75" s="37">
        <f t="shared" si="21"/>
        <v>78519.408497647411</v>
      </c>
      <c r="J75" s="37">
        <f t="shared" si="23"/>
        <v>1792834.1124157736</v>
      </c>
      <c r="K75" s="24"/>
    </row>
    <row r="76" spans="1:11" x14ac:dyDescent="0.35">
      <c r="A76" s="28">
        <f t="shared" si="25"/>
        <v>6.2499999999999947</v>
      </c>
      <c r="B76" s="29">
        <f t="shared" si="24"/>
        <v>4.4249999999999991E-2</v>
      </c>
      <c r="C76" s="24"/>
      <c r="D76" s="36"/>
      <c r="E76" s="37"/>
      <c r="F76" s="37">
        <f t="shared" si="22"/>
        <v>1.9166666666666659</v>
      </c>
      <c r="G76" s="37">
        <f t="shared" si="19"/>
        <v>83333.333333333328</v>
      </c>
      <c r="H76" s="37">
        <f t="shared" si="20"/>
        <v>0.93744545570927651</v>
      </c>
      <c r="I76" s="37">
        <f t="shared" si="21"/>
        <v>78120.454642439698</v>
      </c>
      <c r="J76" s="37">
        <f t="shared" si="23"/>
        <v>1870954.5670582133</v>
      </c>
      <c r="K76" s="24"/>
    </row>
    <row r="77" spans="1:11" x14ac:dyDescent="0.35">
      <c r="A77" s="28">
        <f t="shared" si="25"/>
        <v>6.3333333333333277</v>
      </c>
      <c r="B77" s="29">
        <f t="shared" si="24"/>
        <v>4.4399999999999988E-2</v>
      </c>
      <c r="C77" s="24"/>
      <c r="D77" s="36"/>
      <c r="E77" s="37"/>
      <c r="F77" s="37">
        <f t="shared" si="22"/>
        <v>1.9999999999999991</v>
      </c>
      <c r="G77" s="37">
        <f t="shared" si="19"/>
        <v>83333.333333333328</v>
      </c>
      <c r="H77" s="37">
        <f t="shared" si="20"/>
        <v>0.93248882194268978</v>
      </c>
      <c r="I77" s="37">
        <f t="shared" si="21"/>
        <v>77707.401828557471</v>
      </c>
      <c r="J77" s="37">
        <f t="shared" si="23"/>
        <v>1948661.9688867708</v>
      </c>
      <c r="K77" s="24"/>
    </row>
    <row r="78" spans="1:11" x14ac:dyDescent="0.35">
      <c r="A78" s="28">
        <f t="shared" si="25"/>
        <v>6.4166666666666607</v>
      </c>
      <c r="B78" s="29">
        <f t="shared" si="24"/>
        <v>4.4549999999999985E-2</v>
      </c>
      <c r="C78" s="24"/>
      <c r="D78" s="36"/>
      <c r="E78" s="37"/>
      <c r="F78" s="37">
        <f t="shared" si="22"/>
        <v>2.0833333333333326</v>
      </c>
      <c r="G78" s="37">
        <f t="shared" si="19"/>
        <v>83333.333333333328</v>
      </c>
      <c r="H78" s="37">
        <f t="shared" si="20"/>
        <v>0.92897258364980373</v>
      </c>
      <c r="I78" s="37">
        <f t="shared" si="21"/>
        <v>77414.381970816976</v>
      </c>
      <c r="J78" s="37">
        <f t="shared" si="23"/>
        <v>2026076.3508575878</v>
      </c>
      <c r="K78" s="24"/>
    </row>
    <row r="79" spans="1:11" x14ac:dyDescent="0.35">
      <c r="A79" s="28">
        <f t="shared" si="25"/>
        <v>6.4999999999999938</v>
      </c>
      <c r="B79" s="29">
        <f t="shared" si="24"/>
        <v>4.469999999999999E-2</v>
      </c>
      <c r="C79" s="24"/>
      <c r="D79" s="36"/>
      <c r="E79" s="37"/>
      <c r="F79" s="37">
        <f t="shared" si="22"/>
        <v>2.1666666666666661</v>
      </c>
      <c r="G79" s="37">
        <f t="shared" si="19"/>
        <v>83333.333333333328</v>
      </c>
      <c r="H79" s="37">
        <f t="shared" si="20"/>
        <v>0.9254055547720863</v>
      </c>
      <c r="I79" s="37">
        <f t="shared" si="21"/>
        <v>77117.129564340517</v>
      </c>
      <c r="J79" s="37">
        <f t="shared" si="23"/>
        <v>2103193.4804219282</v>
      </c>
      <c r="K79" s="24"/>
    </row>
    <row r="80" spans="1:11" x14ac:dyDescent="0.35">
      <c r="A80" s="28">
        <f t="shared" si="25"/>
        <v>6.5833333333333268</v>
      </c>
      <c r="B80" s="29">
        <f t="shared" si="24"/>
        <v>4.4849999999999987E-2</v>
      </c>
      <c r="C80" s="24"/>
      <c r="D80" s="36"/>
      <c r="E80" s="37"/>
      <c r="F80" s="37">
        <f t="shared" si="22"/>
        <v>2.2499999999999996</v>
      </c>
      <c r="G80" s="37">
        <f t="shared" si="19"/>
        <v>83333.333333333328</v>
      </c>
      <c r="H80" s="37">
        <f t="shared" si="20"/>
        <v>0.92178842642945003</v>
      </c>
      <c r="I80" s="37">
        <f t="shared" si="21"/>
        <v>76815.702202454166</v>
      </c>
      <c r="J80" s="37">
        <f t="shared" si="23"/>
        <v>2180009.1826243824</v>
      </c>
      <c r="K80" s="24"/>
    </row>
    <row r="81" spans="1:11" x14ac:dyDescent="0.35">
      <c r="A81" s="28">
        <f t="shared" si="25"/>
        <v>6.6666666666666599</v>
      </c>
      <c r="B81" s="29">
        <f t="shared" si="24"/>
        <v>4.4999999999999984E-2</v>
      </c>
      <c r="C81" s="24"/>
      <c r="D81" s="36"/>
      <c r="E81" s="37"/>
      <c r="F81" s="37">
        <f t="shared" si="22"/>
        <v>2.333333333333333</v>
      </c>
      <c r="G81" s="37">
        <f t="shared" si="19"/>
        <v>83333.333333333328</v>
      </c>
      <c r="H81" s="37">
        <f t="shared" si="20"/>
        <v>0.91812189740637751</v>
      </c>
      <c r="I81" s="37">
        <f t="shared" si="21"/>
        <v>76510.158117198123</v>
      </c>
      <c r="J81" s="37">
        <f t="shared" si="23"/>
        <v>2256519.3407415804</v>
      </c>
      <c r="K81" s="24"/>
    </row>
    <row r="82" spans="1:11" x14ac:dyDescent="0.35">
      <c r="A82" s="28">
        <f t="shared" si="25"/>
        <v>6.7499999999999929</v>
      </c>
      <c r="B82" s="29">
        <f t="shared" si="24"/>
        <v>4.5149999999999989E-2</v>
      </c>
      <c r="C82" s="24"/>
      <c r="D82" s="36"/>
      <c r="E82" s="37"/>
      <c r="F82" s="37">
        <f t="shared" si="22"/>
        <v>2.4166666666666665</v>
      </c>
      <c r="G82" s="37">
        <f t="shared" si="19"/>
        <v>83333.333333333328</v>
      </c>
      <c r="H82" s="37">
        <f t="shared" si="20"/>
        <v>0.91440667392789343</v>
      </c>
      <c r="I82" s="37">
        <f t="shared" si="21"/>
        <v>76200.556160657783</v>
      </c>
      <c r="J82" s="37">
        <f t="shared" si="23"/>
        <v>2332719.896902238</v>
      </c>
      <c r="K82" s="24"/>
    </row>
    <row r="83" spans="1:11" x14ac:dyDescent="0.35">
      <c r="A83" s="28">
        <f t="shared" si="25"/>
        <v>6.8333333333333259</v>
      </c>
      <c r="B83" s="29">
        <f t="shared" si="24"/>
        <v>4.5299999999999986E-2</v>
      </c>
      <c r="C83" s="24"/>
      <c r="D83" s="36"/>
      <c r="E83" s="37"/>
      <c r="F83" s="37">
        <f t="shared" si="22"/>
        <v>2.5</v>
      </c>
      <c r="G83" s="37">
        <f t="shared" si="19"/>
        <v>83333.333333333328</v>
      </c>
      <c r="H83" s="37">
        <f t="shared" si="20"/>
        <v>0.9106434694337886</v>
      </c>
      <c r="I83" s="37">
        <f t="shared" si="21"/>
        <v>75886.955786149047</v>
      </c>
      <c r="J83" s="37">
        <f t="shared" si="23"/>
        <v>2408606.852688387</v>
      </c>
      <c r="K83" s="24"/>
    </row>
    <row r="84" spans="1:11" x14ac:dyDescent="0.35">
      <c r="A84" s="28">
        <f t="shared" si="25"/>
        <v>6.916666666666659</v>
      </c>
      <c r="B84" s="29">
        <f t="shared" si="24"/>
        <v>4.5449999999999983E-2</v>
      </c>
      <c r="C84" s="24"/>
      <c r="D84" s="36"/>
      <c r="E84" s="37"/>
      <c r="F84" s="37">
        <f t="shared" si="22"/>
        <v>2.5833333333333335</v>
      </c>
      <c r="G84" s="37">
        <f t="shared" si="19"/>
        <v>83333.333333333328</v>
      </c>
      <c r="H84" s="37">
        <f t="shared" si="20"/>
        <v>0.90683300435137171</v>
      </c>
      <c r="I84" s="37">
        <f t="shared" si="21"/>
        <v>75569.417029280972</v>
      </c>
      <c r="J84" s="37">
        <f t="shared" si="23"/>
        <v>2484176.2697176682</v>
      </c>
      <c r="K84" s="24"/>
    </row>
    <row r="85" spans="1:11" x14ac:dyDescent="0.35">
      <c r="A85" s="28">
        <f t="shared" si="25"/>
        <v>6.999999999999992</v>
      </c>
      <c r="B85" s="29">
        <f t="shared" si="24"/>
        <v>4.5599999999999988E-2</v>
      </c>
      <c r="C85" s="24"/>
      <c r="D85" s="36"/>
      <c r="E85" s="37"/>
      <c r="F85" s="37">
        <f t="shared" si="22"/>
        <v>2.666666666666667</v>
      </c>
      <c r="G85" s="37">
        <f t="shared" si="19"/>
        <v>83333.333333333328</v>
      </c>
      <c r="H85" s="37">
        <f t="shared" si="20"/>
        <v>0.90297600586666882</v>
      </c>
      <c r="I85" s="37">
        <f t="shared" si="21"/>
        <v>75248.000488889069</v>
      </c>
      <c r="J85" s="37">
        <f t="shared" si="23"/>
        <v>2559424.2702065571</v>
      </c>
      <c r="K85" s="24"/>
    </row>
    <row r="86" spans="1:11" x14ac:dyDescent="0.35">
      <c r="A86" s="28">
        <f t="shared" si="25"/>
        <v>7.083333333333325</v>
      </c>
      <c r="B86" s="29">
        <f t="shared" si="24"/>
        <v>4.5749999999999985E-2</v>
      </c>
      <c r="C86" s="24"/>
      <c r="D86" s="36"/>
      <c r="E86" s="37"/>
      <c r="F86" s="37">
        <f t="shared" si="22"/>
        <v>2.7500000000000004</v>
      </c>
      <c r="G86" s="37">
        <f t="shared" si="19"/>
        <v>83333.333333333328</v>
      </c>
      <c r="H86" s="37">
        <f t="shared" si="20"/>
        <v>0.89907320769437504</v>
      </c>
      <c r="I86" s="37">
        <f t="shared" si="21"/>
        <v>74922.767307864589</v>
      </c>
      <c r="J86" s="37">
        <f t="shared" si="23"/>
        <v>2634347.0375144216</v>
      </c>
      <c r="K86" s="24"/>
    </row>
    <row r="87" spans="1:11" x14ac:dyDescent="0.35">
      <c r="A87" s="28">
        <f t="shared" si="25"/>
        <v>7.1666666666666581</v>
      </c>
      <c r="B87" s="29">
        <f t="shared" si="24"/>
        <v>4.5899999999999982E-2</v>
      </c>
      <c r="C87" s="24"/>
      <c r="D87" s="36"/>
      <c r="E87" s="37"/>
      <c r="F87" s="37">
        <f t="shared" si="22"/>
        <v>2.8333333333333339</v>
      </c>
      <c r="G87" s="37">
        <f t="shared" si="19"/>
        <v>83333.333333333328</v>
      </c>
      <c r="H87" s="37">
        <f t="shared" si="20"/>
        <v>0.89512534984642023</v>
      </c>
      <c r="I87" s="37">
        <f t="shared" si="21"/>
        <v>74593.779153868352</v>
      </c>
      <c r="J87" s="37">
        <f t="shared" si="23"/>
        <v>2708940.8166682902</v>
      </c>
      <c r="K87" s="24"/>
    </row>
    <row r="88" spans="1:11" x14ac:dyDescent="0.35">
      <c r="A88" s="28">
        <f t="shared" si="25"/>
        <v>7.2499999999999911</v>
      </c>
      <c r="B88" s="29">
        <f t="shared" si="24"/>
        <v>4.6049999999999987E-2</v>
      </c>
      <c r="C88" s="24"/>
      <c r="D88" s="36"/>
      <c r="E88" s="37"/>
      <c r="F88" s="37">
        <f t="shared" si="22"/>
        <v>2.9166666666666674</v>
      </c>
      <c r="G88" s="37">
        <f t="shared" si="19"/>
        <v>83333.333333333328</v>
      </c>
      <c r="H88" s="37">
        <f t="shared" si="20"/>
        <v>0.89113317839951411</v>
      </c>
      <c r="I88" s="37">
        <f t="shared" si="21"/>
        <v>74261.09819995951</v>
      </c>
      <c r="J88" s="37">
        <f t="shared" si="23"/>
        <v>2783201.9148682496</v>
      </c>
      <c r="K88" s="24"/>
    </row>
    <row r="89" spans="1:11" x14ac:dyDescent="0.35">
      <c r="A89" s="28">
        <f t="shared" si="25"/>
        <v>7.3333333333333242</v>
      </c>
      <c r="B89" s="29">
        <f t="shared" si="24"/>
        <v>4.6199999999999984E-2</v>
      </c>
      <c r="C89" s="24"/>
      <c r="D89" s="36"/>
      <c r="E89" s="37"/>
      <c r="F89" s="37">
        <f t="shared" si="22"/>
        <v>3.0000000000000009</v>
      </c>
      <c r="G89" s="37">
        <f t="shared" si="19"/>
        <v>83333.333333333328</v>
      </c>
      <c r="H89" s="37">
        <f t="shared" si="20"/>
        <v>0.88709744526151413</v>
      </c>
      <c r="I89" s="37">
        <f t="shared" si="21"/>
        <v>73924.787105126175</v>
      </c>
      <c r="J89" s="37">
        <f t="shared" si="23"/>
        <v>2857126.7019733759</v>
      </c>
      <c r="K89" s="24"/>
    </row>
    <row r="90" spans="1:11" x14ac:dyDescent="0.35">
      <c r="A90" s="28">
        <f t="shared" si="25"/>
        <v>7.4166666666666572</v>
      </c>
      <c r="B90" s="29">
        <f t="shared" si="24"/>
        <v>4.6349999999999981E-2</v>
      </c>
      <c r="C90" s="24"/>
      <c r="D90" s="36"/>
      <c r="E90" s="37"/>
      <c r="F90" s="37">
        <f t="shared" si="22"/>
        <v>3.0833333333333344</v>
      </c>
      <c r="G90" s="37">
        <f t="shared" si="19"/>
        <v>83333.333333333328</v>
      </c>
      <c r="H90" s="37">
        <f t="shared" si="20"/>
        <v>0.88392388468320826</v>
      </c>
      <c r="I90" s="37">
        <f t="shared" si="21"/>
        <v>73660.323723600683</v>
      </c>
      <c r="J90" s="37">
        <f t="shared" si="23"/>
        <v>2930787.0256969766</v>
      </c>
      <c r="K90" s="24"/>
    </row>
    <row r="91" spans="1:11" x14ac:dyDescent="0.35">
      <c r="A91" s="28">
        <f t="shared" si="25"/>
        <v>7.4999999999999902</v>
      </c>
      <c r="B91" s="29">
        <f t="shared" si="24"/>
        <v>4.6499999999999979E-2</v>
      </c>
      <c r="C91" s="24"/>
      <c r="D91" s="36"/>
      <c r="E91" s="37"/>
      <c r="F91" s="37">
        <f t="shared" si="22"/>
        <v>3.1666666666666679</v>
      </c>
      <c r="G91" s="37">
        <f t="shared" si="19"/>
        <v>83333.333333333328</v>
      </c>
      <c r="H91" s="37">
        <f t="shared" si="20"/>
        <v>0.88074948697798139</v>
      </c>
      <c r="I91" s="37">
        <f t="shared" si="21"/>
        <v>73395.790581498441</v>
      </c>
      <c r="J91" s="37">
        <f t="shared" si="23"/>
        <v>3004182.8162784749</v>
      </c>
      <c r="K91" s="24"/>
    </row>
    <row r="92" spans="1:11" x14ac:dyDescent="0.35">
      <c r="A92" s="28">
        <f t="shared" si="25"/>
        <v>7.5833333333333233</v>
      </c>
      <c r="B92" s="29">
        <f t="shared" si="24"/>
        <v>4.6649999999999983E-2</v>
      </c>
      <c r="C92" s="24"/>
      <c r="D92" s="36"/>
      <c r="E92" s="37"/>
      <c r="F92" s="37">
        <f t="shared" si="22"/>
        <v>3.2500000000000013</v>
      </c>
      <c r="G92" s="37">
        <f t="shared" si="19"/>
        <v>83333.333333333328</v>
      </c>
      <c r="H92" s="37">
        <f t="shared" si="20"/>
        <v>0.87757434299277026</v>
      </c>
      <c r="I92" s="37">
        <f t="shared" si="21"/>
        <v>73131.195249397511</v>
      </c>
      <c r="J92" s="37">
        <f t="shared" si="23"/>
        <v>3077314.0115278722</v>
      </c>
      <c r="K92" s="24"/>
    </row>
    <row r="93" spans="1:11" x14ac:dyDescent="0.35">
      <c r="A93" s="28">
        <f t="shared" si="25"/>
        <v>7.6666666666666563</v>
      </c>
      <c r="B93" s="29">
        <f t="shared" si="24"/>
        <v>4.6799999999999981E-2</v>
      </c>
      <c r="C93" s="24"/>
      <c r="D93" s="36"/>
      <c r="E93" s="37"/>
      <c r="F93" s="37">
        <f t="shared" si="22"/>
        <v>3.3333333333333348</v>
      </c>
      <c r="G93" s="37">
        <f t="shared" si="19"/>
        <v>83333.333333333328</v>
      </c>
      <c r="H93" s="37">
        <f t="shared" si="20"/>
        <v>0.87439854327721711</v>
      </c>
      <c r="I93" s="37">
        <f t="shared" si="21"/>
        <v>72866.545273101423</v>
      </c>
      <c r="J93" s="37">
        <f t="shared" si="23"/>
        <v>3150180.5568009736</v>
      </c>
      <c r="K93" s="24"/>
    </row>
    <row r="94" spans="1:11" x14ac:dyDescent="0.35">
      <c r="A94" s="28">
        <f t="shared" si="25"/>
        <v>7.7499999999999893</v>
      </c>
      <c r="B94" s="29">
        <f t="shared" si="24"/>
        <v>4.6949999999999978E-2</v>
      </c>
      <c r="C94" s="24"/>
      <c r="D94" s="36"/>
      <c r="E94" s="37"/>
      <c r="F94" s="37">
        <f t="shared" si="22"/>
        <v>3.4166666666666683</v>
      </c>
      <c r="G94" s="37">
        <f t="shared" si="19"/>
        <v>83333.333333333328</v>
      </c>
      <c r="H94" s="37">
        <f t="shared" si="20"/>
        <v>0.8712221780796916</v>
      </c>
      <c r="I94" s="37">
        <f t="shared" si="21"/>
        <v>72601.848173307633</v>
      </c>
      <c r="J94" s="37">
        <f t="shared" si="23"/>
        <v>3222782.4049742813</v>
      </c>
      <c r="K94" s="24"/>
    </row>
    <row r="95" spans="1:11" x14ac:dyDescent="0.35">
      <c r="A95" s="28">
        <f t="shared" si="25"/>
        <v>7.8333333333333224</v>
      </c>
      <c r="B95" s="29">
        <f t="shared" si="24"/>
        <v>4.7099999999999975E-2</v>
      </c>
      <c r="C95" s="24"/>
      <c r="D95" s="36"/>
      <c r="E95" s="37"/>
      <c r="F95" s="37">
        <f t="shared" si="22"/>
        <v>3.5000000000000018</v>
      </c>
      <c r="G95" s="37">
        <f t="shared" si="19"/>
        <v>83333.333333333328</v>
      </c>
      <c r="H95" s="37">
        <f t="shared" si="20"/>
        <v>0.86804533734342348</v>
      </c>
      <c r="I95" s="37">
        <f t="shared" si="21"/>
        <v>72337.111445285293</v>
      </c>
      <c r="J95" s="37">
        <f t="shared" si="23"/>
        <v>3295119.5164195667</v>
      </c>
      <c r="K95" s="24"/>
    </row>
    <row r="96" spans="1:11" x14ac:dyDescent="0.35">
      <c r="A96" s="28">
        <f t="shared" si="25"/>
        <v>7.9166666666666554</v>
      </c>
      <c r="B96" s="29">
        <f t="shared" si="24"/>
        <v>4.724999999999998E-2</v>
      </c>
      <c r="C96" s="24"/>
      <c r="D96" s="36"/>
      <c r="E96" s="37"/>
      <c r="F96" s="37">
        <f t="shared" si="22"/>
        <v>3.5833333333333353</v>
      </c>
      <c r="G96" s="37">
        <f t="shared" si="19"/>
        <v>83333.333333333328</v>
      </c>
      <c r="H96" s="37">
        <f t="shared" si="20"/>
        <v>0.86486811070262459</v>
      </c>
      <c r="I96" s="37">
        <f t="shared" si="21"/>
        <v>72072.342558552045</v>
      </c>
      <c r="J96" s="37">
        <f t="shared" si="23"/>
        <v>3367191.8589781187</v>
      </c>
      <c r="K96" s="24"/>
    </row>
    <row r="97" spans="1:11" x14ac:dyDescent="0.35">
      <c r="A97" s="28">
        <f t="shared" si="25"/>
        <v>7.9999999999999885</v>
      </c>
      <c r="B97" s="29">
        <f t="shared" si="24"/>
        <v>4.7399999999999977E-2</v>
      </c>
      <c r="C97" s="24"/>
      <c r="D97" s="36"/>
      <c r="E97" s="37"/>
      <c r="F97" s="37">
        <f t="shared" si="22"/>
        <v>3.6666666666666687</v>
      </c>
      <c r="G97" s="37">
        <f t="shared" si="19"/>
        <v>83333.333333333328</v>
      </c>
      <c r="H97" s="37">
        <f t="shared" si="20"/>
        <v>0.86169058747869487</v>
      </c>
      <c r="I97" s="37">
        <f t="shared" si="21"/>
        <v>71807.548956557905</v>
      </c>
      <c r="J97" s="37">
        <f t="shared" si="23"/>
        <v>3438999.4079346769</v>
      </c>
      <c r="K97" s="24"/>
    </row>
    <row r="98" spans="1:11" x14ac:dyDescent="0.35">
      <c r="A98" s="28">
        <f t="shared" si="25"/>
        <v>8.0833333333333215</v>
      </c>
      <c r="B98" s="29">
        <f t="shared" si="24"/>
        <v>4.7549999999999974E-2</v>
      </c>
      <c r="C98" s="24"/>
      <c r="D98" s="36"/>
      <c r="E98" s="37"/>
      <c r="F98" s="37">
        <f t="shared" si="22"/>
        <v>3.7500000000000022</v>
      </c>
      <c r="G98" s="37">
        <f t="shared" si="19"/>
        <v>83333.333333333328</v>
      </c>
      <c r="H98" s="37">
        <f t="shared" si="20"/>
        <v>0.85851285667638233</v>
      </c>
      <c r="I98" s="37">
        <f t="shared" si="21"/>
        <v>71542.738056365197</v>
      </c>
      <c r="J98" s="37">
        <f t="shared" si="23"/>
        <v>3510542.1459910423</v>
      </c>
      <c r="K98" s="24"/>
    </row>
    <row r="99" spans="1:11" x14ac:dyDescent="0.35">
      <c r="A99" s="28">
        <f t="shared" si="25"/>
        <v>8.1666666666666554</v>
      </c>
      <c r="B99" s="29">
        <f t="shared" si="24"/>
        <v>4.7699999999999979E-2</v>
      </c>
      <c r="C99" s="24"/>
      <c r="D99" s="36"/>
      <c r="E99" s="37"/>
      <c r="F99" s="37">
        <f t="shared" si="22"/>
        <v>3.8333333333333357</v>
      </c>
      <c r="G99" s="37">
        <f t="shared" si="19"/>
        <v>83333.333333333328</v>
      </c>
      <c r="H99" s="37">
        <f t="shared" si="20"/>
        <v>0.85533500698005194</v>
      </c>
      <c r="I99" s="37">
        <f t="shared" si="21"/>
        <v>71277.917248337661</v>
      </c>
      <c r="J99" s="37">
        <f t="shared" si="23"/>
        <v>3581820.0632393798</v>
      </c>
      <c r="K99" s="24"/>
    </row>
    <row r="100" spans="1:11" x14ac:dyDescent="0.35">
      <c r="A100" s="28">
        <f t="shared" si="25"/>
        <v>8.2499999999999893</v>
      </c>
      <c r="B100" s="29">
        <f t="shared" si="24"/>
        <v>4.7849999999999983E-2</v>
      </c>
      <c r="C100" s="24"/>
      <c r="D100" s="36"/>
      <c r="E100" s="37"/>
      <c r="F100" s="37">
        <f t="shared" si="22"/>
        <v>3.9166666666666692</v>
      </c>
      <c r="G100" s="37">
        <f t="shared" si="19"/>
        <v>83333.333333333328</v>
      </c>
      <c r="H100" s="37">
        <f t="shared" si="20"/>
        <v>0.85215712674999344</v>
      </c>
      <c r="I100" s="37">
        <f t="shared" si="21"/>
        <v>71013.09389583279</v>
      </c>
      <c r="J100" s="37">
        <f t="shared" si="23"/>
        <v>3652833.1571352128</v>
      </c>
      <c r="K100" s="24"/>
    </row>
    <row r="101" spans="1:11" x14ac:dyDescent="0.35">
      <c r="A101" s="28">
        <f t="shared" si="25"/>
        <v>8.3333333333333233</v>
      </c>
      <c r="B101" s="29">
        <f t="shared" si="24"/>
        <v>4.799999999999998E-2</v>
      </c>
      <c r="C101" s="24"/>
      <c r="D101" s="36"/>
      <c r="E101" s="37"/>
      <c r="F101" s="37">
        <f t="shared" si="22"/>
        <v>4.0000000000000027</v>
      </c>
      <c r="G101" s="37">
        <f t="shared" si="19"/>
        <v>83333.333333333328</v>
      </c>
      <c r="H101" s="37">
        <f t="shared" si="20"/>
        <v>0.84897930401868649</v>
      </c>
      <c r="I101" s="37">
        <f t="shared" si="21"/>
        <v>70748.275334890539</v>
      </c>
      <c r="J101" s="37">
        <f t="shared" si="23"/>
        <v>3723581.4324701033</v>
      </c>
      <c r="K101" s="24"/>
    </row>
    <row r="102" spans="1:11" x14ac:dyDescent="0.35">
      <c r="A102" s="28">
        <f t="shared" si="25"/>
        <v>8.4166666666666572</v>
      </c>
      <c r="B102" s="29">
        <f t="shared" si="24"/>
        <v>4.8149999999999978E-2</v>
      </c>
      <c r="C102" s="24"/>
      <c r="D102" s="36"/>
      <c r="E102" s="37"/>
      <c r="F102" s="37">
        <f t="shared" si="22"/>
        <v>4.0833333333333357</v>
      </c>
      <c r="G102" s="37">
        <f t="shared" si="19"/>
        <v>83333.333333333328</v>
      </c>
      <c r="H102" s="37">
        <f t="shared" si="20"/>
        <v>0.84580162648718848</v>
      </c>
      <c r="I102" s="37">
        <f t="shared" si="21"/>
        <v>70483.468873932376</v>
      </c>
      <c r="J102" s="37">
        <f t="shared" si="23"/>
        <v>3794064.9013440358</v>
      </c>
      <c r="K102" s="24"/>
    </row>
    <row r="103" spans="1:11" x14ac:dyDescent="0.35">
      <c r="A103" s="28">
        <f t="shared" si="25"/>
        <v>8.4999999999999911</v>
      </c>
      <c r="B103" s="29">
        <f t="shared" si="24"/>
        <v>4.8299999999999982E-2</v>
      </c>
      <c r="C103" s="24"/>
      <c r="D103" s="36"/>
      <c r="E103" s="37"/>
      <c r="F103" s="37">
        <f t="shared" si="22"/>
        <v>4.1666666666666687</v>
      </c>
      <c r="G103" s="37">
        <f t="shared" si="19"/>
        <v>83333.333333333328</v>
      </c>
      <c r="H103" s="37">
        <f t="shared" si="20"/>
        <v>0.84262418152150753</v>
      </c>
      <c r="I103" s="37">
        <f t="shared" si="21"/>
        <v>70218.681793458964</v>
      </c>
      <c r="J103" s="37">
        <f t="shared" si="23"/>
        <v>3864283.5831374945</v>
      </c>
      <c r="K103" s="24"/>
    </row>
    <row r="104" spans="1:11" x14ac:dyDescent="0.35">
      <c r="A104" s="28">
        <f t="shared" si="25"/>
        <v>8.583333333333325</v>
      </c>
      <c r="B104" s="29">
        <f t="shared" si="24"/>
        <v>4.8449999999999979E-2</v>
      </c>
      <c r="C104" s="24"/>
      <c r="D104" s="36"/>
      <c r="E104" s="37"/>
      <c r="F104" s="37">
        <f t="shared" si="22"/>
        <v>4.2500000000000018</v>
      </c>
      <c r="G104" s="37">
        <f t="shared" si="19"/>
        <v>83333.333333333328</v>
      </c>
      <c r="H104" s="37">
        <f t="shared" si="20"/>
        <v>0.83944705614906601</v>
      </c>
      <c r="I104" s="37">
        <f t="shared" si="21"/>
        <v>69953.921345755502</v>
      </c>
      <c r="J104" s="37">
        <f t="shared" si="23"/>
        <v>3934237.50448325</v>
      </c>
      <c r="K104" s="24"/>
    </row>
    <row r="105" spans="1:11" x14ac:dyDescent="0.35">
      <c r="A105" s="28">
        <f t="shared" si="25"/>
        <v>8.666666666666659</v>
      </c>
      <c r="B105" s="29">
        <f t="shared" si="24"/>
        <v>4.8599999999999983E-2</v>
      </c>
      <c r="C105" s="24"/>
      <c r="D105" s="36"/>
      <c r="E105" s="37"/>
      <c r="F105" s="37">
        <f t="shared" si="22"/>
        <v>4.3333333333333348</v>
      </c>
      <c r="G105" s="37">
        <f t="shared" si="19"/>
        <v>83333.333333333328</v>
      </c>
      <c r="H105" s="37">
        <f t="shared" si="20"/>
        <v>0.83627033705510989</v>
      </c>
      <c r="I105" s="37">
        <f t="shared" si="21"/>
        <v>69689.194754592492</v>
      </c>
      <c r="J105" s="37">
        <f t="shared" si="23"/>
        <v>4003926.6992378426</v>
      </c>
      <c r="K105" s="24"/>
    </row>
    <row r="106" spans="1:11" x14ac:dyDescent="0.35">
      <c r="A106" s="28">
        <f t="shared" si="25"/>
        <v>8.7499999999999929</v>
      </c>
      <c r="B106" s="29">
        <f t="shared" si="24"/>
        <v>4.8749999999999981E-2</v>
      </c>
      <c r="C106" s="24"/>
      <c r="D106" s="36"/>
      <c r="E106" s="37"/>
      <c r="F106" s="37">
        <f t="shared" si="22"/>
        <v>4.4166666666666679</v>
      </c>
      <c r="G106" s="37">
        <f t="shared" si="19"/>
        <v>83333.333333333328</v>
      </c>
      <c r="H106" s="37">
        <f t="shared" si="20"/>
        <v>0.83309411057923577</v>
      </c>
      <c r="I106" s="37">
        <f t="shared" si="21"/>
        <v>69424.509214936304</v>
      </c>
      <c r="J106" s="37">
        <f t="shared" si="23"/>
        <v>4073351.2084527789</v>
      </c>
      <c r="K106" s="24"/>
    </row>
    <row r="107" spans="1:11" x14ac:dyDescent="0.35">
      <c r="A107" s="28">
        <f t="shared" si="25"/>
        <v>8.8333333333333268</v>
      </c>
      <c r="B107" s="29">
        <f t="shared" si="24"/>
        <v>4.8899999999999985E-2</v>
      </c>
      <c r="C107" s="24"/>
      <c r="D107" s="36"/>
      <c r="E107" s="37"/>
      <c r="F107" s="37">
        <f t="shared" si="22"/>
        <v>4.5000000000000009</v>
      </c>
      <c r="G107" s="37">
        <f t="shared" si="19"/>
        <v>83333.333333333328</v>
      </c>
      <c r="H107" s="37">
        <f t="shared" si="20"/>
        <v>0.82991846271195924</v>
      </c>
      <c r="I107" s="37">
        <f t="shared" si="21"/>
        <v>69159.871892663272</v>
      </c>
      <c r="J107" s="37">
        <f t="shared" si="23"/>
        <v>4142511.0803454421</v>
      </c>
      <c r="K107" s="24"/>
    </row>
    <row r="108" spans="1:11" x14ac:dyDescent="0.35">
      <c r="A108" s="28">
        <f t="shared" si="25"/>
        <v>8.9166666666666607</v>
      </c>
      <c r="B108" s="29">
        <f t="shared" si="24"/>
        <v>4.9049999999999983E-2</v>
      </c>
      <c r="C108" s="24"/>
      <c r="D108" s="36"/>
      <c r="E108" s="37"/>
      <c r="F108" s="37">
        <f t="shared" si="22"/>
        <v>4.5833333333333339</v>
      </c>
      <c r="G108" s="37">
        <f t="shared" si="19"/>
        <v>83333.333333333328</v>
      </c>
      <c r="H108" s="37">
        <f t="shared" si="20"/>
        <v>0.8267434790912328</v>
      </c>
      <c r="I108" s="37">
        <f t="shared" si="21"/>
        <v>68895.289924269397</v>
      </c>
      <c r="J108" s="37">
        <f t="shared" si="23"/>
        <v>4211406.3702697111</v>
      </c>
      <c r="K108" s="24"/>
    </row>
    <row r="109" spans="1:11" x14ac:dyDescent="0.35">
      <c r="A109" s="28">
        <f t="shared" si="25"/>
        <v>8.9999999999999947</v>
      </c>
      <c r="B109" s="29">
        <f t="shared" si="24"/>
        <v>4.9199999999999994E-2</v>
      </c>
      <c r="C109" s="24"/>
      <c r="D109" s="36"/>
      <c r="E109" s="37"/>
      <c r="F109" s="37">
        <f t="shared" si="22"/>
        <v>4.666666666666667</v>
      </c>
      <c r="G109" s="37">
        <f t="shared" si="19"/>
        <v>83333.333333333328</v>
      </c>
      <c r="H109" s="37">
        <f t="shared" si="20"/>
        <v>0.82356924499908846</v>
      </c>
      <c r="I109" s="37">
        <f t="shared" si="21"/>
        <v>68630.770416590705</v>
      </c>
      <c r="J109" s="37">
        <f t="shared" si="23"/>
        <v>4280037.1406863015</v>
      </c>
      <c r="K109" s="24"/>
    </row>
    <row r="110" spans="1:11" x14ac:dyDescent="0.35">
      <c r="A110" s="28">
        <f t="shared" si="25"/>
        <v>9.0833333333333286</v>
      </c>
      <c r="B110" s="29">
        <f t="shared" si="24"/>
        <v>4.9349999999999984E-2</v>
      </c>
      <c r="C110" s="24"/>
      <c r="D110" s="36"/>
      <c r="E110" s="37"/>
      <c r="F110" s="37">
        <f t="shared" si="22"/>
        <v>4.75</v>
      </c>
      <c r="G110" s="37">
        <f t="shared" si="19"/>
        <v>83333.333333333328</v>
      </c>
      <c r="H110" s="37">
        <f t="shared" si="20"/>
        <v>0.82039584535830834</v>
      </c>
      <c r="I110" s="37">
        <f t="shared" si="21"/>
        <v>68366.320446525686</v>
      </c>
      <c r="J110" s="37">
        <f t="shared" si="23"/>
        <v>4348403.4611328272</v>
      </c>
      <c r="K110" s="24"/>
    </row>
    <row r="111" spans="1:11" x14ac:dyDescent="0.35">
      <c r="A111" s="28">
        <f t="shared" si="25"/>
        <v>9.1666666666666625</v>
      </c>
      <c r="B111" s="29">
        <f t="shared" si="24"/>
        <v>4.9499999999999995E-2</v>
      </c>
      <c r="C111" s="24"/>
      <c r="D111" s="36"/>
      <c r="E111" s="37"/>
      <c r="F111" s="37">
        <f t="shared" si="22"/>
        <v>4.833333333333333</v>
      </c>
      <c r="G111" s="37">
        <f t="shared" si="19"/>
        <v>83333.333333333328</v>
      </c>
      <c r="H111" s="37">
        <f t="shared" si="20"/>
        <v>0.81722336472908208</v>
      </c>
      <c r="I111" s="37">
        <f t="shared" si="21"/>
        <v>68101.947060756836</v>
      </c>
      <c r="J111" s="37">
        <f t="shared" si="23"/>
        <v>4416505.4081935836</v>
      </c>
      <c r="K111" s="24"/>
    </row>
    <row r="112" spans="1:11" x14ac:dyDescent="0.35">
      <c r="A112" s="28">
        <f t="shared" si="25"/>
        <v>9.2499999999999964</v>
      </c>
      <c r="B112" s="29">
        <f t="shared" si="24"/>
        <v>4.9649999999999993E-2</v>
      </c>
      <c r="C112" s="24"/>
      <c r="D112" s="36"/>
      <c r="E112" s="37"/>
      <c r="F112" s="37">
        <f t="shared" si="22"/>
        <v>4.9166666666666661</v>
      </c>
      <c r="G112" s="37">
        <f t="shared" si="19"/>
        <v>83333.333333333328</v>
      </c>
      <c r="H112" s="37">
        <f t="shared" si="20"/>
        <v>0.81405188730572953</v>
      </c>
      <c r="I112" s="37">
        <f t="shared" si="21"/>
        <v>67837.657275477453</v>
      </c>
      <c r="J112" s="37">
        <f t="shared" si="23"/>
        <v>4484343.065469061</v>
      </c>
      <c r="K112" s="24"/>
    </row>
    <row r="113" spans="1:11" x14ac:dyDescent="0.35">
      <c r="A113" s="28">
        <f t="shared" si="25"/>
        <v>9.3333333333333304</v>
      </c>
      <c r="B113" s="29">
        <f t="shared" si="24"/>
        <v>4.9799999999999997E-2</v>
      </c>
      <c r="C113" s="24"/>
      <c r="D113" s="36"/>
      <c r="E113" s="37"/>
      <c r="F113" s="37">
        <f t="shared" si="22"/>
        <v>4.9999999999999991</v>
      </c>
      <c r="G113" s="37">
        <f t="shared" si="19"/>
        <v>83333.333333333328</v>
      </c>
      <c r="H113" s="37">
        <f t="shared" si="20"/>
        <v>0.8108814969134861</v>
      </c>
      <c r="I113" s="37">
        <f t="shared" si="21"/>
        <v>67573.458076123832</v>
      </c>
      <c r="J113" s="37">
        <f t="shared" si="23"/>
        <v>4551916.5235451851</v>
      </c>
      <c r="K113" s="24"/>
    </row>
    <row r="114" spans="1:11" x14ac:dyDescent="0.35">
      <c r="A114" s="28">
        <f t="shared" si="25"/>
        <v>9.4166666666666643</v>
      </c>
      <c r="B114" s="29">
        <f t="shared" si="24"/>
        <v>4.9949999999999994E-2</v>
      </c>
      <c r="C114" s="24"/>
      <c r="D114" s="36"/>
      <c r="E114" s="37"/>
      <c r="F114" s="37">
        <f t="shared" si="22"/>
        <v>5.0833333333333321</v>
      </c>
      <c r="G114" s="37">
        <f t="shared" si="19"/>
        <v>83333.333333333328</v>
      </c>
      <c r="H114" s="37">
        <f t="shared" si="20"/>
        <v>0.80743955567903747</v>
      </c>
      <c r="I114" s="37">
        <f t="shared" si="21"/>
        <v>67286.629639919789</v>
      </c>
      <c r="J114" s="37">
        <f t="shared" si="23"/>
        <v>4619203.153185105</v>
      </c>
      <c r="K114" s="24"/>
    </row>
    <row r="115" spans="1:11" x14ac:dyDescent="0.35">
      <c r="A115" s="28">
        <f t="shared" si="25"/>
        <v>9.4999999999999982</v>
      </c>
      <c r="B115" s="29">
        <f t="shared" si="24"/>
        <v>5.0099999999999999E-2</v>
      </c>
      <c r="C115" s="24"/>
      <c r="D115" s="36"/>
      <c r="E115" s="37"/>
      <c r="F115" s="37">
        <f t="shared" si="22"/>
        <v>5.1666666666666652</v>
      </c>
      <c r="G115" s="37">
        <f t="shared" si="19"/>
        <v>83333.333333333328</v>
      </c>
      <c r="H115" s="37">
        <f t="shared" si="20"/>
        <v>0.80399220232948554</v>
      </c>
      <c r="I115" s="37">
        <f t="shared" si="21"/>
        <v>66999.350194123792</v>
      </c>
      <c r="J115" s="37">
        <f t="shared" si="23"/>
        <v>4686202.5033792285</v>
      </c>
      <c r="K115" s="24"/>
    </row>
    <row r="116" spans="1:11" x14ac:dyDescent="0.35">
      <c r="A116" s="28">
        <f t="shared" si="25"/>
        <v>9.5833333333333321</v>
      </c>
      <c r="B116" s="29">
        <f t="shared" si="24"/>
        <v>5.0249999999999996E-2</v>
      </c>
      <c r="C116" s="24"/>
      <c r="D116" s="36"/>
      <c r="E116" s="37"/>
      <c r="F116" s="37">
        <f t="shared" si="22"/>
        <v>5.2499999999999982</v>
      </c>
      <c r="G116" s="37">
        <f t="shared" si="19"/>
        <v>83333.333333333328</v>
      </c>
      <c r="H116" s="37">
        <f t="shared" si="20"/>
        <v>0.80053963167464792</v>
      </c>
      <c r="I116" s="37">
        <f t="shared" si="21"/>
        <v>66711.635972887321</v>
      </c>
      <c r="J116" s="37">
        <f t="shared" si="23"/>
        <v>4752914.1393521158</v>
      </c>
      <c r="K116" s="24"/>
    </row>
    <row r="117" spans="1:11" x14ac:dyDescent="0.35">
      <c r="A117" s="28">
        <f t="shared" si="25"/>
        <v>9.6666666666666661</v>
      </c>
      <c r="B117" s="29">
        <f t="shared" si="24"/>
        <v>5.0399999999999993E-2</v>
      </c>
      <c r="C117" s="24"/>
      <c r="D117" s="36"/>
      <c r="E117" s="37"/>
      <c r="F117" s="37">
        <f t="shared" si="22"/>
        <v>5.3333333333333313</v>
      </c>
      <c r="G117" s="37">
        <f t="shared" si="19"/>
        <v>83333.333333333328</v>
      </c>
      <c r="H117" s="37">
        <f t="shared" si="20"/>
        <v>0.79708203807430944</v>
      </c>
      <c r="I117" s="37">
        <f t="shared" si="21"/>
        <v>66423.503172859113</v>
      </c>
      <c r="J117" s="37">
        <f t="shared" si="23"/>
        <v>4819337.6425249754</v>
      </c>
      <c r="K117" s="24"/>
    </row>
    <row r="118" spans="1:11" x14ac:dyDescent="0.35">
      <c r="A118" s="28">
        <f t="shared" si="25"/>
        <v>9.75</v>
      </c>
      <c r="B118" s="29">
        <f t="shared" si="24"/>
        <v>5.0549999999999998E-2</v>
      </c>
      <c r="C118" s="24"/>
      <c r="D118" s="36"/>
      <c r="E118" s="37"/>
      <c r="F118" s="37">
        <f>F117+1/$I$6</f>
        <v>5.4166666666666643</v>
      </c>
      <c r="G118" s="37">
        <f t="shared" si="19"/>
        <v>83333.333333333328</v>
      </c>
      <c r="H118" s="37">
        <f t="shared" si="20"/>
        <v>0.79361961542082182</v>
      </c>
      <c r="I118" s="37">
        <f t="shared" si="21"/>
        <v>66134.967951735147</v>
      </c>
      <c r="J118" s="37">
        <f t="shared" si="23"/>
        <v>4885472.6104767108</v>
      </c>
      <c r="K118" s="24"/>
    </row>
    <row r="119" spans="1:11" x14ac:dyDescent="0.35">
      <c r="A119" s="28">
        <f t="shared" si="25"/>
        <v>9.8333333333333339</v>
      </c>
      <c r="B119" s="29">
        <f t="shared" si="24"/>
        <v>5.0700000000000002E-2</v>
      </c>
      <c r="C119" s="24"/>
      <c r="D119" s="36"/>
      <c r="E119" s="37"/>
      <c r="F119" s="37">
        <f t="shared" si="22"/>
        <v>5.4999999999999973</v>
      </c>
      <c r="G119" s="37">
        <f t="shared" ref="G119:G125" si="26">$F$6/$I$6</f>
        <v>83333.333333333328</v>
      </c>
      <c r="H119" s="37">
        <f t="shared" ref="H119:H125" si="27">1/(1+VLOOKUP(F119,$A$1:$B$121,2,1)/$I$6)^($I$6*F119)</f>
        <v>0.79015255712182708</v>
      </c>
      <c r="I119" s="37">
        <f t="shared" ref="I119:I125" si="28">H119*G119</f>
        <v>65846.046426818924</v>
      </c>
      <c r="J119" s="37">
        <f t="shared" si="23"/>
        <v>4951318.6569035295</v>
      </c>
      <c r="K119" s="24"/>
    </row>
    <row r="120" spans="1:11" x14ac:dyDescent="0.35">
      <c r="A120" s="28">
        <f t="shared" si="25"/>
        <v>9.9166666666666679</v>
      </c>
      <c r="B120" s="29">
        <f t="shared" si="24"/>
        <v>5.0849999999999999E-2</v>
      </c>
      <c r="C120" s="24"/>
      <c r="D120" s="36"/>
      <c r="E120" s="37"/>
      <c r="F120" s="37">
        <f t="shared" ref="F120" si="29">F119+1/$I$6</f>
        <v>5.5833333333333304</v>
      </c>
      <c r="G120" s="37">
        <f t="shared" si="26"/>
        <v>83333.333333333328</v>
      </c>
      <c r="H120" s="37">
        <f t="shared" si="27"/>
        <v>0.78668105608317385</v>
      </c>
      <c r="I120" s="37">
        <f t="shared" si="28"/>
        <v>65556.75467359781</v>
      </c>
      <c r="J120" s="37">
        <f t="shared" ref="J120:J125" si="30">J119+I120</f>
        <v>5016875.4115771269</v>
      </c>
      <c r="K120" s="24"/>
    </row>
    <row r="121" spans="1:11" x14ac:dyDescent="0.35">
      <c r="A121" s="30">
        <f t="shared" si="25"/>
        <v>10.000000000000002</v>
      </c>
      <c r="B121" s="31">
        <v>5.0999999999999997E-2</v>
      </c>
      <c r="C121" s="24"/>
      <c r="D121" s="36"/>
      <c r="E121" s="37"/>
      <c r="F121" s="37">
        <f>F120+1/$I$6</f>
        <v>5.6666666666666634</v>
      </c>
      <c r="G121" s="37">
        <f t="shared" si="26"/>
        <v>83333.333333333328</v>
      </c>
      <c r="H121" s="37">
        <f t="shared" si="27"/>
        <v>0.78320530469185667</v>
      </c>
      <c r="I121" s="37">
        <f t="shared" si="28"/>
        <v>65267.108724321384</v>
      </c>
      <c r="J121" s="37">
        <f t="shared" si="30"/>
        <v>5082142.5203014482</v>
      </c>
      <c r="K121" s="24"/>
    </row>
    <row r="122" spans="1:11" x14ac:dyDescent="0.35">
      <c r="A122" s="26"/>
      <c r="B122" s="27"/>
      <c r="D122" s="36"/>
      <c r="E122" s="37"/>
      <c r="F122" s="37">
        <f t="shared" ref="F122:F123" si="31">F121+1/$I$6</f>
        <v>5.7499999999999964</v>
      </c>
      <c r="G122" s="37">
        <f t="shared" si="26"/>
        <v>83333.333333333328</v>
      </c>
      <c r="H122" s="37">
        <f t="shared" si="27"/>
        <v>0.7797254947992085</v>
      </c>
      <c r="I122" s="37">
        <f t="shared" si="28"/>
        <v>64977.124566600702</v>
      </c>
      <c r="J122" s="37">
        <f t="shared" si="30"/>
        <v>5147119.6448680488</v>
      </c>
      <c r="K122" s="24"/>
    </row>
    <row r="123" spans="1:11" x14ac:dyDescent="0.35">
      <c r="A123" s="22"/>
      <c r="B123" s="23"/>
      <c r="D123" s="36"/>
      <c r="E123" s="37"/>
      <c r="F123" s="37">
        <f t="shared" si="31"/>
        <v>5.8333333333333295</v>
      </c>
      <c r="G123" s="37">
        <f t="shared" si="26"/>
        <v>83333.333333333328</v>
      </c>
      <c r="H123" s="37">
        <f t="shared" si="27"/>
        <v>0.77624181770418099</v>
      </c>
      <c r="I123" s="37">
        <f t="shared" si="28"/>
        <v>64686.81814201508</v>
      </c>
      <c r="J123" s="37">
        <f t="shared" si="30"/>
        <v>5211806.4630100643</v>
      </c>
      <c r="K123" s="24"/>
    </row>
    <row r="124" spans="1:11" x14ac:dyDescent="0.35">
      <c r="A124" s="22"/>
      <c r="D124" s="36"/>
      <c r="E124" s="37"/>
      <c r="F124" s="37">
        <f>F123+1/$I$6</f>
        <v>5.9166666666666625</v>
      </c>
      <c r="G124" s="37">
        <f t="shared" si="26"/>
        <v>83333.333333333328</v>
      </c>
      <c r="H124" s="37">
        <f t="shared" si="27"/>
        <v>0.77275446413677507</v>
      </c>
      <c r="I124" s="37">
        <f t="shared" si="28"/>
        <v>64396.20534473125</v>
      </c>
      <c r="J124" s="37">
        <f t="shared" si="30"/>
        <v>5276202.6683547953</v>
      </c>
      <c r="K124" s="24"/>
    </row>
    <row r="125" spans="1:11" x14ac:dyDescent="0.35">
      <c r="A125" s="22"/>
      <c r="D125" s="36"/>
      <c r="E125" s="37"/>
      <c r="F125" s="37">
        <f>F124+1/$I$6</f>
        <v>5.9999999999999956</v>
      </c>
      <c r="G125" s="37">
        <f>$F$6/$I$6+$F$6</f>
        <v>1083333.3333333333</v>
      </c>
      <c r="H125" s="37">
        <f t="shared" si="27"/>
        <v>0.76926362424162198</v>
      </c>
      <c r="I125" s="37">
        <f t="shared" si="28"/>
        <v>833368.92626175703</v>
      </c>
      <c r="J125" s="37">
        <f t="shared" si="30"/>
        <v>6109571.5946165528</v>
      </c>
      <c r="K125" s="24"/>
    </row>
    <row r="126" spans="1:11" x14ac:dyDescent="0.35">
      <c r="A126" s="22"/>
      <c r="E126" s="33"/>
      <c r="F126" s="33"/>
      <c r="G126" s="33"/>
      <c r="H126" s="33"/>
      <c r="I126" s="33"/>
      <c r="J126" s="33"/>
    </row>
    <row r="127" spans="1:11" x14ac:dyDescent="0.35">
      <c r="A127" s="22"/>
    </row>
    <row r="128" spans="1:11" x14ac:dyDescent="0.35">
      <c r="A128" s="22"/>
    </row>
    <row r="129" spans="1:1" x14ac:dyDescent="0.35">
      <c r="A129" s="22"/>
    </row>
    <row r="130" spans="1:1" x14ac:dyDescent="0.35">
      <c r="A130" s="22"/>
    </row>
    <row r="131" spans="1:1" x14ac:dyDescent="0.35">
      <c r="A131" s="22"/>
    </row>
    <row r="132" spans="1:1" x14ac:dyDescent="0.35">
      <c r="A132" s="22"/>
    </row>
    <row r="133" spans="1:1" x14ac:dyDescent="0.35">
      <c r="A133" s="22"/>
    </row>
    <row r="134" spans="1:1" x14ac:dyDescent="0.35">
      <c r="A134" s="22"/>
    </row>
    <row r="135" spans="1:1" x14ac:dyDescent="0.35">
      <c r="A135" s="22"/>
    </row>
    <row r="136" spans="1:1" x14ac:dyDescent="0.35">
      <c r="A136" s="22"/>
    </row>
    <row r="137" spans="1:1" x14ac:dyDescent="0.35">
      <c r="A137" s="22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Methodology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Narain</dc:creator>
  <cp:lastModifiedBy>Jason</cp:lastModifiedBy>
  <dcterms:created xsi:type="dcterms:W3CDTF">2019-11-03T22:04:03Z</dcterms:created>
  <dcterms:modified xsi:type="dcterms:W3CDTF">2019-11-11T18:46:10Z</dcterms:modified>
</cp:coreProperties>
</file>