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s\"/>
    </mc:Choice>
  </mc:AlternateContent>
  <xr:revisionPtr revIDLastSave="0" documentId="13_ncr:1_{817C5C96-CA9F-46FD-8EDA-CC52DF71EE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ater Outcomes by Launch Date" sheetId="3" r:id="rId1"/>
    <sheet name="Outcomes Based on Goals" sheetId="4" r:id="rId2"/>
    <sheet name="Kickstarter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E12" i="4" l="1"/>
  <c r="F12" i="4" s="1"/>
  <c r="E11" i="4"/>
  <c r="F11" i="4" s="1"/>
  <c r="E10" i="4"/>
  <c r="F10" i="4" s="1"/>
  <c r="E9" i="4"/>
  <c r="G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13" i="4"/>
  <c r="F13" i="4" s="1"/>
  <c r="H8" i="4" l="1"/>
  <c r="G12" i="4"/>
  <c r="H12" i="4"/>
  <c r="G11" i="4"/>
  <c r="H11" i="4"/>
  <c r="G10" i="4"/>
  <c r="H10" i="4"/>
  <c r="F9" i="4"/>
  <c r="H9" i="4"/>
  <c r="G8" i="4"/>
  <c r="G7" i="4"/>
  <c r="H7" i="4"/>
  <c r="G6" i="4"/>
  <c r="H6" i="4"/>
  <c r="H5" i="4"/>
  <c r="G5" i="4"/>
  <c r="H4" i="4"/>
  <c r="G4" i="4"/>
  <c r="G3" i="4"/>
  <c r="H3" i="4"/>
  <c r="G2" i="4"/>
  <c r="H2" i="4"/>
  <c r="H13" i="4"/>
  <c r="G13" i="4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<sst xmlns="http://schemas.openxmlformats.org/spreadsheetml/2006/main" count="24744" uniqueCount="8348">
  <si>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</si>
  <si>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</si>
  <si>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</si>
  <si>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</si>
  <si>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</si>
  <si>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</si>
  <si>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</si>
  <si>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</si>
  <si>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</si>
  <si>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</si>
  <si>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</si>
  <si>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</si>
  <si>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</si>
  <si>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</si>
  <si>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</si>
  <si>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</si>
  <si>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</si>
  <si>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</si>
  <si>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</si>
  <si>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</si>
  <si>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</si>
  <si>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</si>
  <si>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</si>
  <si>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</si>
  <si>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</si>
  <si>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</si>
  <si>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</si>
  <si>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</si>
  <si>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</si>
  <si>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</si>
  <si>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</si>
  <si>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</si>
  <si>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</si>
  <si>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</si>
  <si>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</si>
  <si>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</si>
  <si>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</si>
  <si>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</si>
  <si>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</si>
  <si>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</si>
  <si>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</si>
  <si>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</si>
  <si>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</si>
  <si>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</si>
  <si>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</si>
  <si>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</si>
  <si>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</si>
  <si>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</si>
  <si>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</si>
  <si>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</si>
  <si>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</si>
  <si>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</si>
  <si>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</si>
  <si>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</si>
  <si>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</si>
  <si>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</si>
  <si>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</si>
  <si>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</si>
  <si>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</si>
  <si>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</si>
  <si>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</si>
  <si>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</si>
  <si>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</si>
  <si>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</si>
  <si>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</si>
  <si>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</si>
  <si>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</si>
  <si>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</si>
  <si>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</si>
  <si>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</si>
  <si>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</si>
  <si>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</si>
  <si>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</si>
  <si>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</si>
  <si>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</si>
  <si>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</si>
  <si>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</si>
  <si>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</si>
  <si>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</si>
  <si>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</si>
  <si>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</si>
  <si>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</si>
  <si>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</si>
  <si>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</si>
  <si>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</si>
  <si>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</si>
  <si>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</si>
  <si>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</si>
  <si>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</si>
  <si>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</si>
  <si>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</si>
  <si>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</si>
  <si>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</si>
  <si>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</si>
  <si>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</si>
  <si>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</si>
  <si>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</si>
  <si>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</si>
  <si>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</si>
  <si>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</si>
  <si>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</si>
  <si>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</si>
  <si>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</si>
  <si>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</si>
  <si>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</si>
  <si>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</si>
  <si>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</si>
  <si>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</si>
  <si>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</si>
  <si>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</si>
  <si>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</si>
  <si>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</si>
  <si>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</si>
  <si>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</si>
  <si>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</si>
  <si>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</si>
  <si>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</si>
  <si>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</si>
  <si>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</si>
  <si>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</si>
  <si>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</si>
  <si>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</si>
  <si>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</si>
  <si>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</si>
  <si>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</si>
  <si>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</si>
  <si>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</si>
  <si>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</si>
  <si>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</si>
  <si>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</si>
  <si>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</si>
  <si>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</si>
  <si>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</si>
  <si>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</si>
  <si>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</si>
  <si>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</si>
  <si>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</si>
  <si>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</si>
  <si>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</si>
  <si>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</si>
  <si>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</si>
  <si>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</si>
  <si>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</si>
  <si>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</si>
  <si>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</si>
  <si>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</si>
  <si>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</si>
  <si>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</si>
  <si>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</si>
  <si>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</si>
  <si>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</si>
  <si>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</si>
  <si>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</si>
  <si>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</si>
  <si>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</si>
  <si>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</si>
  <si>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</si>
  <si>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</si>
  <si>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</si>
  <si>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</si>
  <si>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</si>
  <si>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</si>
  <si>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</si>
  <si>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</si>
  <si>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</si>
  <si>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</si>
  <si>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</si>
  <si>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</si>
  <si>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</si>
  <si>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</si>
  <si>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</si>
  <si>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</si>
  <si>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</si>
  <si>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</si>
  <si>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</si>
  <si>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</si>
  <si>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</si>
  <si>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</si>
  <si>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</si>
  <si>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</si>
  <si>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</si>
  <si>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</si>
  <si>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</si>
  <si>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</si>
  <si>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</si>
  <si>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</si>
  <si>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</si>
  <si>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</si>
  <si>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</si>
  <si>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</si>
  <si>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</si>
  <si>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</si>
  <si>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</si>
  <si>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</si>
  <si>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</si>
  <si>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</si>
  <si>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</si>
  <si>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</si>
  <si>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</si>
  <si>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</si>
  <si>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</si>
  <si>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</si>
  <si>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</si>
  <si>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</si>
  <si>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</si>
  <si>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</si>
  <si>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</si>
  <si>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</si>
  <si>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</si>
  <si>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</si>
  <si>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</si>
  <si>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</si>
  <si>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</si>
  <si>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</si>
  <si>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</si>
  <si>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</si>
  <si>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</si>
  <si>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</si>
  <si>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</si>
  <si>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</si>
  <si>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</si>
  <si>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</si>
  <si>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</si>
  <si>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</si>
  <si>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</si>
  <si>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</si>
  <si>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</si>
  <si>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</si>
  <si>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</si>
  <si>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</si>
  <si>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</si>
  <si>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</si>
  <si>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</si>
  <si>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</si>
  <si>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</si>
  <si>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</si>
  <si>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</si>
  <si>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</si>
  <si>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</si>
  <si>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</si>
  <si>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</si>
  <si>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</si>
  <si>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</si>
  <si>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</si>
  <si>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</si>
  <si>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</si>
  <si>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</si>
  <si>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</si>
  <si>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</si>
  <si>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</si>
  <si>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</si>
  <si>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</si>
  <si>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</si>
  <si>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</si>
  <si>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</si>
  <si>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</si>
  <si>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</si>
  <si>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</si>
  <si>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</si>
  <si>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</si>
  <si>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</si>
  <si>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</si>
  <si>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</si>
  <si>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</si>
  <si>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</si>
  <si>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</si>
  <si>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</si>
  <si>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</si>
  <si>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</si>
  <si>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</si>
  <si>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</si>
  <si>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</si>
  <si>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</si>
  <si>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</si>
  <si>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</si>
  <si>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</si>
  <si>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</si>
  <si>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</si>
  <si>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</si>
  <si>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</si>
  <si>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</si>
  <si>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</si>
  <si>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</si>
  <si>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</si>
  <si>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</si>
  <si>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</si>
  <si>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</si>
  <si>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</si>
  <si>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</si>
  <si>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</si>
  <si>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</si>
  <si>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</si>
  <si>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</si>
  <si>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</si>
  <si>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</si>
  <si>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</si>
  <si>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</si>
  <si>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</si>
  <si>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</si>
  <si>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</si>
  <si>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</si>
  <si>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</si>
  <si>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</si>
  <si>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</si>
  <si>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</si>
  <si>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</si>
  <si>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</si>
  <si>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</si>
  <si>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</si>
  <si>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</si>
  <si>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</si>
  <si>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</si>
  <si>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</si>
  <si>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</si>
  <si>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</si>
  <si>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</si>
  <si>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</si>
  <si>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</si>
  <si>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</si>
  <si>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</si>
  <si>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</si>
  <si>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</si>
  <si>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</si>
  <si>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</si>
  <si>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</si>
  <si>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</si>
  <si>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</si>
  <si>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</si>
  <si>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</si>
  <si>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</si>
  <si>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</si>
  <si>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</si>
  <si>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</si>
  <si>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</si>
  <si>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</si>
  <si>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</si>
  <si>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</si>
  <si>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</si>
  <si>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</si>
  <si>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</si>
  <si>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</si>
  <si>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</si>
  <si>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</si>
  <si>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</si>
  <si>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</si>
  <si>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</si>
  <si>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</si>
  <si>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</si>
  <si>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</si>
  <si>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</si>
  <si>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</si>
  <si>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</si>
  <si>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</si>
  <si>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</si>
  <si>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</si>
  <si>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</si>
  <si>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</si>
  <si>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</si>
  <si>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</si>
  <si>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</si>
  <si>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</si>
  <si>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</si>
  <si>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</si>
  <si>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</si>
  <si>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</si>
  <si>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</si>
  <si>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</si>
  <si>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</si>
  <si>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</si>
  <si>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</si>
  <si>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</si>
  <si>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</si>
  <si>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</si>
  <si>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</si>
  <si>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</si>
  <si>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</si>
  <si>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</si>
  <si>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</si>
  <si>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</si>
  <si>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</si>
  <si>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</si>
  <si>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</si>
  <si>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</si>
  <si>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</si>
  <si>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</si>
  <si>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</si>
  <si>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</si>
  <si>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</si>
  <si>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</si>
  <si>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</si>
  <si>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</si>
  <si>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</si>
  <si>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</si>
  <si>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</si>
  <si>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</si>
  <si>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</si>
  <si>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</si>
  <si>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</si>
  <si>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</si>
  <si>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</si>
  <si>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</si>
  <si>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</si>
  <si>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</si>
  <si>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</si>
  <si>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</si>
  <si>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</si>
  <si>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</si>
  <si>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</si>
  <si>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</si>
  <si>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</si>
  <si>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</si>
  <si>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</si>
  <si>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</si>
  <si>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</si>
  <si>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</si>
  <si>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</si>
  <si>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</si>
  <si>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</si>
  <si>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</si>
  <si>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</si>
  <si>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</si>
  <si>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</si>
  <si>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</si>
  <si>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</si>
  <si>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</si>
  <si>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</si>
  <si>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</si>
  <si>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</si>
  <si>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</si>
  <si>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</si>
  <si>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</si>
  <si>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</si>
  <si>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</si>
  <si>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</si>
  <si>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</si>
  <si>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</si>
  <si>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</si>
  <si>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</si>
  <si>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</si>
  <si>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</si>
  <si>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</si>
  <si>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</si>
  <si>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</si>
  <si>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</si>
  <si>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</si>
  <si>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</si>
  <si>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</si>
  <si>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</si>
  <si>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</si>
  <si>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</si>
  <si>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</si>
  <si>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</si>
  <si>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</si>
  <si>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</si>
  <si>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</si>
  <si>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</si>
  <si>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</si>
  <si>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</si>
  <si>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</si>
  <si>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</si>
  <si>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</si>
  <si>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</si>
  <si>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</si>
  <si>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</si>
  <si>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</si>
  <si>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</si>
  <si>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</si>
  <si>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</si>
  <si>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</si>
  <si>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</si>
  <si>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</si>
  <si>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</si>
  <si>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</si>
  <si>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</si>
  <si>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</si>
  <si>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</si>
  <si>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</si>
  <si>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</si>
  <si>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</si>
  <si>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</si>
  <si>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</si>
  <si>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</si>
  <si>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</si>
  <si>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</si>
  <si>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</si>
  <si>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</si>
  <si>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</si>
  <si>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</si>
  <si>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</si>
  <si>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</si>
  <si>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</si>
  <si>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</si>
  <si>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</si>
  <si>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</si>
  <si>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</si>
  <si>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</si>
  <si>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</si>
  <si>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</si>
  <si>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</si>
  <si>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</si>
  <si>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</si>
  <si>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</si>
  <si>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</si>
  <si>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</si>
  <si>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</si>
  <si>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</si>
  <si>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</si>
  <si>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</si>
  <si>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</si>
  <si>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</si>
  <si>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</si>
  <si>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</si>
  <si>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</si>
  <si>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</si>
  <si>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</si>
  <si>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</si>
  <si>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</si>
  <si>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</si>
  <si>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</si>
  <si>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</si>
  <si>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</si>
  <si>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</si>
  <si>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</si>
  <si>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</si>
  <si>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</si>
  <si>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</si>
  <si>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</si>
  <si>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</si>
  <si>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</si>
  <si>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</si>
  <si>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</si>
  <si>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</si>
  <si>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</si>
  <si>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</si>
  <si>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</si>
  <si>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</si>
  <si>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</si>
  <si>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</si>
  <si>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</si>
  <si>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</si>
  <si>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</si>
  <si>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</si>
  <si>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</si>
  <si>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</si>
  <si>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</si>
  <si>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</si>
  <si>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</si>
  <si>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</si>
  <si>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</si>
  <si>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</si>
  <si>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</si>
  <si>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</si>
  <si>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</si>
  <si>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</si>
  <si>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</si>
  <si>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</si>
  <si>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</si>
  <si>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</si>
  <si>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</si>
  <si>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</si>
  <si>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</si>
  <si>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</si>
  <si>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</si>
  <si>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</si>
  <si>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</si>
  <si>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</si>
  <si>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</si>
  <si>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</si>
  <si>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</si>
  <si>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</si>
  <si>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</si>
  <si>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</si>
  <si>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</si>
  <si>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</si>
  <si>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</si>
  <si>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</si>
  <si>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</si>
  <si>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</si>
  <si>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</si>
  <si>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</si>
  <si>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</si>
  <si>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</si>
  <si>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</si>
  <si>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</si>
  <si>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</si>
  <si>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</si>
  <si>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</si>
  <si>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</si>
  <si>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</si>
  <si>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</si>
  <si>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</si>
  <si>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</si>
  <si>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</si>
  <si>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</si>
  <si>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</si>
  <si>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</si>
  <si>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</si>
  <si>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</si>
  <si>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</si>
  <si>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</si>
  <si>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</si>
  <si>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</si>
  <si>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</si>
  <si>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</si>
  <si>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</si>
  <si>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</si>
  <si>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</si>
  <si>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</si>
  <si>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</si>
  <si>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</si>
  <si>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</si>
  <si>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</si>
  <si>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</si>
  <si>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</si>
  <si>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</si>
  <si>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</si>
  <si>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</si>
  <si>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</si>
  <si>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</si>
  <si>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</si>
  <si>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</si>
  <si>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</si>
  <si>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</si>
  <si>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</si>
  <si>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</si>
  <si>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</si>
  <si>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</si>
  <si>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</si>
  <si>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</si>
  <si>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</si>
  <si>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</si>
  <si>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</si>
  <si>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</si>
  <si>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</si>
  <si>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</si>
  <si>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</si>
  <si>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</si>
  <si>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</si>
  <si>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</si>
  <si>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</si>
  <si>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</si>
  <si>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</si>
  <si>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</si>
  <si>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</si>
  <si>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</si>
  <si>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</si>
  <si>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</si>
  <si>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</si>
  <si>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</si>
  <si>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</si>
  <si>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</si>
  <si>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</si>
  <si>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</si>
  <si>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</si>
  <si>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</si>
  <si>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</si>
  <si>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</si>
  <si>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</si>
  <si>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</si>
  <si>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</si>
  <si>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</si>
  <si>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</si>
  <si>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</si>
  <si>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</si>
  <si>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</si>
  <si>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</si>
  <si>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</si>
  <si>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</si>
  <si>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</si>
  <si>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</si>
  <si>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</si>
  <si>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</si>
  <si>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</si>
  <si>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</si>
  <si>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</si>
  <si>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</si>
  <si>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</si>
  <si>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</si>
  <si>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</si>
  <si>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</si>
  <si>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</si>
  <si>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</si>
  <si>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</si>
  <si>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</si>
  <si>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</si>
  <si>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</si>
  <si>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</si>
  <si>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</si>
  <si>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</si>
  <si>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</si>
  <si>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</si>
  <si>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</si>
  <si>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</si>
  <si>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</si>
  <si>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</si>
  <si>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</si>
  <si>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</si>
  <si>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</si>
  <si>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</si>
  <si>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</si>
  <si>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</si>
  <si>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</si>
  <si>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</si>
  <si>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</si>
  <si>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</si>
  <si>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</si>
  <si>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</si>
  <si>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</si>
  <si>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</si>
  <si>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</si>
  <si>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</si>
  <si>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</si>
  <si>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</si>
  <si>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</si>
  <si>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</si>
  <si>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</si>
  <si>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</si>
  <si>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</si>
  <si>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</si>
  <si>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</si>
  <si>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</si>
  <si>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</si>
  <si>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</si>
  <si>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</si>
  <si>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</si>
  <si>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</si>
  <si>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</si>
  <si>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</si>
  <si>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</si>
  <si>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</si>
  <si>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</si>
  <si>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</si>
  <si>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</si>
  <si>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</si>
  <si>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</si>
  <si>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</si>
  <si>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</si>
  <si>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</si>
  <si>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</si>
  <si>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</si>
  <si>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</si>
  <si>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</si>
  <si>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</si>
  <si>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</si>
  <si>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</si>
  <si>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</si>
  <si>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</si>
  <si>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</si>
  <si>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</si>
  <si>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</si>
  <si>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</si>
  <si>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</si>
  <si>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</si>
  <si>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</si>
  <si>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</si>
  <si>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</si>
  <si>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</si>
  <si>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</si>
  <si>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</si>
  <si>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</si>
  <si>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</si>
  <si>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</si>
  <si>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</si>
  <si>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</si>
  <si>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</si>
  <si>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</si>
  <si>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</si>
  <si>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</si>
  <si>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</si>
  <si>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</si>
  <si>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</si>
  <si>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</si>
  <si>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</si>
  <si>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</si>
  <si>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</si>
  <si>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</si>
  <si>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</si>
  <si>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</si>
  <si>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</si>
  <si>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</si>
  <si>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</si>
  <si>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</si>
  <si>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</si>
  <si>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</si>
  <si>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</si>
  <si>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</si>
  <si>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</si>
  <si>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</si>
  <si>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</si>
  <si>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</si>
  <si>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</si>
  <si>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</si>
  <si>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</si>
  <si>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</si>
  <si>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</si>
  <si>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</si>
  <si>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</si>
  <si>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</si>
  <si>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</si>
  <si>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</si>
  <si>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</si>
  <si>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</si>
  <si>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</si>
  <si>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</si>
  <si>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</si>
  <si>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</si>
  <si>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</si>
  <si>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</si>
  <si>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</si>
  <si>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</si>
  <si>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</si>
  <si>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</si>
  <si>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</si>
  <si>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</si>
  <si>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</si>
  <si>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</si>
  <si>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</si>
  <si>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</si>
  <si>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</si>
  <si>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</si>
  <si>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</si>
  <si>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</si>
  <si>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</si>
  <si>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</si>
  <si>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</si>
  <si>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</si>
  <si>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</si>
  <si>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</si>
  <si>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</si>
  <si>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</si>
  <si>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</si>
  <si>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</si>
  <si>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</si>
  <si>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</si>
  <si>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</si>
  <si>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</si>
  <si>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</si>
  <si>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</si>
  <si>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</si>
  <si>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</si>
  <si>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</si>
  <si>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</si>
  <si>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</si>
  <si>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</si>
  <si>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</si>
  <si>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</si>
  <si>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</si>
  <si>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</si>
  <si>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</si>
  <si>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</si>
  <si>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</si>
  <si>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</si>
  <si>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</si>
  <si>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</si>
  <si>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</si>
  <si>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</si>
  <si>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</si>
  <si>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</si>
  <si>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</si>
  <si>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</si>
  <si>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</si>
  <si>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</si>
  <si>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</si>
  <si>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</si>
  <si>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</si>
  <si>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</si>
  <si>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</si>
  <si>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</si>
  <si>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</si>
  <si>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</si>
  <si>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</si>
  <si>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</si>
  <si>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</si>
  <si>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</si>
  <si>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</si>
  <si>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</si>
  <si>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</si>
  <si>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</si>
  <si>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</si>
  <si>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</si>
  <si>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</si>
  <si>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</si>
  <si>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</si>
  <si>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</si>
  <si>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</si>
  <si>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</si>
  <si>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</si>
  <si>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</si>
  <si>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</si>
  <si>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</si>
  <si>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</si>
  <si>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</si>
  <si>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</si>
  <si>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</si>
  <si>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</si>
  <si>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</si>
  <si>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</si>
  <si>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</si>
  <si>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</si>
  <si>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</si>
  <si>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</si>
  <si>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</si>
  <si>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</si>
  <si>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</si>
  <si>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</si>
  <si>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</si>
  <si>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</si>
  <si>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</si>
  <si>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</si>
  <si>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</si>
  <si>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</si>
  <si>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</si>
  <si>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</si>
  <si>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</si>
  <si>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</si>
  <si>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</si>
  <si>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</si>
  <si>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</si>
  <si>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</si>
  <si>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</si>
  <si>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</si>
  <si>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</si>
  <si>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</si>
  <si>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</si>
  <si>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</si>
  <si>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</si>
  <si>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</si>
  <si>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</si>
  <si>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</si>
  <si>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</si>
  <si>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</si>
  <si>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</si>
  <si>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</si>
  <si>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</si>
  <si>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</si>
  <si>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</si>
  <si>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</si>
  <si>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</si>
  <si>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</si>
  <si>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</si>
  <si>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</si>
  <si>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</si>
  <si>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</si>
  <si>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</si>
  <si>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</si>
  <si>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</si>
  <si>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</si>
  <si>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</si>
  <si>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</si>
  <si>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</si>
  <si>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</si>
  <si>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</si>
  <si>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</si>
  <si>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</si>
  <si>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</si>
  <si>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</si>
  <si>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</si>
  <si>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</si>
  <si>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</si>
  <si>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</si>
  <si>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</si>
  <si>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</si>
  <si>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</si>
  <si>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</si>
  <si>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</si>
  <si>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</si>
  <si>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</si>
  <si>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</si>
  <si>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</si>
  <si>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</si>
  <si>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</si>
  <si>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</si>
  <si>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</si>
  <si>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</si>
  <si>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</si>
  <si>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</si>
  <si>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</si>
  <si>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</si>
  <si>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</si>
  <si>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</si>
  <si>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</si>
  <si>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</si>
  <si>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</si>
  <si>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</si>
  <si>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</si>
  <si>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</si>
  <si>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</si>
  <si>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</si>
  <si>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</si>
  <si>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</si>
  <si>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</si>
  <si>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</si>
  <si>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</si>
  <si>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</si>
  <si>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</si>
  <si>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</si>
  <si>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</si>
  <si>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</si>
  <si>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</si>
  <si>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</si>
  <si>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</si>
  <si>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</si>
  <si>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</si>
  <si>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</si>
  <si>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</si>
  <si>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</si>
  <si>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</si>
  <si>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</si>
  <si>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</si>
  <si>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</si>
  <si>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</si>
  <si>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</si>
  <si>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</si>
  <si>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</si>
  <si>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</si>
  <si>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</si>
  <si>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</si>
  <si>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</si>
  <si>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</si>
  <si>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</si>
  <si>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</si>
  <si>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</si>
  <si>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</si>
  <si>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</si>
  <si>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</si>
  <si>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</si>
  <si>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</si>
  <si>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</si>
  <si>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</si>
  <si>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</si>
  <si>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</si>
  <si>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</si>
  <si>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</si>
  <si>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</si>
  <si>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</si>
  <si>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</si>
  <si>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</si>
  <si>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</si>
  <si>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</si>
  <si>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</si>
  <si>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</si>
  <si>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</si>
  <si>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</si>
  <si>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</si>
  <si>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</si>
  <si>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</si>
  <si>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</si>
  <si>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</si>
  <si>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</si>
  <si>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</si>
  <si>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</si>
  <si>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</si>
  <si>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</si>
  <si>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</si>
  <si>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</si>
  <si>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</si>
  <si>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</si>
  <si>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</si>
  <si>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</si>
  <si>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</si>
  <si>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</si>
  <si>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</si>
  <si>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</si>
  <si>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</si>
  <si>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</si>
  <si>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</si>
  <si>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</si>
  <si>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</si>
  <si>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</si>
  <si>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</si>
  <si>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</si>
  <si>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</si>
  <si>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</si>
  <si>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</si>
  <si>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</si>
  <si>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</si>
  <si>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</si>
  <si>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</si>
  <si>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</si>
  <si>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</si>
  <si>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</si>
  <si>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</si>
  <si>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</si>
  <si>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</si>
  <si>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</si>
  <si>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</si>
  <si>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</si>
  <si>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</si>
  <si>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</si>
  <si>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</si>
  <si>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</si>
  <si>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</si>
  <si>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</si>
  <si>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</si>
  <si>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</si>
  <si>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</si>
  <si>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</si>
  <si>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</si>
  <si>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</si>
  <si>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</si>
  <si>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</si>
  <si>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</si>
  <si>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</si>
  <si>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</si>
  <si>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</si>
  <si>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</si>
  <si>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</si>
  <si>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</si>
  <si>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</si>
  <si>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</si>
  <si>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</si>
  <si>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</si>
  <si>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</si>
  <si>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</si>
  <si>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</si>
  <si>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</si>
  <si>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</si>
  <si>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</si>
  <si>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</si>
  <si>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</si>
  <si>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</si>
  <si>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</si>
  <si>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</si>
  <si>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</si>
  <si>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</si>
  <si>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</si>
  <si>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</si>
  <si>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</si>
  <si>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</si>
  <si>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</si>
  <si>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</si>
  <si>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</si>
  <si>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</si>
  <si>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</si>
  <si>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</si>
  <si>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</si>
  <si>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</si>
  <si>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</si>
  <si>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</si>
  <si>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</si>
  <si>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</si>
  <si>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</si>
  <si>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</si>
  <si>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</si>
  <si>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</si>
  <si>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</si>
  <si>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</si>
  <si>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</si>
  <si>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</si>
  <si>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</si>
  <si>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</si>
  <si>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</si>
  <si>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</si>
  <si>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</si>
  <si>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</si>
  <si>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</si>
  <si>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</si>
  <si>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</si>
  <si>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</si>
  <si>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</si>
  <si>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</si>
  <si>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</si>
  <si>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</si>
  <si>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</si>
  <si>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</si>
  <si>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</si>
  <si>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</si>
  <si>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</si>
  <si>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</si>
  <si>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</si>
  <si>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</si>
  <si>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</si>
  <si>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</si>
  <si>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</si>
  <si>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</si>
  <si>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</si>
  <si>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</si>
  <si>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</si>
  <si>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</si>
  <si>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</si>
  <si>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</si>
  <si>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</si>
  <si>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</si>
  <si>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</si>
  <si>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</si>
  <si>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</si>
  <si>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</si>
  <si>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</si>
  <si>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</si>
  <si>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</si>
  <si>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</si>
  <si>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</si>
  <si>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</si>
  <si>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</si>
  <si>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</si>
  <si>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</si>
  <si>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</si>
  <si>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</si>
  <si>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</si>
  <si>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</si>
  <si>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</si>
  <si>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</si>
  <si>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</si>
  <si>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</si>
  <si>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</si>
  <si>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</si>
  <si>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</si>
  <si>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</si>
  <si>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</si>
  <si>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</si>
  <si>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</si>
  <si>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</si>
  <si>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</si>
  <si>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</si>
  <si>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</si>
  <si>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</si>
  <si>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</si>
  <si>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</si>
  <si>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</si>
  <si>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</si>
  <si>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</si>
  <si>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</si>
  <si>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</si>
  <si>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</si>
  <si>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</si>
  <si>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</si>
  <si>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</si>
  <si>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</si>
  <si>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</si>
  <si>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</si>
  <si>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</si>
  <si>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</si>
  <si>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</si>
  <si>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</si>
  <si>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</si>
  <si>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</si>
  <si>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</si>
  <si>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</si>
  <si>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</si>
  <si>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</si>
  <si>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</si>
  <si>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</si>
  <si>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</si>
  <si>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</si>
  <si>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</si>
  <si>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</si>
  <si>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</si>
  <si>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</si>
  <si>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</si>
  <si>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</si>
  <si>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</si>
  <si>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</si>
  <si>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</si>
  <si>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</si>
  <si>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</si>
  <si>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</si>
  <si>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</si>
  <si>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</si>
  <si>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</si>
  <si>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</si>
  <si>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</si>
  <si>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</si>
  <si>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</si>
  <si>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</si>
  <si>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</si>
  <si>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</si>
  <si>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</si>
  <si>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</si>
  <si>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</si>
  <si>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</si>
  <si>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</si>
  <si>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</si>
  <si>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</si>
  <si>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</si>
  <si>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</si>
  <si>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</si>
  <si>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</si>
  <si>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</si>
  <si>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</si>
  <si>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</si>
  <si>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</si>
  <si>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</si>
  <si>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</si>
  <si>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</si>
  <si>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</si>
  <si>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</si>
  <si>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</si>
  <si>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</si>
  <si>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</si>
  <si>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</si>
  <si>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</si>
  <si>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</si>
  <si>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</si>
  <si>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</si>
  <si>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</si>
  <si>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</si>
  <si>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</si>
  <si>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</si>
  <si>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</si>
  <si>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</si>
  <si>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</si>
  <si>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</si>
  <si>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</si>
  <si>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</si>
  <si>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</si>
  <si>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</si>
  <si>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</si>
  <si>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</si>
  <si>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</si>
  <si>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</si>
  <si>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</si>
  <si>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</si>
  <si>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</si>
  <si>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</si>
  <si>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</si>
  <si>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</si>
  <si>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</si>
  <si>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</si>
  <si>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</si>
  <si>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</si>
  <si>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</si>
  <si>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</si>
  <si>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</si>
  <si>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</si>
  <si>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</si>
  <si>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</si>
  <si>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</si>
  <si>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</si>
  <si>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</si>
  <si>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</si>
  <si>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</si>
  <si>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</si>
  <si>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</si>
  <si>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</si>
  <si>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</si>
  <si>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</si>
  <si>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</si>
  <si>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</si>
  <si>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</si>
  <si>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</si>
  <si>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</si>
  <si>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</si>
  <si>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</si>
  <si>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</si>
  <si>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</si>
  <si>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</si>
  <si>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</si>
  <si>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</si>
  <si>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</si>
  <si>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</si>
  <si>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</si>
  <si>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</si>
  <si>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</si>
  <si>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</si>
  <si>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</si>
  <si>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</si>
  <si>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</si>
  <si>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</si>
  <si>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</si>
  <si>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</si>
  <si>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</si>
  <si>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</si>
  <si>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</si>
  <si>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</si>
  <si>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</si>
  <si>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</si>
  <si>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</si>
  <si>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</si>
  <si>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</si>
  <si>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</si>
  <si>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</si>
  <si>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</si>
  <si>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</si>
  <si>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</si>
  <si>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</si>
  <si>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</si>
  <si>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</si>
  <si>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</si>
  <si>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</si>
  <si>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</si>
  <si>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</si>
  <si>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</si>
  <si>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</si>
  <si>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</si>
  <si>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</si>
  <si>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</si>
  <si>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</si>
  <si>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</si>
  <si>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</si>
  <si>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</si>
  <si>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</si>
  <si>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</si>
  <si>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</si>
  <si>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</si>
  <si>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</si>
  <si>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</si>
  <si>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</si>
  <si>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</si>
  <si>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</si>
  <si>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</si>
  <si>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</si>
  <si>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</si>
  <si>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</si>
  <si>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</si>
  <si>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</si>
  <si>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</si>
  <si>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</si>
  <si>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</si>
  <si>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</si>
  <si>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</si>
  <si>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</si>
  <si>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</si>
  <si>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</si>
  <si>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</si>
  <si>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</si>
  <si>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</si>
  <si>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</si>
  <si>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</si>
  <si>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</si>
  <si>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</si>
  <si>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</si>
  <si>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</si>
  <si>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</si>
  <si>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</si>
  <si>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</si>
  <si>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</si>
  <si>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</si>
  <si>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</si>
  <si>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</si>
  <si>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</si>
  <si>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</si>
  <si>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</si>
  <si>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</si>
  <si>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</si>
  <si>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</si>
  <si>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</si>
  <si>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</si>
  <si>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</si>
  <si>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</si>
  <si>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</si>
  <si>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</si>
  <si>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</si>
  <si>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</si>
  <si>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</si>
  <si>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</si>
  <si>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</si>
  <si>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</si>
  <si>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</si>
  <si>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</si>
  <si>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</si>
  <si>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</si>
  <si>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</si>
  <si>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</si>
  <si>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</si>
  <si>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</si>
  <si>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</si>
  <si>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</si>
  <si>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</si>
  <si>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</si>
  <si>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</si>
  <si>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</si>
  <si>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</si>
  <si>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</si>
  <si>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</si>
  <si>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</si>
  <si>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</si>
  <si>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</si>
  <si>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</si>
  <si>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</si>
  <si>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</si>
  <si>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</si>
  <si>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</si>
  <si>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</si>
  <si>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</si>
  <si>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</si>
  <si>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</si>
  <si>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</si>
  <si>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</si>
  <si>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</si>
  <si>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</si>
  <si>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</si>
  <si>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</si>
  <si>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</si>
  <si>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</si>
  <si>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</si>
  <si>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</si>
  <si>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</si>
  <si>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</si>
  <si>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</si>
  <si>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</si>
  <si>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</si>
  <si>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</si>
  <si>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</si>
  <si>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</si>
  <si>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</si>
  <si>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</si>
  <si>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</si>
  <si>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</si>
  <si>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</si>
  <si>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</si>
  <si>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</si>
  <si>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</si>
  <si>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</si>
  <si>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</si>
  <si>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</si>
  <si>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</si>
  <si>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</si>
  <si>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</si>
  <si>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</si>
  <si>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</si>
  <si>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</si>
  <si>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</si>
  <si>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</si>
  <si>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</si>
  <si>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</si>
  <si>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</si>
  <si>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</si>
  <si>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</si>
  <si>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</si>
  <si>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</si>
  <si>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</si>
  <si>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</si>
  <si>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</si>
  <si>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</si>
  <si>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</si>
  <si>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</si>
  <si>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</si>
  <si>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</si>
  <si>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</si>
  <si>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</si>
  <si>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</si>
  <si>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</si>
  <si>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</si>
  <si>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</si>
  <si>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</si>
  <si>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</si>
  <si>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</si>
  <si>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</si>
  <si>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</si>
  <si>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</si>
  <si>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</si>
  <si>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</si>
  <si>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</si>
  <si>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</si>
  <si>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</si>
  <si>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</si>
  <si>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</si>
  <si>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</si>
  <si>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</si>
  <si>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</si>
  <si>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</si>
  <si>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</si>
  <si>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</si>
  <si>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</si>
  <si>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</si>
  <si>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</si>
  <si>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</si>
  <si>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</si>
  <si>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</si>
  <si>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</si>
  <si>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</si>
  <si>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</si>
  <si>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</si>
  <si>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</si>
  <si>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</si>
  <si>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</si>
  <si>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</si>
  <si>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</si>
  <si>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</si>
  <si>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</si>
  <si>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</si>
  <si>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</si>
  <si>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</si>
  <si>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</si>
  <si>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</si>
  <si>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</si>
  <si>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</si>
  <si>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</si>
  <si>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</si>
  <si>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</si>
  <si>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</si>
  <si>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</si>
  <si>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</si>
  <si>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</si>
  <si>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</si>
  <si>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</si>
  <si>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</si>
  <si>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</si>
  <si>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</si>
  <si>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</si>
  <si>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</si>
  <si>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</si>
  <si>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</si>
  <si>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</si>
  <si>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</si>
  <si>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</si>
  <si>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</si>
  <si>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</si>
  <si>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</si>
  <si>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</si>
  <si>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</si>
  <si>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</si>
  <si>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</si>
  <si>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</si>
  <si>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</si>
  <si>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</si>
  <si>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</si>
  <si>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</si>
  <si>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</si>
  <si>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</si>
  <si>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</si>
  <si>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</si>
  <si>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</si>
  <si>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</si>
  <si>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</si>
  <si>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</si>
  <si>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</si>
  <si>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</si>
  <si>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</si>
  <si>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</si>
  <si>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</si>
  <si>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</si>
  <si>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</si>
  <si>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</si>
  <si>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</si>
  <si>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</si>
  <si>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</si>
  <si>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</si>
  <si>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</si>
  <si>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</si>
  <si>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</si>
  <si>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</si>
  <si>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</si>
  <si>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</si>
  <si>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</si>
  <si>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</si>
  <si>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</si>
  <si>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</si>
  <si>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</si>
  <si>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</si>
  <si>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</si>
  <si>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</si>
  <si>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</si>
  <si>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</si>
  <si>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</si>
  <si>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</si>
  <si>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</si>
  <si>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</si>
  <si>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</si>
  <si>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</si>
  <si>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</si>
  <si>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</si>
  <si>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</si>
  <si>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</si>
  <si>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</si>
  <si>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</si>
  <si>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</si>
  <si>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</si>
  <si>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</si>
  <si>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</si>
  <si>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</si>
  <si>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</si>
  <si>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</si>
  <si>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</si>
  <si>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</si>
  <si>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</si>
  <si>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</si>
  <si>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</si>
  <si>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</si>
  <si>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</si>
  <si>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</si>
  <si>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</si>
  <si>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</si>
  <si>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</si>
  <si>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</si>
  <si>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</si>
  <si>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</si>
  <si>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</si>
  <si>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</si>
  <si>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</si>
  <si>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</si>
  <si>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</si>
  <si>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</si>
  <si>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</si>
  <si>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</si>
  <si>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</si>
  <si>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</si>
  <si>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</si>
  <si>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</si>
  <si>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</si>
  <si>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</si>
  <si>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</si>
  <si>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</si>
  <si>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</si>
  <si>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</si>
  <si>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</si>
  <si>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</si>
  <si>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</si>
  <si>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</si>
  <si>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</si>
  <si>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</si>
  <si>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</si>
  <si>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</si>
  <si>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</si>
  <si>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</si>
  <si>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</si>
  <si>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</si>
  <si>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</si>
  <si>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</si>
  <si>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</si>
  <si>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</si>
  <si>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</si>
  <si>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</si>
  <si>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</si>
  <si>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</si>
  <si>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</si>
  <si>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</si>
  <si>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</si>
  <si>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</si>
  <si>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</si>
  <si>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</si>
  <si>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</si>
  <si>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</si>
  <si>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</si>
  <si>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</si>
  <si>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</si>
  <si>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</si>
  <si>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</si>
  <si>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</si>
  <si>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</si>
  <si>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</si>
  <si>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</si>
  <si>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</si>
  <si>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</si>
  <si>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</si>
  <si>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</si>
  <si>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</si>
  <si>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</si>
  <si>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</si>
  <si>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</si>
  <si>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</si>
  <si>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</si>
  <si>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</si>
  <si>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</si>
  <si>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</si>
  <si>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</si>
  <si>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</si>
  <si>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</si>
  <si>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</si>
  <si>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</si>
  <si>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</si>
  <si>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</si>
  <si>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</si>
  <si>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</si>
  <si>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</si>
  <si>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</si>
  <si>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</si>
  <si>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</si>
  <si>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</si>
  <si>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</si>
  <si>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</si>
  <si>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</si>
  <si>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</si>
  <si>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</si>
  <si>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</si>
  <si>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</si>
  <si>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</si>
  <si>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</si>
  <si>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</si>
  <si>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</si>
  <si>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</si>
  <si>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</si>
  <si>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</si>
  <si>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</si>
  <si>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</si>
  <si>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</si>
  <si>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</si>
  <si>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</si>
  <si>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</si>
  <si>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</si>
  <si>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</si>
  <si>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</si>
  <si>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</si>
  <si>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</si>
  <si>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</si>
  <si>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</si>
  <si>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</si>
  <si>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</si>
  <si>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</si>
  <si>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</si>
  <si>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</si>
  <si>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</si>
  <si>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</si>
  <si>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</si>
  <si>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</si>
  <si>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</si>
  <si>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</si>
  <si>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</si>
  <si>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</si>
  <si>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</si>
  <si>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</si>
  <si>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</si>
  <si>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</si>
  <si>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</si>
  <si>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</si>
  <si>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</si>
  <si>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</si>
  <si>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</si>
  <si>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</si>
  <si>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</si>
  <si>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</si>
  <si>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</si>
  <si>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</si>
  <si>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</si>
  <si>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</si>
  <si>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</si>
  <si>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</si>
  <si>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</si>
  <si>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</si>
  <si>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</si>
  <si>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</si>
  <si>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</si>
  <si>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</si>
  <si>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</si>
  <si>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</si>
  <si>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</si>
  <si>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</si>
  <si>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</si>
  <si>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</si>
  <si>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</si>
  <si>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</si>
  <si>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</si>
  <si>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</si>
  <si>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</si>
  <si>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</si>
  <si>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</si>
  <si>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</si>
  <si>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</si>
  <si>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</si>
  <si>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</si>
  <si>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</si>
  <si>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</si>
  <si>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</si>
  <si>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</si>
  <si>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</si>
  <si>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</si>
  <si>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</si>
  <si>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</si>
  <si>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</si>
  <si>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</si>
  <si>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</si>
  <si>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</si>
  <si>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</si>
  <si>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</si>
  <si>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</si>
  <si>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</si>
  <si>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</si>
  <si>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</si>
  <si>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</si>
  <si>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</si>
  <si>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</si>
  <si>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</si>
  <si>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</si>
  <si>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</si>
  <si>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</si>
  <si>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</si>
  <si>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</si>
  <si>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</si>
  <si>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</si>
  <si>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</si>
  <si>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</si>
  <si>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</si>
  <si>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</si>
  <si>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</si>
  <si>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</si>
  <si>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</si>
  <si>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</si>
  <si>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</si>
  <si>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</si>
  <si>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</si>
  <si>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</si>
  <si>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</si>
  <si>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</si>
  <si>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</si>
  <si>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</si>
  <si>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</si>
  <si>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</si>
  <si>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</si>
  <si>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</si>
  <si>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</si>
  <si>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</si>
  <si>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</si>
  <si>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</si>
  <si>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</si>
  <si>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</si>
  <si>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</si>
  <si>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</si>
  <si>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</si>
  <si>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</si>
  <si>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</si>
  <si>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</si>
  <si>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</si>
  <si>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</si>
  <si>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</si>
  <si>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</si>
  <si>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</si>
  <si>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</si>
  <si>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</si>
  <si>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</si>
  <si>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</si>
  <si>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</si>
  <si>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</si>
  <si>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</si>
  <si>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</si>
  <si>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</si>
  <si>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</si>
  <si>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</si>
  <si>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</si>
  <si>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</si>
  <si>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</si>
  <si>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</si>
  <si>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</si>
  <si>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</si>
  <si>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</si>
  <si>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</si>
  <si>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</si>
  <si>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</si>
  <si>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</si>
  <si>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</si>
  <si>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</si>
  <si>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</si>
  <si>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</si>
  <si>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</si>
  <si>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</si>
  <si>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</si>
  <si>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</si>
  <si>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</si>
  <si>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</si>
  <si>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</si>
  <si>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</si>
  <si>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</si>
  <si>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</si>
  <si>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</si>
  <si>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</si>
  <si>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</si>
  <si>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</si>
  <si>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</si>
  <si>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</si>
  <si>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</si>
  <si>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</si>
  <si>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</si>
  <si>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</si>
  <si>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</si>
  <si>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</si>
  <si>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</si>
  <si>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</si>
  <si>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</si>
  <si>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</si>
  <si>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</si>
  <si>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</si>
  <si>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</si>
  <si>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</si>
  <si>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</si>
  <si>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</si>
  <si>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</si>
  <si>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</si>
  <si>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</si>
  <si>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</si>
  <si>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</si>
  <si>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</si>
  <si>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</si>
  <si>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</si>
  <si>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</si>
  <si>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</si>
  <si>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</si>
  <si>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</si>
  <si>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</si>
  <si>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</si>
  <si>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</si>
  <si>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</si>
  <si>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</si>
  <si>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</si>
  <si>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</si>
  <si>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</si>
  <si>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</si>
  <si>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</si>
  <si>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</si>
  <si>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</si>
  <si>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</si>
  <si>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</si>
  <si>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</si>
  <si>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</si>
  <si>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</si>
  <si>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</si>
  <si>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</si>
  <si>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</si>
  <si>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</si>
  <si>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</si>
  <si>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</si>
  <si>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</si>
  <si>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</si>
  <si>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</si>
  <si>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</si>
  <si>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</si>
  <si>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</si>
  <si>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</si>
  <si>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</si>
  <si>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</si>
  <si>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</si>
  <si>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</si>
  <si>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</si>
  <si>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</si>
  <si>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</si>
  <si>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</si>
  <si>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</si>
  <si>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</si>
  <si>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</si>
  <si>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</si>
  <si>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</si>
  <si>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</si>
  <si>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</si>
  <si>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</si>
  <si>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</si>
  <si>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</si>
  <si>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</si>
  <si>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</si>
  <si>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</si>
  <si>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</si>
  <si>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</si>
  <si>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</si>
  <si>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</si>
  <si>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</si>
  <si>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</si>
  <si>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</si>
  <si>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</si>
  <si>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</si>
  <si>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</si>
  <si>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</si>
  <si>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</si>
  <si>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</si>
  <si>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</si>
  <si>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</si>
  <si>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</si>
  <si>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</si>
  <si>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</si>
  <si>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</si>
  <si>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</si>
  <si>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</si>
  <si>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</si>
  <si>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</si>
  <si>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</si>
  <si>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</si>
  <si>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</si>
  <si>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</si>
  <si>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</si>
  <si>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</si>
  <si>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</si>
  <si>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</si>
  <si>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</si>
  <si>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</si>
  <si>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</si>
  <si>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</si>
  <si>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</si>
  <si>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</si>
  <si>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</si>
  <si>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</si>
  <si>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</si>
  <si>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</si>
  <si>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</si>
  <si>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</si>
  <si>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</si>
  <si>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</si>
  <si>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</si>
  <si>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</si>
  <si>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</si>
  <si>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</si>
  <si>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</si>
  <si>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</si>
  <si>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</si>
  <si>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</si>
  <si>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</si>
  <si>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</si>
  <si>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</si>
  <si>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</si>
  <si>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</si>
  <si>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</si>
  <si>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</si>
  <si>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</si>
  <si>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</si>
  <si>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</si>
  <si>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</si>
  <si>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</si>
  <si>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</si>
  <si>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</si>
  <si>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</si>
  <si>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</si>
  <si>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</si>
  <si>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</si>
  <si>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</si>
  <si>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</si>
  <si>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</si>
  <si>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</si>
  <si>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</si>
  <si>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</si>
  <si>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</si>
  <si>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</si>
  <si>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</si>
  <si>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</si>
  <si>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</si>
  <si>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</si>
  <si>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</si>
  <si>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</si>
  <si>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</si>
  <si>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</si>
  <si>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</si>
  <si>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</si>
  <si>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</si>
  <si>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</si>
  <si>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</si>
  <si>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</si>
  <si>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</si>
  <si>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</si>
  <si>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</si>
  <si>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</si>
  <si>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</si>
  <si>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</si>
  <si>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</si>
  <si>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</si>
  <si>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</si>
  <si>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</si>
  <si>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</si>
  <si>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</si>
  <si>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</si>
  <si>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</si>
  <si>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</si>
  <si>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</si>
  <si>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</si>
  <si>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</si>
  <si>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</si>
  <si>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</si>
  <si>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</si>
  <si>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</si>
  <si>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</si>
  <si>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</si>
  <si>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</si>
  <si>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</si>
  <si>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</si>
  <si>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</si>
  <si>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</si>
  <si>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</si>
  <si>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</si>
  <si>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</si>
  <si>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</si>
  <si>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</si>
  <si>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</si>
  <si>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</si>
  <si>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</si>
  <si>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</si>
  <si>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</si>
  <si>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</si>
  <si>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</si>
  <si>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</si>
  <si>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</si>
  <si>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</si>
  <si>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</si>
  <si>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</si>
  <si>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</si>
  <si>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</si>
  <si>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</si>
  <si>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</si>
  <si>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</si>
  <si>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</si>
  <si>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</si>
  <si>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</si>
  <si>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</si>
  <si>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</si>
  <si>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</si>
  <si>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</si>
  <si>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</si>
  <si>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</si>
  <si>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</si>
  <si>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</si>
  <si>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</si>
  <si>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</si>
  <si>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</si>
  <si>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</si>
  <si>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</si>
  <si>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</si>
  <si>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</si>
  <si>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</si>
  <si>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</si>
  <si>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</si>
  <si>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</si>
  <si>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</si>
  <si>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</si>
  <si>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</si>
  <si>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</si>
  <si>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</si>
  <si>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</si>
  <si>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</si>
  <si>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</si>
  <si>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</si>
  <si>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</si>
  <si>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</si>
  <si>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</si>
  <si>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</si>
  <si>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</si>
  <si>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</si>
  <si>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</si>
  <si>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</si>
  <si>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</si>
  <si>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</si>
  <si>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</si>
  <si>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</si>
  <si>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</si>
  <si>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</si>
  <si>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</si>
  <si>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</si>
  <si>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</si>
  <si>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</si>
  <si>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</si>
  <si>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</si>
  <si>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</si>
  <si>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</si>
  <si>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</si>
  <si>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</si>
  <si>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</si>
  <si>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</si>
  <si>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</si>
  <si>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</si>
  <si>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</si>
  <si>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</si>
  <si>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</si>
  <si>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</si>
  <si>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</si>
  <si>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</si>
  <si>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</si>
  <si>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</si>
  <si>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</si>
  <si>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</si>
  <si>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</si>
  <si>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</si>
  <si>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</si>
  <si>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</si>
  <si>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</si>
  <si>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</si>
  <si>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</si>
  <si>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</si>
  <si>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</si>
  <si>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</si>
  <si>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</si>
  <si>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</si>
  <si>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</si>
  <si>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</si>
  <si>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</si>
  <si>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</si>
  <si>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</si>
  <si>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</si>
  <si>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</si>
  <si>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</si>
  <si>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</si>
  <si>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</si>
  <si>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</si>
  <si>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</si>
  <si>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</si>
  <si>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</si>
  <si>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</si>
  <si>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</si>
  <si>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</si>
  <si>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</si>
  <si>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</si>
  <si>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</si>
  <si>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</si>
  <si>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</si>
  <si>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</si>
  <si>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</si>
  <si>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</si>
  <si>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</si>
  <si>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</si>
  <si>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</si>
  <si>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</si>
  <si>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</si>
  <si>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</si>
  <si>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</si>
  <si>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</si>
  <si>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</si>
  <si>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</si>
  <si>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</si>
  <si>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</si>
  <si>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</si>
  <si>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</si>
  <si>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</si>
  <si>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</si>
  <si>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</si>
  <si>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</si>
  <si>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</si>
  <si>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</si>
  <si>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</si>
  <si>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</si>
  <si>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</si>
  <si>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</si>
  <si>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</si>
  <si>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</si>
  <si>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</si>
  <si>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</si>
  <si>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</si>
  <si>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</si>
  <si>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</si>
  <si>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</si>
  <si>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</si>
  <si>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</si>
  <si>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</si>
  <si>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</si>
  <si>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</si>
  <si>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</si>
  <si>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</si>
  <si>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</si>
  <si>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</si>
  <si>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</si>
  <si>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</si>
  <si>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</si>
  <si>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</si>
  <si>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</si>
  <si>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</si>
  <si>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</si>
  <si>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</si>
  <si>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</si>
  <si>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</si>
  <si>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</si>
  <si>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</si>
  <si>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</si>
  <si>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</si>
  <si>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</si>
  <si>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</si>
  <si>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</si>
  <si>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</si>
  <si>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</si>
  <si>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</si>
  <si>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</si>
  <si>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</si>
  <si>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</si>
  <si>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</si>
  <si>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</si>
  <si>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</si>
  <si>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</si>
  <si>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</si>
  <si>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</si>
  <si>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</si>
  <si>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</si>
  <si>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</si>
  <si>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</si>
  <si>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</si>
  <si>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</si>
  <si>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</si>
  <si>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</si>
  <si>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</si>
  <si>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</si>
  <si>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</si>
  <si>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</si>
  <si>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</si>
  <si>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</si>
  <si>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</si>
  <si>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</si>
  <si>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</si>
  <si>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</si>
  <si>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</si>
  <si>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</si>
  <si>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</si>
  <si>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</si>
  <si>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</si>
  <si>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</si>
  <si>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</si>
  <si>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</si>
  <si>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</si>
  <si>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</si>
  <si>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</si>
  <si>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</si>
  <si>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</si>
  <si>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</si>
  <si>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</si>
  <si>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</si>
  <si>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</si>
  <si>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</si>
  <si>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</si>
  <si>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</si>
  <si>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</si>
  <si>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</si>
  <si>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</si>
  <si>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</si>
  <si>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</si>
  <si>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</si>
  <si>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</si>
  <si>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</si>
  <si>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</si>
  <si>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</si>
  <si>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</si>
  <si>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</si>
  <si>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</si>
  <si>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</si>
  <si>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</si>
  <si>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</si>
  <si>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</si>
  <si>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</si>
  <si>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</si>
  <si>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</si>
  <si>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</si>
  <si>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</si>
  <si>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</si>
  <si>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</si>
  <si>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</si>
  <si>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</si>
  <si>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</si>
  <si>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</si>
  <si>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</si>
  <si>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</si>
  <si>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</si>
  <si>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</si>
  <si>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</si>
  <si>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</si>
  <si>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</si>
  <si>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</si>
  <si>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</si>
  <si>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</si>
  <si>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</si>
  <si>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</si>
  <si>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</si>
  <si>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</si>
  <si>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</si>
  <si>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</si>
  <si>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</si>
  <si>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</si>
  <si>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</si>
  <si>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</si>
  <si>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</si>
  <si>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</si>
  <si>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</si>
  <si>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</si>
  <si>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</si>
  <si>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</si>
  <si>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</si>
  <si>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</si>
  <si>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</si>
  <si>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</si>
  <si>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</si>
  <si>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</si>
  <si>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</si>
  <si>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</si>
  <si>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</si>
  <si>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</si>
  <si>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</si>
  <si>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</si>
  <si>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</si>
  <si>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</si>
  <si>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</si>
  <si>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</si>
  <si>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</si>
  <si>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</si>
  <si>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</si>
  <si>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</si>
  <si>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</si>
  <si>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</si>
  <si>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</si>
  <si>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</si>
  <si>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</si>
  <si>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</si>
  <si>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</si>
  <si>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</si>
  <si>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</si>
  <si>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</si>
  <si>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</si>
  <si>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</si>
  <si>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</si>
  <si>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</si>
  <si>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</si>
  <si>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</si>
  <si>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</si>
  <si>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</si>
  <si>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</si>
  <si>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</si>
  <si>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</si>
  <si>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</si>
  <si>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</si>
  <si>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</si>
  <si>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</si>
  <si>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</si>
  <si>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</si>
  <si>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</si>
  <si>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</si>
  <si>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</si>
  <si>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</si>
  <si>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</si>
  <si>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</si>
  <si>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</si>
  <si>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</si>
  <si>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</si>
  <si>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</si>
  <si>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</si>
  <si>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</si>
  <si>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</si>
  <si>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</si>
  <si>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</si>
  <si>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</si>
  <si>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</si>
  <si>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</si>
  <si>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</si>
  <si>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</si>
  <si>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</si>
  <si>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</si>
  <si>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</si>
  <si>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</si>
  <si>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</si>
  <si>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</si>
  <si>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</si>
  <si>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</si>
  <si>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</si>
  <si>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</si>
  <si>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</si>
  <si>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</si>
  <si>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</si>
  <si>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</si>
  <si>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</si>
  <si>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</si>
  <si>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</si>
  <si>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</si>
  <si>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</si>
  <si>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</si>
  <si>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</si>
  <si>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</si>
  <si>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</si>
  <si>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</si>
  <si>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</si>
  <si>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</si>
  <si>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</si>
  <si>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</si>
  <si>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</si>
  <si>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</si>
  <si>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</si>
  <si>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</si>
  <si>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</si>
  <si>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</si>
  <si>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</si>
  <si>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</si>
  <si>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</si>
  <si>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</si>
  <si>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</si>
  <si>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</si>
  <si>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</si>
  <si>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</si>
  <si>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</si>
  <si>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</si>
  <si>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</si>
  <si>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</si>
  <si>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</si>
  <si>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</si>
  <si>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</si>
  <si>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</si>
  <si>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</si>
  <si>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</si>
  <si>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</si>
  <si>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</si>
  <si>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</si>
  <si>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</si>
  <si>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</si>
  <si>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</si>
  <si>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</si>
  <si>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</si>
  <si>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</si>
  <si>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</si>
  <si>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</si>
  <si>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</si>
  <si>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</si>
  <si>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</si>
  <si>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</si>
  <si>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</si>
  <si>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</si>
  <si>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</si>
  <si>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</si>
  <si>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</si>
  <si>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</si>
  <si>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</si>
  <si>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</si>
  <si>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</si>
  <si>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</si>
  <si>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</si>
  <si>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</si>
  <si>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</si>
  <si>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</si>
  <si>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</si>
  <si>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</si>
  <si>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</si>
  <si>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</si>
  <si>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</si>
  <si>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</si>
  <si>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</si>
  <si>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</si>
  <si>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</si>
  <si>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</si>
  <si>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</si>
  <si>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</si>
  <si>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</si>
  <si>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</si>
  <si>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</si>
  <si>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</si>
  <si>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</si>
  <si>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</si>
  <si>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</si>
  <si>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</si>
  <si>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</si>
  <si>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</si>
  <si>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</si>
  <si>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</si>
  <si>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</si>
  <si>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</si>
  <si>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</si>
  <si>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</si>
  <si>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</si>
  <si>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</si>
  <si>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</si>
  <si>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</si>
  <si>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</si>
  <si>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</si>
  <si>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</si>
  <si>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</si>
  <si>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</si>
  <si>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</si>
  <si>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</si>
  <si>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</si>
  <si>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</si>
  <si>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</si>
  <si>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</si>
  <si>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</si>
  <si>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</si>
  <si>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</si>
  <si>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</si>
  <si>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</si>
  <si>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</si>
  <si>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</si>
  <si>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</si>
  <si>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</si>
  <si>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</si>
  <si>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</si>
  <si>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</si>
  <si>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</si>
  <si>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</si>
  <si>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</si>
  <si>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</si>
  <si>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</si>
  <si>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</si>
  <si>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</si>
  <si>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</si>
  <si>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</si>
  <si>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</si>
  <si>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</si>
  <si>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</si>
  <si>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</si>
  <si>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</si>
  <si>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</si>
  <si>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</si>
  <si>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</si>
  <si>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</si>
  <si>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</si>
  <si>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</si>
  <si>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</si>
  <si>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</si>
  <si>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</si>
  <si>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</si>
  <si>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</si>
  <si>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</si>
  <si>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</si>
  <si>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</si>
  <si>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</si>
  <si>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</si>
  <si>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</si>
  <si>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</si>
  <si>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</si>
  <si>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</si>
  <si>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</si>
  <si>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</si>
  <si>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</si>
  <si>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</si>
  <si>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</si>
  <si>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</si>
  <si>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</si>
  <si>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</si>
  <si>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</si>
  <si>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</si>
  <si>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</si>
  <si>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</si>
  <si>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</si>
  <si>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</si>
  <si>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</si>
  <si>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</si>
  <si>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</si>
  <si>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</si>
  <si>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</si>
  <si>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</si>
  <si>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</si>
  <si>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</si>
  <si>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</si>
  <si>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</si>
  <si>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</si>
  <si>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</si>
  <si>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</si>
  <si>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</si>
  <si>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</si>
  <si>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</si>
  <si>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</si>
  <si>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</si>
  <si>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</si>
  <si>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</si>
  <si>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</si>
  <si>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</si>
  <si>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</si>
  <si>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</si>
  <si>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</si>
  <si>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</si>
  <si>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</si>
  <si>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</si>
  <si>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</si>
  <si>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</si>
  <si>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</si>
  <si>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</si>
  <si>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</si>
  <si>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</si>
  <si>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</si>
  <si>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</si>
  <si>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</si>
  <si>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</si>
  <si>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</si>
  <si>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</si>
  <si>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</si>
  <si>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</si>
  <si>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</si>
  <si>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</si>
  <si>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</si>
  <si>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</si>
  <si>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</si>
  <si>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</si>
  <si>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</si>
  <si>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</si>
  <si>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</si>
  <si>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</si>
  <si>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</si>
  <si>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</si>
  <si>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</si>
  <si>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</si>
  <si>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</si>
  <si>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</si>
  <si>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</si>
  <si>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</si>
  <si>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</si>
  <si>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</si>
  <si>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</si>
  <si>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</si>
  <si>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</si>
  <si>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</si>
  <si>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</si>
  <si>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</si>
  <si>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</si>
  <si>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</si>
  <si>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</si>
  <si>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</si>
  <si>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</si>
  <si>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</si>
  <si>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</si>
  <si>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</si>
  <si>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</si>
  <si>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</si>
  <si>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</si>
  <si>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</si>
  <si>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</si>
  <si>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</si>
  <si>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</si>
  <si>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</si>
  <si>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</si>
  <si>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</si>
  <si>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</si>
  <si>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</si>
  <si>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</si>
  <si>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</si>
  <si>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</si>
  <si>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</si>
  <si>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</si>
  <si>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</si>
  <si>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</si>
  <si>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</si>
  <si>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</si>
  <si>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</si>
  <si>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</si>
  <si>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</si>
  <si>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</si>
  <si>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</si>
  <si>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</si>
  <si>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</si>
  <si>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</si>
  <si>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</si>
  <si>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</si>
  <si>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</si>
  <si>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</si>
  <si>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</si>
  <si>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</si>
  <si>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</si>
  <si>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</si>
  <si>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</si>
  <si>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</si>
  <si>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</si>
  <si>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</si>
  <si>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</si>
  <si>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</si>
  <si>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</si>
  <si>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</si>
  <si>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</si>
  <si>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</si>
  <si>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</si>
  <si>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</si>
  <si>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</si>
  <si>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</si>
  <si>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</si>
  <si>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</si>
  <si>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</si>
  <si>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</si>
  <si>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</si>
  <si>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</si>
  <si>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</si>
  <si>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</si>
  <si>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</si>
  <si>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</si>
  <si>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</si>
  <si>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</si>
  <si>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</si>
  <si>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</si>
  <si>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</si>
  <si>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</si>
  <si>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</si>
  <si>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</si>
  <si>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</si>
  <si>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</si>
  <si>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</si>
  <si>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</si>
  <si>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</si>
  <si>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</si>
  <si>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</si>
  <si>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</si>
  <si>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</si>
  <si>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</si>
  <si>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</si>
  <si>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</si>
  <si>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</si>
  <si>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</si>
  <si>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</si>
  <si>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</si>
  <si>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</si>
  <si>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</si>
  <si>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</si>
  <si>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</si>
  <si>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</si>
  <si>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</si>
  <si>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</si>
  <si>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</si>
  <si>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</si>
  <si>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</si>
  <si>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</si>
  <si>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</si>
  <si>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</si>
  <si>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</si>
  <si>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</si>
  <si>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</si>
  <si>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</si>
  <si>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</si>
  <si>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</si>
  <si>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</si>
  <si>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</si>
  <si>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</si>
  <si>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</si>
  <si>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</si>
  <si>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</si>
  <si>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</si>
  <si>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</si>
  <si>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</si>
  <si>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</si>
  <si>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</si>
  <si>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</si>
  <si>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</si>
  <si>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</si>
  <si>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</si>
  <si>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</si>
  <si>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</si>
  <si>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</si>
  <si>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</si>
  <si>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</si>
  <si>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</si>
  <si>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</si>
  <si>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</si>
  <si>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</si>
  <si>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</si>
  <si>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</si>
  <si>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</si>
  <si>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</si>
  <si>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</si>
  <si>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</si>
  <si>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</si>
  <si>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</si>
  <si>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</si>
  <si>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</si>
  <si>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</si>
  <si>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</si>
  <si>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</si>
  <si>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</si>
  <si>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</si>
  <si>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</si>
  <si>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</si>
  <si>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</si>
  <si>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</si>
  <si>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</si>
  <si>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</si>
  <si>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</si>
  <si>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</si>
  <si>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</si>
  <si>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</si>
  <si>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</si>
  <si>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</si>
  <si>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</si>
  <si>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</si>
  <si>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</si>
  <si>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</si>
  <si>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</si>
  <si>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</si>
  <si>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</si>
  <si>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</si>
  <si>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</si>
  <si>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</si>
  <si>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</si>
  <si>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</si>
  <si>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</si>
  <si>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</si>
  <si>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</si>
  <si>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</si>
  <si>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</si>
  <si>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</si>
  <si>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</si>
  <si>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</si>
  <si>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</si>
  <si>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</si>
  <si>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</si>
  <si>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</si>
  <si>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</si>
  <si>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</si>
  <si>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</si>
  <si>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</si>
  <si>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</si>
  <si>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</si>
  <si>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</si>
  <si>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</si>
  <si>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</si>
  <si>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</si>
  <si>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</si>
  <si>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</si>
  <si>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</si>
  <si>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</si>
  <si>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</si>
  <si>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</si>
  <si>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</si>
  <si>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</si>
  <si>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</si>
  <si>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</si>
  <si>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</si>
  <si>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</si>
  <si>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</si>
  <si>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</si>
  <si>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</si>
  <si>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</si>
  <si>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</si>
  <si>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</si>
  <si>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</si>
  <si>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</si>
  <si>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</si>
  <si>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</si>
  <si>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</si>
  <si>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</si>
  <si>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</si>
  <si>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</si>
  <si>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</si>
  <si>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</si>
  <si>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</si>
  <si>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</si>
  <si>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</si>
  <si>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</si>
  <si>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</si>
  <si>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</si>
  <si>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</si>
  <si>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</si>
  <si>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</si>
  <si>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</si>
  <si>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</si>
  <si>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</si>
  <si>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</si>
  <si>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</si>
  <si>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</si>
  <si>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</si>
  <si>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</si>
  <si>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</si>
  <si>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</si>
  <si>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</si>
  <si>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</si>
  <si>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</si>
  <si>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</si>
  <si>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</si>
  <si>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</si>
  <si>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</si>
  <si>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</si>
  <si>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</si>
  <si>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</si>
  <si>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</si>
  <si>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</si>
  <si>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</si>
  <si>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</si>
  <si>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</si>
  <si>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</si>
  <si>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</si>
  <si>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</si>
  <si>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</si>
  <si>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</si>
  <si>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</si>
  <si>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</si>
  <si>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</si>
  <si>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</si>
  <si>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</si>
  <si>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</si>
  <si>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</si>
  <si>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</si>
  <si>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</si>
  <si>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</si>
  <si>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</si>
  <si>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</si>
  <si>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</si>
  <si>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</si>
  <si>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</si>
  <si>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</si>
  <si>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</si>
  <si>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</si>
  <si>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</si>
  <si>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</si>
  <si>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</si>
  <si>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</si>
  <si>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</si>
  <si>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</si>
  <si>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</si>
  <si>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</si>
  <si>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</si>
  <si>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</si>
  <si>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</si>
  <si>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</si>
  <si>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</si>
  <si>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</si>
  <si>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</si>
  <si>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</si>
  <si>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</si>
  <si>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</si>
  <si>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</si>
  <si>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</si>
  <si>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</si>
  <si>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</si>
  <si>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</si>
  <si>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</si>
  <si>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</si>
  <si>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</si>
  <si>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</si>
  <si>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</si>
  <si>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</si>
  <si>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</si>
  <si>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</si>
  <si>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</si>
  <si>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</si>
  <si>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</si>
  <si>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</si>
  <si>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</si>
  <si>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</si>
  <si>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</si>
  <si>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</si>
  <si>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</si>
  <si>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</si>
  <si>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</si>
  <si>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</si>
  <si>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</si>
  <si>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</si>
  <si>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</si>
  <si>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</si>
  <si>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</si>
  <si>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</si>
  <si>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</si>
  <si>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</si>
  <si>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</si>
  <si>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</si>
  <si>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</si>
  <si>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</si>
  <si>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</si>
  <si>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</si>
  <si>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</si>
  <si>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</si>
  <si>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</si>
  <si>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</si>
  <si>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</si>
  <si>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</si>
  <si>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</si>
  <si>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</si>
  <si>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</si>
  <si>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</si>
  <si>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</si>
  <si>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</si>
  <si>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</si>
  <si>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</si>
  <si>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</si>
  <si>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</si>
  <si>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</si>
  <si>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</si>
  <si>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</si>
  <si>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</si>
  <si>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</si>
  <si>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</si>
  <si>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</si>
  <si>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</si>
  <si>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</si>
  <si>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</si>
  <si>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</si>
  <si>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</si>
  <si>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</si>
  <si>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</si>
  <si>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</si>
  <si>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</si>
  <si>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</si>
  <si>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</si>
  <si>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</si>
  <si>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</si>
  <si>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</si>
  <si>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</si>
  <si>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</si>
  <si>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</si>
  <si>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</si>
  <si>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</si>
  <si>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</si>
  <si>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</si>
  <si>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</si>
  <si>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</si>
  <si>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</si>
  <si>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</si>
  <si>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</si>
  <si>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</si>
  <si>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</si>
  <si>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</si>
  <si>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</si>
  <si>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</si>
  <si>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</si>
  <si>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</si>
  <si>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</si>
  <si>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</si>
  <si>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</si>
  <si>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</si>
  <si>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</si>
  <si>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</si>
  <si>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</si>
  <si>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</si>
  <si>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</si>
  <si>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</si>
  <si>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</si>
  <si>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</si>
  <si>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</si>
  <si>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</si>
  <si>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</si>
  <si>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</si>
  <si>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</si>
  <si>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</si>
  <si>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</si>
  <si>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</si>
  <si>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</si>
  <si>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</si>
  <si>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</si>
  <si>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</si>
  <si>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</si>
  <si>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</si>
  <si>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</si>
  <si>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</si>
  <si>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</si>
  <si>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</si>
  <si>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</si>
  <si>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</si>
  <si>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</si>
  <si>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</si>
  <si>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</si>
  <si>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</si>
  <si>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</si>
  <si>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</si>
  <si>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</si>
  <si>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</si>
  <si>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</si>
  <si>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</si>
  <si>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</si>
  <si>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</si>
  <si>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</si>
  <si>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</si>
  <si>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</si>
  <si>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</si>
  <si>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</si>
  <si>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</si>
  <si>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</si>
  <si>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</si>
  <si>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</si>
  <si>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</si>
  <si>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</si>
  <si>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</si>
  <si>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</si>
  <si>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</si>
  <si>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</si>
  <si>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</si>
  <si>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</si>
  <si>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</si>
  <si>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</si>
  <si>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</si>
  <si>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</si>
  <si>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</si>
  <si>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</si>
  <si>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</si>
  <si>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</si>
  <si>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</si>
  <si>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</si>
  <si>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</si>
  <si>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</si>
  <si>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</si>
  <si>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</si>
  <si>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</si>
  <si>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</si>
  <si>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</si>
  <si>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</si>
  <si>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</si>
  <si>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</si>
  <si>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</si>
  <si>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</si>
  <si>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</si>
  <si>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</si>
  <si>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</si>
  <si>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</si>
  <si>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</si>
  <si>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</si>
  <si>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</si>
  <si>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</si>
  <si>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</si>
  <si>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</si>
  <si>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</si>
  <si>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</si>
  <si>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</si>
  <si>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</si>
  <si>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</si>
  <si>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</si>
  <si>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</si>
  <si>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</si>
  <si>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</si>
  <si>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</si>
  <si>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</si>
  <si>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</si>
  <si>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</si>
  <si>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</si>
  <si>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</si>
  <si>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</si>
  <si>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</si>
  <si>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</si>
  <si>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</si>
  <si>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</si>
  <si>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</si>
  <si>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</si>
  <si>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</si>
  <si>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</si>
  <si>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</si>
  <si>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</si>
  <si>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</si>
  <si>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</si>
  <si>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</si>
  <si>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</si>
  <si>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</si>
  <si>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</si>
  <si>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</si>
  <si>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</si>
  <si>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</si>
  <si>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</si>
  <si>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</si>
  <si>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</si>
  <si>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</si>
  <si>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</si>
  <si>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</si>
  <si>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</si>
  <si>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</si>
  <si>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</si>
  <si>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</si>
  <si>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</si>
  <si>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</si>
  <si>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</si>
  <si>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</si>
  <si>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</si>
  <si>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</si>
  <si>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</si>
  <si>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</si>
  <si>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</si>
  <si>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</si>
  <si>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</si>
  <si>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</si>
  <si>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</si>
  <si>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</si>
  <si>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</si>
  <si>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</si>
  <si>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</si>
  <si>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</si>
  <si>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</si>
  <si>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</si>
  <si>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</si>
  <si>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</si>
  <si>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</si>
  <si>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</si>
  <si>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</si>
  <si>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</si>
  <si>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</si>
  <si>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</si>
  <si>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</si>
  <si>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</si>
  <si>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</si>
  <si>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</si>
  <si>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</si>
  <si>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</si>
  <si>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</si>
  <si>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</si>
  <si>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</si>
  <si>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</si>
  <si>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</si>
  <si>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</si>
  <si>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</si>
  <si>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</si>
  <si>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</si>
  <si>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</si>
  <si>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</si>
  <si>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</si>
  <si>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</si>
  <si>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</si>
  <si>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</si>
  <si>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</si>
  <si>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</si>
  <si>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</si>
  <si>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</si>
  <si>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</si>
  <si>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</si>
  <si>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</si>
  <si>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</si>
  <si>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</si>
  <si>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</si>
  <si>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</si>
  <si>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</si>
  <si>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</si>
  <si>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</si>
  <si>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</si>
  <si>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</si>
  <si>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</si>
  <si>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</si>
  <si>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</si>
  <si>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</si>
  <si>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</si>
  <si>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</si>
  <si>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</si>
  <si>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</si>
  <si>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</si>
  <si>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</si>
  <si>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</si>
  <si>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</si>
  <si>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</si>
  <si>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</si>
  <si>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</si>
  <si>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</si>
  <si>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</si>
  <si>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</si>
  <si>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</si>
  <si>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</si>
  <si>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</si>
  <si>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</si>
  <si>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</si>
  <si>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</si>
  <si>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</si>
  <si>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</si>
  <si>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</si>
  <si>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</si>
  <si>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</si>
  <si>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</si>
  <si>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</si>
  <si>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</si>
  <si>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</si>
  <si>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</si>
  <si>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</si>
  <si>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</si>
  <si>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</si>
  <si>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</si>
  <si>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</si>
  <si>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</si>
  <si>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</si>
  <si>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</si>
  <si>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</si>
  <si>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</si>
  <si>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</si>
  <si>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</si>
  <si>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</si>
  <si>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</si>
  <si>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</si>
  <si>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</si>
  <si>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</si>
  <si>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</si>
  <si>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</si>
  <si>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</si>
  <si>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</si>
  <si>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</si>
  <si>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</si>
  <si>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</si>
  <si>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</si>
  <si>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</si>
  <si>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</si>
  <si>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</si>
  <si>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</si>
  <si>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</si>
  <si>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</si>
  <si>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</si>
  <si>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</si>
  <si>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</si>
  <si>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</si>
  <si>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</si>
  <si>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</si>
  <si>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</si>
  <si>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</si>
  <si>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</si>
  <si>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</si>
  <si>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</si>
  <si>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</si>
  <si>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</si>
  <si>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</si>
  <si>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</si>
  <si>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</si>
  <si>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</si>
  <si>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</si>
  <si>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</si>
  <si>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</si>
  <si>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</si>
  <si>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</si>
  <si>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</si>
  <si>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</si>
  <si>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</si>
  <si>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</si>
  <si>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</si>
  <si>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</si>
  <si>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</si>
  <si>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</si>
  <si>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</si>
  <si>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</si>
  <si>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</si>
  <si>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</si>
  <si>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</si>
  <si>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</si>
  <si>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</si>
  <si>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</si>
  <si>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</si>
  <si>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</si>
  <si>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</si>
  <si>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</si>
  <si>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</si>
  <si>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</si>
  <si>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</si>
  <si>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</si>
  <si>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</si>
  <si>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</si>
  <si>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</si>
  <si>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</si>
  <si>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</si>
  <si>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</si>
  <si>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</si>
  <si>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</si>
  <si>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</si>
  <si>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</si>
  <si>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</si>
  <si>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</si>
  <si>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</si>
  <si>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</si>
  <si>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</si>
  <si>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</si>
  <si>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</si>
  <si>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</si>
  <si>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</si>
  <si>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</si>
  <si>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</si>
  <si>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</si>
  <si>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</si>
  <si>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</si>
  <si>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</si>
  <si>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</si>
  <si>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</si>
  <si>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</si>
  <si>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</si>
  <si>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</si>
  <si>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</si>
  <si>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</si>
  <si>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</si>
  <si>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</si>
  <si>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</si>
  <si>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</si>
  <si>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</si>
  <si>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</si>
  <si>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</si>
  <si>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</si>
  <si>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</si>
  <si>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</si>
  <si>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</si>
  <si>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</si>
  <si>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</si>
  <si>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</si>
  <si>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</si>
  <si>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</si>
  <si>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</si>
  <si>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</si>
  <si>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</si>
  <si>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</si>
  <si>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</si>
  <si>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</si>
  <si>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</si>
  <si>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</si>
  <si>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</si>
  <si>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</si>
  <si>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</si>
  <si>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</si>
  <si>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</si>
  <si>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</si>
  <si>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</si>
  <si>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</si>
  <si>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</si>
  <si>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</si>
  <si>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</si>
  <si>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</si>
  <si>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</si>
  <si>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</si>
  <si>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</si>
  <si>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</si>
  <si>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</si>
  <si>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</si>
  <si>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</si>
  <si>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</si>
  <si>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</si>
  <si>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</si>
  <si>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</si>
  <si>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</si>
  <si>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</si>
  <si>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</si>
  <si>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</si>
  <si>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</si>
  <si>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</si>
  <si>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</si>
  <si>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</si>
  <si>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</si>
  <si>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</si>
  <si>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</si>
  <si>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</si>
  <si>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</si>
  <si>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</si>
  <si>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</si>
  <si>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</si>
  <si>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</si>
  <si>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</si>
  <si>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</si>
  <si>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</si>
  <si>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</si>
  <si>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</si>
  <si>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</si>
  <si>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</si>
  <si>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</si>
  <si>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</si>
  <si>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</si>
  <si>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</si>
  <si>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</si>
  <si>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</si>
  <si>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</si>
  <si>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</si>
  <si>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</si>
  <si>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</si>
  <si>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</si>
  <si>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</si>
  <si>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</si>
  <si>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</si>
  <si>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</si>
  <si>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</si>
  <si>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</si>
  <si>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</si>
  <si>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</si>
  <si>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</si>
  <si>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</si>
  <si>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</si>
  <si>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</si>
  <si>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</si>
  <si>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</si>
  <si>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</si>
  <si>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</si>
  <si>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</si>
  <si>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</si>
  <si>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</si>
  <si>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</si>
  <si>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</si>
  <si>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</si>
  <si>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</si>
  <si>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</si>
  <si>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</si>
  <si>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</si>
  <si>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</si>
  <si>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</si>
  <si>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</si>
  <si>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</si>
  <si>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</si>
  <si>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</si>
  <si>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</si>
  <si>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</si>
  <si>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</si>
  <si>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</si>
  <si>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</si>
  <si>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</si>
  <si>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</si>
  <si>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</si>
  <si>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</si>
  <si>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</si>
  <si>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</si>
  <si>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</si>
  <si>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</si>
  <si>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</si>
  <si>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</si>
  <si>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</si>
  <si>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</si>
  <si>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</si>
  <si>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</si>
  <si>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</si>
  <si>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</si>
  <si>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</si>
  <si>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</si>
  <si>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</si>
  <si>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</si>
  <si>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</si>
  <si>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</si>
  <si>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</si>
  <si>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</si>
  <si>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</si>
  <si>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</si>
  <si>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</si>
  <si>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</si>
  <si>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</si>
  <si>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</si>
  <si>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</si>
  <si>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</si>
  <si>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</si>
  <si>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</si>
  <si>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</si>
  <si>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</si>
  <si>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</si>
  <si>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</si>
  <si>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</si>
  <si>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</si>
  <si>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</si>
  <si>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</si>
  <si>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</si>
  <si>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</si>
  <si>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</si>
  <si>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</si>
  <si>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</si>
  <si>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</si>
  <si>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</si>
  <si>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</si>
  <si>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</si>
  <si>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</si>
  <si>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</si>
  <si>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</si>
  <si>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</si>
  <si>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</si>
  <si>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</si>
  <si>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</si>
  <si>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</si>
  <si>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</si>
  <si>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</si>
  <si>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</si>
  <si>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</si>
  <si>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</si>
  <si>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</si>
  <si>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</si>
  <si>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</si>
  <si>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</si>
  <si>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</si>
  <si>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</si>
  <si>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</si>
  <si>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</si>
  <si>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</si>
  <si>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</si>
  <si>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</si>
  <si>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</si>
  <si>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</si>
  <si>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</si>
  <si>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</si>
  <si>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</si>
  <si>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</si>
  <si>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</si>
  <si>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</si>
  <si>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</si>
  <si>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</si>
  <si>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</si>
  <si>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</si>
  <si>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</si>
  <si>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</si>
  <si>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</si>
  <si>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</si>
  <si>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</si>
  <si>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</si>
  <si>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</si>
  <si>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</si>
  <si>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</si>
  <si>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</si>
  <si>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</si>
  <si>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</si>
  <si>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</si>
  <si>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</si>
  <si>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</si>
  <si>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</si>
  <si>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</si>
  <si>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</si>
  <si>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</si>
  <si>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</si>
  <si>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</si>
  <si>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</si>
  <si>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</si>
  <si>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</si>
  <si>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</si>
  <si>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</si>
  <si>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</si>
  <si>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</si>
  <si>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</si>
  <si>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</si>
  <si>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</si>
  <si>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</si>
  <si>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</si>
  <si>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</si>
  <si>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</si>
  <si>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</si>
  <si>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</si>
  <si>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</si>
  <si>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</si>
  <si>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</si>
  <si>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</si>
  <si>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</si>
  <si>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</si>
  <si>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</si>
  <si>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</si>
  <si>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</si>
  <si>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</si>
  <si>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</si>
  <si>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</si>
  <si>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</si>
  <si>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</si>
  <si>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</si>
  <si>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</si>
  <si>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</si>
  <si>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</si>
  <si>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</si>
  <si>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</si>
  <si>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</si>
  <si>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</si>
  <si>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</si>
  <si>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</si>
  <si>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</si>
  <si>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</si>
  <si>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</si>
  <si>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</si>
  <si>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</si>
  <si>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</si>
  <si>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</si>
  <si>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</si>
  <si>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</si>
  <si>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</si>
  <si>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</si>
  <si>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</si>
  <si>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</si>
  <si>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</si>
  <si>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</si>
  <si>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</si>
  <si>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</si>
  <si>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</si>
  <si>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</si>
  <si>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</si>
  <si>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</si>
  <si>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</si>
  <si>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</si>
  <si>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</si>
  <si>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</si>
  <si>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</si>
  <si>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</si>
  <si>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</si>
  <si>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</si>
  <si>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</si>
  <si>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</si>
  <si>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</si>
  <si>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</si>
  <si>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</si>
  <si>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</si>
  <si>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</si>
  <si>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</si>
  <si>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</si>
  <si>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</si>
  <si>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</si>
  <si>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</si>
  <si>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</si>
  <si>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</si>
  <si>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</si>
  <si>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</si>
  <si>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</si>
  <si>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</si>
  <si>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</si>
  <si>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</si>
  <si>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</si>
  <si>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</si>
  <si>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</si>
  <si>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</si>
  <si>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</si>
  <si>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</si>
  <si>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</si>
  <si>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</si>
  <si>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</si>
  <si>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</si>
  <si>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</si>
  <si>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</si>
  <si>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</si>
  <si>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</si>
  <si>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</si>
  <si>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</si>
  <si>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</si>
  <si>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</si>
  <si>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</si>
  <si>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</si>
  <si>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</si>
  <si>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</si>
  <si>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</si>
  <si>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</si>
  <si>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</si>
  <si>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</si>
  <si>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</si>
  <si>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</si>
  <si>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</si>
  <si>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</si>
  <si>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</si>
  <si>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</si>
  <si>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</si>
  <si>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</si>
  <si>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</si>
  <si>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</si>
  <si>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</si>
  <si>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</si>
  <si>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</si>
  <si>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</si>
  <si>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</si>
  <si>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</si>
  <si>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</si>
  <si>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</si>
  <si>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</si>
  <si>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</si>
  <si>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</si>
  <si>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</si>
  <si>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</si>
  <si>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</si>
  <si>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</si>
  <si>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</si>
  <si>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</si>
  <si>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</si>
  <si>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</si>
  <si>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</si>
  <si>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</si>
  <si>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</si>
  <si>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</si>
  <si>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</si>
  <si>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</si>
  <si>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</si>
  <si>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</si>
  <si>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</si>
  <si>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</si>
  <si>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</si>
  <si>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</si>
  <si>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</si>
  <si>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</si>
  <si>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</si>
  <si>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</si>
  <si>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</si>
  <si>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</si>
  <si>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</si>
  <si>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</si>
  <si>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</si>
  <si>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</si>
  <si>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</si>
  <si>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</si>
  <si>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</si>
  <si>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</si>
  <si>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</si>
  <si>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</si>
  <si>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</si>
  <si>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</si>
  <si>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</si>
  <si>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</si>
  <si>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</si>
  <si>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</si>
  <si>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</si>
  <si>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</si>
  <si>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</si>
  <si>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</si>
  <si>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</si>
  <si>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</si>
  <si>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</si>
  <si>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</si>
  <si>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</si>
  <si>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</si>
  <si>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</si>
  <si>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</si>
  <si>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</si>
  <si>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</si>
  <si>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</si>
  <si>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</si>
  <si>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</si>
  <si>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</si>
  <si>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</si>
  <si>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</si>
  <si>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</si>
  <si>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</si>
  <si>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</si>
  <si>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</si>
  <si>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</si>
  <si>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</si>
  <si>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</si>
  <si>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</si>
  <si>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</si>
  <si>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</si>
  <si>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</si>
  <si>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</si>
  <si>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</si>
  <si>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</si>
  <si>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</si>
  <si>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</si>
  <si>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</si>
  <si>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</si>
  <si>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</si>
  <si>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</si>
  <si>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</si>
  <si>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</si>
  <si>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</si>
  <si>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</si>
  <si>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</si>
  <si>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</si>
  <si>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</si>
  <si>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</si>
  <si>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</si>
  <si>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</si>
  <si>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</si>
  <si>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</si>
  <si>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</si>
  <si>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</si>
  <si>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</si>
  <si>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</si>
  <si>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</si>
  <si>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</si>
  <si>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</si>
  <si>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</si>
  <si>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</si>
  <si>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</si>
  <si>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</si>
  <si>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</si>
  <si>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</si>
  <si>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</si>
  <si>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</si>
  <si>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</si>
  <si>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</si>
  <si>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</si>
  <si>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</si>
  <si>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</si>
  <si>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</si>
  <si>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</si>
  <si>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</si>
  <si>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</si>
  <si>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</si>
  <si>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</si>
  <si>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</si>
  <si>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</si>
  <si>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</si>
  <si>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</si>
  <si>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</si>
  <si>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</si>
  <si>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</si>
  <si>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</si>
  <si>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</si>
  <si>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</si>
  <si>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</si>
  <si>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</si>
  <si>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</si>
  <si>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</si>
  <si>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</si>
  <si>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</si>
  <si>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</si>
  <si>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</si>
  <si>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</si>
  <si>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</si>
  <si>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</si>
  <si>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</si>
  <si>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</si>
  <si>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</si>
  <si>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</si>
  <si>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</si>
  <si>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</si>
  <si>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</si>
  <si>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</si>
  <si>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</si>
  <si>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</si>
  <si>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</si>
  <si>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</si>
  <si>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</si>
  <si>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</si>
  <si>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</si>
  <si>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</si>
  <si>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</si>
  <si>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</si>
  <si>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</si>
  <si>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</si>
  <si>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</si>
  <si>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</si>
  <si>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</si>
  <si>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</si>
  <si>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</si>
  <si>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</si>
  <si>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</si>
  <si>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</si>
  <si>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</si>
  <si>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</si>
  <si>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</si>
  <si>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</si>
  <si>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</si>
  <si>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</si>
  <si>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</si>
  <si>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</si>
  <si>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</si>
  <si>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</si>
  <si>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</si>
  <si>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</si>
  <si>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</si>
  <si>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</si>
  <si>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</si>
  <si>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</si>
  <si>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</si>
  <si>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</si>
  <si>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</si>
  <si>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</si>
  <si>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</si>
  <si>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</si>
  <si>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</si>
  <si>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</si>
  <si>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</si>
  <si>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</si>
  <si>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</si>
  <si>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</si>
  <si>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</si>
  <si>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</si>
  <si>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</si>
  <si>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</si>
  <si>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</si>
  <si>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</si>
  <si>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</si>
  <si>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</si>
  <si>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</si>
  <si>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</si>
  <si>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</si>
  <si>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</si>
  <si>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</si>
  <si>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</si>
  <si>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</si>
  <si>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</si>
  <si>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</si>
  <si>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</si>
  <si>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</si>
  <si>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</si>
  <si>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</si>
  <si>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</si>
  <si>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</si>
  <si>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</si>
  <si>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</si>
  <si>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</si>
  <si>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</si>
  <si>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</si>
  <si>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</si>
  <si>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</si>
  <si>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</si>
  <si>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</si>
  <si>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</si>
  <si>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</si>
  <si>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</si>
  <si>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</si>
  <si>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</si>
  <si>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</si>
  <si>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</si>
  <si>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</si>
  <si>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</si>
  <si>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</si>
  <si>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</si>
  <si>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</si>
  <si>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</si>
  <si>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</si>
  <si>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</si>
  <si>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</si>
  <si>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</si>
  <si>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</si>
  <si>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</si>
  <si>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</si>
  <si>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</si>
  <si>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</si>
  <si>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</si>
  <si>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</si>
  <si>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</si>
  <si>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</si>
  <si>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</si>
  <si>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</si>
  <si>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</si>
  <si>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</si>
  <si>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</si>
  <si>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</si>
  <si>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</si>
  <si>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</si>
  <si>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</si>
  <si>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</si>
  <si>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</si>
  <si>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</si>
  <si>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</si>
  <si>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</si>
  <si>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</si>
  <si>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</si>
  <si>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</si>
  <si>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</si>
  <si>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</si>
  <si>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</si>
  <si>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</si>
  <si>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</si>
  <si>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</si>
  <si>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</si>
  <si>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</si>
  <si>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</si>
  <si>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</si>
  <si>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</si>
  <si>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</si>
  <si>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</si>
  <si>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</si>
  <si>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</si>
  <si>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</si>
  <si>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</si>
  <si>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</si>
  <si>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</si>
  <si>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</si>
  <si>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</si>
  <si>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</si>
  <si>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</si>
  <si>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</si>
  <si>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</si>
  <si>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</si>
  <si>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</si>
  <si>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</si>
  <si>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</si>
  <si>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</si>
  <si>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</si>
  <si>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</si>
  <si>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</si>
  <si>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</si>
  <si>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</si>
  <si>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</si>
  <si>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</si>
  <si>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</si>
  <si>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</si>
  <si>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</si>
  <si>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</si>
  <si>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</si>
  <si>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</si>
  <si>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</si>
  <si>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</si>
  <si>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</si>
  <si>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</si>
  <si>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</si>
  <si>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</si>
  <si>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</si>
  <si>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</si>
  <si>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</si>
  <si>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</si>
  <si>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</si>
  <si>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</si>
  <si>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</si>
  <si>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</si>
  <si>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</si>
  <si>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</si>
  <si>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</si>
  <si>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</si>
  <si>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</si>
  <si>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</si>
  <si>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</si>
  <si>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</si>
  <si>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</si>
  <si>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</si>
  <si>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</si>
  <si>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</si>
  <si>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</si>
  <si>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</si>
  <si>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</si>
  <si>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</si>
  <si>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</si>
  <si>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</si>
  <si>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</si>
  <si>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</si>
  <si>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</si>
  <si>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</si>
  <si>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</si>
  <si>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</si>
  <si>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</si>
  <si>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</si>
  <si>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</si>
  <si>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</si>
  <si>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</si>
  <si>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</si>
  <si>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</si>
  <si>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</si>
  <si>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</si>
  <si>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</si>
  <si>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</si>
  <si>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</si>
  <si>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</si>
  <si>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</si>
  <si>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</si>
  <si>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</si>
  <si>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</si>
  <si>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</si>
  <si>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</si>
  <si>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</si>
  <si>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</si>
  <si>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</si>
  <si>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</si>
  <si>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</si>
  <si>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</si>
  <si>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</si>
  <si>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</si>
  <si>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</si>
  <si>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</si>
  <si>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</si>
  <si>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</si>
  <si>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</si>
  <si>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</si>
  <si>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</si>
  <si>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</si>
  <si>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</si>
  <si>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</si>
  <si>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</si>
  <si>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</si>
  <si>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</si>
  <si>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</si>
  <si>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</si>
  <si>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</si>
  <si>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</si>
  <si>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</si>
  <si>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</si>
  <si>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</si>
  <si>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</si>
  <si>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</si>
  <si>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</si>
  <si>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</si>
  <si>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</si>
  <si>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</si>
  <si>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</si>
  <si>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</si>
  <si>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</si>
  <si>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</si>
  <si>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</si>
  <si>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</si>
  <si>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</si>
  <si>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</si>
  <si>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</si>
  <si>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</si>
  <si>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</si>
  <si>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</si>
  <si>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</si>
  <si>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</si>
  <si>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</si>
  <si>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</si>
  <si>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</si>
  <si>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</si>
  <si>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</si>
  <si>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</si>
  <si>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</si>
  <si>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</si>
  <si>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</si>
  <si>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</si>
  <si>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</si>
  <si>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</si>
  <si>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</si>
  <si>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</si>
  <si>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</si>
  <si>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</si>
  <si>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</si>
  <si>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</si>
  <si>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</si>
  <si>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</si>
  <si>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</si>
  <si>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</si>
  <si>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</si>
  <si>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</si>
  <si>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</si>
  <si>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</si>
  <si>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</si>
  <si>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</si>
  <si>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</si>
  <si>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</si>
  <si>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</si>
  <si>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</si>
  <si>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</si>
  <si>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</si>
  <si>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</si>
  <si>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</si>
  <si>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</si>
  <si>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</si>
  <si>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</si>
  <si>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</si>
  <si>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</si>
  <si>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</si>
  <si>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</si>
  <si>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</si>
  <si>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</si>
  <si>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</si>
  <si>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</si>
  <si>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</si>
  <si>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</si>
  <si>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</si>
  <si>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</si>
  <si>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</si>
  <si>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</si>
  <si>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</si>
  <si>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</si>
  <si>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</si>
  <si>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</si>
  <si>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</si>
  <si>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</si>
  <si>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</si>
  <si>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</si>
  <si>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</si>
  <si>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</si>
  <si>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</si>
  <si>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</si>
  <si>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</si>
  <si>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</si>
  <si>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</si>
  <si>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</si>
  <si>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</si>
  <si>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</si>
  <si>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</si>
  <si>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</si>
  <si>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</si>
  <si>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</si>
  <si>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</si>
  <si>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</si>
  <si>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</si>
  <si>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</si>
  <si>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</si>
  <si>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</si>
  <si>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</si>
  <si>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</si>
  <si>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</si>
  <si>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</si>
  <si>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</si>
  <si>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</si>
  <si>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</si>
  <si>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</si>
  <si>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</si>
  <si>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</si>
  <si>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</si>
  <si>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</si>
  <si>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</si>
  <si>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</si>
  <si>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</si>
  <si>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</si>
  <si>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</si>
  <si>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</si>
  <si>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</si>
  <si>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</si>
  <si>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</si>
  <si>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</si>
  <si>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</si>
  <si>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</si>
  <si>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</si>
  <si>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</si>
  <si>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</si>
  <si>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</si>
  <si>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</si>
  <si>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</si>
  <si>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</si>
  <si>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</si>
  <si>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</si>
  <si>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</si>
  <si>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</si>
  <si>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</si>
  <si>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</si>
  <si>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</si>
  <si>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</si>
  <si>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</si>
  <si>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</si>
  <si>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</si>
  <si>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</si>
  <si>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</si>
  <si>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</si>
  <si>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</si>
  <si>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</si>
  <si>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</si>
  <si>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</si>
  <si>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</si>
  <si>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</si>
  <si>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</si>
  <si>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</si>
  <si>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</si>
  <si>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</si>
  <si>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</si>
  <si>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</si>
  <si>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</si>
  <si>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</si>
  <si>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</si>
  <si>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</si>
  <si>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</si>
  <si>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</si>
  <si>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</si>
  <si>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</si>
  <si>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</si>
  <si>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</si>
  <si>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</si>
  <si>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</si>
  <si>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</si>
  <si>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</si>
  <si>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</si>
  <si>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</si>
  <si>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</si>
  <si>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</si>
  <si>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</si>
  <si>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</si>
  <si>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</si>
  <si>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</si>
  <si>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</si>
  <si>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</si>
  <si>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</si>
  <si>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</si>
  <si>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</si>
  <si>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</si>
  <si>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</si>
  <si>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</si>
  <si>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</si>
  <si>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</si>
  <si>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</si>
  <si>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</si>
  <si>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</si>
  <si>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</si>
  <si>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</si>
  <si>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</si>
  <si>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</si>
  <si>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</si>
  <si>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</si>
  <si>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</si>
  <si>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</si>
  <si>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</si>
  <si>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</si>
  <si>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</si>
  <si>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</si>
  <si>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</si>
  <si>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</si>
  <si>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</si>
  <si>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</si>
  <si>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</si>
  <si>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</si>
  <si>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</si>
  <si>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</si>
  <si>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</si>
  <si>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</si>
  <si>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</si>
  <si>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</si>
  <si>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</si>
  <si>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</si>
  <si>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</si>
  <si>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</si>
  <si>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</si>
  <si>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</si>
  <si>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</si>
  <si>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</si>
  <si>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</si>
  <si>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</si>
  <si>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</si>
  <si>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</si>
  <si>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</si>
  <si>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</si>
  <si>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</si>
  <si>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</si>
  <si>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</si>
  <si>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</si>
  <si>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</si>
  <si>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</si>
  <si>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</si>
  <si>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</si>
  <si>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</si>
  <si>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</si>
  <si>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</si>
  <si>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</si>
  <si>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</si>
  <si>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</si>
  <si>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</si>
  <si>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</si>
  <si>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</si>
  <si>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</si>
  <si>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</si>
  <si>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</si>
  <si>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</si>
  <si>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</si>
  <si>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</si>
  <si>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</si>
  <si>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</si>
  <si>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</si>
  <si>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</si>
  <si>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</si>
  <si>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</si>
  <si>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</si>
  <si>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</si>
  <si>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</si>
  <si>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</si>
  <si>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</si>
  <si>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</si>
  <si>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</si>
  <si>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</si>
  <si>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</si>
  <si>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</si>
  <si>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</si>
  <si>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</si>
  <si>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</si>
  <si>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</si>
  <si>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</si>
  <si>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</si>
  <si>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</si>
  <si>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</si>
  <si>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</si>
  <si>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</si>
  <si>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</si>
  <si>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</si>
  <si>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</si>
  <si>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</si>
  <si>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</si>
  <si>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</si>
  <si>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</si>
  <si>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</si>
  <si>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</si>
  <si>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</si>
  <si>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</si>
  <si>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</si>
  <si>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</si>
  <si>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</si>
  <si>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</si>
  <si>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</si>
  <si>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</si>
  <si>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</si>
  <si>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</si>
  <si>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</si>
  <si>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</si>
  <si>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</si>
  <si>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</si>
  <si>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</si>
  <si>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</si>
  <si>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</si>
  <si>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</si>
  <si>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</si>
  <si>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</si>
  <si>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</si>
  <si>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</si>
  <si>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</si>
  <si>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</si>
  <si>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</si>
  <si>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</si>
  <si>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</si>
  <si>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</si>
  <si>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</si>
  <si>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</si>
  <si>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</si>
  <si>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</si>
  <si>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</si>
  <si>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</si>
  <si>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</si>
  <si>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</si>
  <si>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</si>
  <si>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</si>
  <si>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</si>
  <si>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</si>
  <si>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</si>
  <si>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</si>
  <si>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</si>
  <si>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</si>
  <si>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</si>
  <si>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</si>
  <si>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</si>
  <si>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</si>
  <si>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</si>
  <si>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</si>
  <si>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</si>
  <si>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</si>
  <si>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</si>
  <si>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</si>
  <si>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</si>
  <si>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</si>
  <si>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</si>
  <si>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</si>
  <si>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</si>
  <si>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</si>
  <si>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</si>
  <si>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</si>
  <si>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</si>
  <si>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</si>
  <si>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</si>
  <si>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</si>
  <si>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</si>
  <si>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</si>
  <si>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</si>
  <si>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</si>
  <si>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</si>
  <si>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</si>
  <si>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</si>
  <si>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</si>
  <si>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</si>
  <si>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</si>
  <si>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</si>
  <si>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</si>
  <si>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</si>
  <si>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</si>
  <si>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</si>
  <si>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</si>
  <si>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</si>
  <si>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</si>
  <si>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</si>
  <si>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</si>
  <si>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</si>
  <si>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</si>
  <si>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</si>
  <si>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</si>
  <si>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</si>
  <si>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</si>
  <si>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</si>
  <si>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</si>
  <si>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</si>
  <si>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</si>
  <si>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</si>
  <si>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</si>
  <si>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</si>
  <si>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</si>
  <si>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</si>
  <si>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</si>
  <si>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</si>
  <si>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</si>
  <si>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</si>
  <si>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</si>
  <si>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</si>
  <si>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</si>
  <si>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</si>
  <si>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</si>
  <si>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</si>
  <si>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</si>
  <si>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</si>
  <si>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</si>
  <si>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</si>
  <si>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</si>
  <si>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</si>
  <si>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</si>
  <si>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</si>
  <si>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</si>
  <si>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</si>
  <si>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</si>
  <si>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</si>
  <si>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</si>
  <si>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</si>
  <si>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</si>
  <si>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</si>
  <si>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</si>
  <si>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</si>
  <si>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</si>
  <si>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</si>
  <si>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</si>
  <si>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</si>
  <si>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</si>
  <si>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</si>
  <si>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</si>
  <si>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</si>
  <si>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</si>
  <si>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</si>
  <si>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</si>
  <si>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</si>
  <si>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</si>
  <si>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</si>
  <si>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</si>
  <si>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</si>
  <si>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</si>
  <si>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</si>
  <si>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</si>
  <si>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</si>
  <si>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</si>
  <si>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</si>
  <si>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</si>
  <si>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</si>
  <si>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</si>
  <si>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</si>
  <si>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</si>
  <si>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</si>
  <si>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</si>
  <si>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</si>
  <si>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</si>
  <si>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</si>
  <si>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</si>
  <si>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</si>
  <si>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</si>
  <si>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</si>
  <si>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</si>
  <si>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</si>
  <si>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</si>
  <si>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</si>
  <si>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</si>
  <si>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</si>
  <si>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</si>
  <si>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</si>
  <si>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</si>
  <si>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</si>
  <si>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</si>
  <si>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</si>
  <si>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</si>
  <si>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</si>
  <si>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</si>
  <si>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</si>
  <si>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</si>
  <si>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</si>
  <si>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</si>
  <si>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</si>
  <si>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</si>
  <si>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</si>
  <si>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</si>
  <si>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</si>
  <si>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</si>
  <si>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</si>
  <si>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</si>
  <si>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</si>
  <si>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</si>
  <si>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</si>
  <si>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</si>
  <si>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</si>
  <si>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</si>
  <si>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</si>
  <si>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</si>
  <si>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</si>
  <si>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</si>
  <si>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</si>
  <si>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</si>
  <si>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</si>
  <si>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</si>
  <si>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</si>
  <si>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</si>
  <si>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</si>
  <si>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</si>
  <si>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</si>
  <si>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</si>
  <si>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</si>
  <si>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</si>
  <si>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</si>
  <si>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</si>
  <si>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</si>
  <si>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</si>
  <si>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</si>
  <si>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</si>
  <si>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</si>
  <si>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</si>
  <si>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</si>
  <si>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</si>
  <si>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</si>
  <si>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</si>
  <si>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</si>
  <si>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</si>
  <si>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</si>
  <si>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</si>
  <si>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</si>
  <si>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</si>
  <si>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</si>
  <si>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</si>
  <si>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</si>
  <si>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</si>
  <si>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</si>
  <si>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</si>
  <si>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</si>
  <si>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</si>
  <si>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</si>
  <si>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</si>
  <si>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</si>
  <si>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</si>
  <si>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</si>
  <si>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</si>
  <si>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</si>
  <si>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</si>
  <si>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</si>
  <si>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</si>
  <si>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</si>
  <si>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</si>
  <si>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</si>
  <si>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</si>
  <si>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</si>
  <si>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</si>
  <si>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</si>
  <si>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</si>
  <si>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</si>
  <si>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</si>
  <si>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</si>
  <si>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</si>
  <si>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</si>
  <si>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</si>
  <si>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</si>
  <si>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</si>
  <si>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</si>
  <si>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</si>
  <si>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</si>
  <si>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</si>
  <si>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</si>
  <si>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</si>
  <si>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</si>
  <si>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</si>
  <si>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</si>
  <si>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</si>
  <si>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</si>
  <si>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</si>
  <si>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</si>
  <si>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</si>
  <si>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</si>
  <si>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</si>
  <si>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</si>
  <si>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</si>
  <si>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</si>
  <si>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</si>
  <si>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</si>
  <si>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</si>
  <si>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</si>
  <si>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</si>
  <si>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</si>
  <si>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</si>
  <si>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</si>
  <si>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</si>
  <si>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</si>
  <si>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</si>
  <si>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</si>
  <si>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</si>
  <si>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</si>
  <si>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</si>
  <si>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</si>
  <si>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</si>
  <si>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</si>
  <si>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</si>
  <si>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</si>
  <si>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</si>
  <si>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</si>
  <si>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</si>
  <si>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</si>
  <si>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</si>
  <si>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</si>
  <si>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</si>
  <si>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</si>
  <si>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</si>
  <si>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</si>
  <si>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</si>
  <si>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</si>
  <si>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</si>
  <si>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</si>
  <si>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</si>
  <si>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</si>
  <si>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</si>
  <si>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</si>
  <si>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</si>
  <si>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</si>
  <si>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</si>
  <si>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</si>
  <si>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</si>
  <si>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</si>
  <si>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</si>
  <si>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</si>
  <si>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</si>
  <si>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</si>
  <si>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</si>
  <si>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</si>
  <si>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</si>
  <si>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</si>
  <si>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</si>
  <si>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</si>
  <si>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</si>
  <si>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</si>
  <si>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</si>
  <si>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</si>
  <si>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</si>
  <si>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</si>
  <si>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</si>
  <si>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</si>
  <si>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</si>
  <si>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</si>
  <si>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</si>
  <si>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</si>
  <si>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</si>
  <si>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</si>
  <si>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</si>
  <si>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</si>
  <si>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</si>
  <si>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</si>
  <si>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</si>
  <si>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</si>
  <si>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</si>
  <si>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</si>
  <si>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</si>
  <si>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</si>
  <si>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</si>
  <si>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</si>
  <si>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</si>
  <si>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</si>
  <si>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</si>
  <si>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</si>
  <si>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</si>
  <si>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</si>
  <si>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</si>
  <si>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</si>
  <si>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</si>
  <si>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</si>
  <si>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</si>
  <si>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</si>
  <si>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</si>
  <si>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</si>
  <si>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</si>
  <si>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</si>
  <si>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</si>
  <si>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</si>
  <si>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</si>
  <si>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</si>
  <si>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</si>
  <si>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</si>
  <si>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</si>
  <si>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</si>
  <si>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</si>
  <si>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</si>
  <si>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</si>
  <si>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</si>
  <si>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</si>
  <si>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</si>
  <si>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</si>
  <si>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</si>
  <si>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</si>
  <si>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</si>
  <si>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</si>
  <si>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</si>
  <si>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</si>
  <si>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</si>
  <si>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</si>
  <si>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</si>
  <si>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</si>
  <si>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</si>
  <si>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</si>
  <si>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</si>
  <si>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</si>
  <si>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</si>
  <si>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</si>
  <si>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</si>
  <si>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</si>
  <si>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</si>
  <si>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</si>
  <si>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</si>
  <si>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</si>
  <si>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</si>
  <si>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</si>
  <si>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</si>
  <si>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</si>
  <si>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</si>
  <si>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</si>
  <si>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</si>
  <si>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</si>
  <si>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</si>
  <si>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</si>
  <si>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</si>
  <si>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</si>
  <si>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</si>
  <si>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</si>
  <si>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</si>
  <si>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</si>
  <si>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</si>
  <si>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</si>
  <si>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</si>
  <si>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</si>
  <si>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</si>
  <si>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</si>
  <si>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</si>
  <si>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</si>
  <si>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</si>
  <si>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</si>
  <si>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</si>
  <si>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</si>
  <si>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</si>
  <si>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</si>
  <si>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</si>
  <si>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</si>
  <si>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</si>
  <si>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</si>
  <si>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</si>
  <si>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</si>
  <si>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</si>
  <si>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</si>
  <si>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</si>
  <si>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</si>
  <si>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</si>
  <si>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</si>
  <si>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</si>
  <si>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</si>
  <si>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</si>
  <si>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</si>
  <si>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</si>
  <si>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</si>
  <si>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</si>
  <si>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</si>
  <si>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</si>
  <si>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</si>
  <si>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</si>
  <si>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</si>
  <si>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</si>
  <si>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</si>
  <si>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</si>
  <si>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</si>
  <si>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</si>
  <si>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</si>
  <si>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</si>
  <si>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</si>
  <si>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</si>
  <si>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</si>
  <si>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</si>
  <si>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</si>
  <si>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</si>
  <si>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</si>
  <si>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</si>
  <si>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</si>
  <si>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</si>
  <si>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</si>
  <si>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</si>
  <si>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</si>
  <si>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</si>
  <si>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</si>
  <si>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</si>
  <si>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</si>
  <si>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</si>
  <si>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</si>
  <si>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</si>
  <si>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</si>
  <si>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</si>
  <si>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</si>
  <si>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</si>
  <si>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</si>
  <si>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</si>
  <si>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</si>
  <si>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</si>
  <si>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</si>
  <si>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</si>
  <si>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</si>
  <si>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</si>
  <si>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</si>
  <si>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</si>
  <si>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</si>
  <si>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</si>
  <si>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</si>
  <si>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</si>
  <si>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</si>
  <si>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</si>
  <si>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</si>
  <si>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</si>
  <si>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</si>
  <si>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</si>
  <si>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</si>
  <si>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</si>
  <si>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</si>
  <si>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</si>
  <si>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</si>
  <si>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</si>
  <si>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</si>
  <si>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</si>
  <si>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</si>
  <si>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</si>
  <si>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</si>
  <si>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</si>
  <si>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</si>
  <si>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</si>
  <si>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</si>
  <si>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</si>
  <si>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</si>
  <si>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</si>
  <si>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</si>
  <si>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</si>
  <si>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</si>
  <si>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</si>
  <si>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</si>
  <si>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</si>
  <si>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</si>
  <si>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</si>
  <si>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</si>
  <si>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</si>
  <si>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</si>
  <si>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</si>
  <si>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</si>
  <si>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</si>
  <si>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</si>
  <si>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</si>
  <si>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</si>
  <si>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</si>
  <si>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</si>
  <si>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</si>
  <si>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</si>
  <si>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</si>
  <si>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</si>
  <si>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</si>
  <si>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</si>
  <si>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</si>
  <si>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</si>
  <si>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</si>
  <si>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</si>
  <si>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</si>
  <si>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</si>
  <si>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</si>
  <si>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</si>
  <si>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</si>
  <si>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</si>
  <si>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</si>
  <si>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</si>
  <si>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</si>
  <si>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</si>
  <si>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</si>
  <si>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</si>
  <si>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</si>
  <si>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</si>
  <si>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</si>
  <si>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</si>
  <si>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</si>
  <si>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</si>
  <si>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</si>
  <si>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</si>
  <si>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</si>
  <si>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</si>
  <si>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</si>
  <si>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</si>
  <si>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</si>
  <si>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</si>
  <si>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</si>
  <si>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</si>
  <si>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</si>
  <si>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</si>
  <si>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</si>
  <si>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</si>
  <si>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</si>
  <si>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</si>
  <si>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</si>
  <si>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</si>
  <si>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</si>
  <si>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</si>
  <si>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</si>
  <si>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</si>
  <si>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</si>
  <si>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</si>
  <si>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</si>
  <si>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</si>
  <si>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</si>
  <si>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</si>
  <si>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</si>
  <si>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</si>
  <si>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</si>
  <si>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</si>
  <si>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</si>
  <si>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</si>
  <si>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</si>
  <si>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</si>
  <si>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</si>
  <si>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</si>
  <si>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</si>
  <si>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</si>
  <si>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</si>
  <si>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</si>
  <si>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</si>
  <si>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</si>
  <si>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</si>
  <si>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</si>
  <si>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</si>
  <si>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</si>
  <si>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</si>
  <si>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</si>
  <si>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</si>
  <si>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</si>
  <si>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</si>
  <si>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</si>
  <si>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</si>
  <si>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</si>
  <si>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</si>
  <si>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</si>
  <si>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</si>
  <si>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</si>
  <si>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</si>
  <si>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</si>
  <si>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</si>
  <si>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</si>
  <si>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</si>
  <si>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</si>
  <si>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</si>
  <si>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</si>
  <si>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</si>
  <si>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</si>
  <si>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</si>
  <si>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</si>
  <si>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</si>
  <si>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</si>
  <si>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</si>
  <si>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</si>
  <si>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</si>
  <si>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</si>
  <si>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</si>
  <si>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</si>
  <si>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</si>
  <si>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</si>
  <si>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</si>
  <si>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</si>
  <si>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</si>
  <si>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</si>
  <si>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</si>
  <si>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</si>
  <si>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</si>
  <si>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</si>
  <si>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</si>
  <si>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</si>
  <si>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</si>
  <si>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</si>
  <si>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</si>
  <si>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</si>
  <si>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</si>
  <si>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</si>
  <si>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</si>
  <si>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</si>
  <si>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</si>
  <si>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</si>
  <si>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</si>
  <si>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</si>
  <si>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</si>
  <si>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</si>
  <si>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</si>
  <si>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</si>
  <si>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</si>
  <si>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</si>
  <si>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</si>
  <si>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</si>
  <si>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</si>
  <si>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</si>
  <si>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</si>
  <si>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</si>
  <si>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</si>
  <si>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</si>
  <si>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</si>
  <si>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</si>
  <si>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</si>
  <si>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</si>
  <si>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</si>
  <si>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</si>
  <si>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</si>
  <si>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</si>
  <si>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</si>
  <si>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</si>
  <si>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</si>
  <si>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</si>
  <si>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</si>
  <si>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</si>
  <si>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</si>
  <si>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</si>
  <si>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</si>
  <si>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</si>
  <si>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</si>
  <si>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</si>
  <si>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</si>
  <si>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</si>
  <si>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</si>
  <si>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</si>
  <si>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</si>
  <si>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</si>
  <si>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</si>
  <si>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</si>
  <si>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</si>
  <si>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</si>
  <si>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</si>
  <si>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</si>
  <si>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</si>
  <si>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</si>
  <si>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</si>
  <si>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</si>
  <si>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</si>
  <si>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</si>
  <si>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</si>
  <si>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</si>
  <si>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</si>
  <si>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</si>
  <si>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</si>
  <si>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</si>
  <si>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</si>
  <si>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</si>
  <si>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</si>
  <si>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</si>
  <si>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</si>
  <si>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</si>
  <si>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</si>
  <si>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</si>
  <si>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</si>
  <si>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</si>
  <si>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</si>
  <si>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</si>
  <si>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</si>
  <si>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</si>
  <si>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</si>
  <si>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</si>
  <si>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</si>
  <si>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</si>
  <si>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</si>
  <si>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</si>
  <si>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</si>
  <si>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</si>
  <si>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</si>
  <si>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</si>
  <si>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</si>
  <si>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</si>
  <si>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</si>
  <si>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</si>
  <si>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</si>
  <si>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</si>
  <si>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</si>
  <si>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</si>
  <si>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</si>
  <si>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</si>
  <si>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</si>
  <si>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</si>
  <si>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</si>
  <si>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</si>
  <si>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</si>
  <si>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</si>
  <si>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</si>
  <si>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</si>
  <si>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</si>
  <si>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</si>
  <si>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</si>
  <si>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</si>
  <si>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</si>
  <si>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</si>
  <si>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</si>
  <si>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</si>
  <si>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</si>
  <si>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</si>
  <si>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</si>
  <si>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</si>
  <si>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</si>
  <si>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</si>
  <si>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</si>
  <si>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</si>
  <si>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</si>
  <si>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</si>
  <si>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</si>
  <si>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</si>
  <si>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</si>
  <si>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</si>
  <si>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</si>
  <si>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</si>
  <si>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</si>
  <si>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</si>
  <si>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</si>
  <si>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</si>
  <si>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</si>
  <si>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</si>
  <si>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</si>
  <si>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</si>
  <si>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</si>
  <si>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</si>
  <si>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</si>
  <si>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</si>
  <si>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</si>
  <si>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</si>
  <si>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</si>
  <si>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</si>
  <si>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</si>
  <si>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</si>
  <si>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</si>
  <si>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</si>
  <si>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</si>
  <si>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</si>
  <si>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</si>
  <si>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</si>
  <si>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</si>
  <si>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</si>
  <si>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</si>
  <si>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</si>
  <si>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</si>
  <si>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</si>
  <si>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</si>
  <si>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</si>
  <si>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</si>
  <si>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</si>
  <si>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</si>
  <si>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</si>
  <si>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</si>
  <si>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</si>
  <si>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</si>
  <si>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</si>
  <si>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</si>
  <si>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</si>
  <si>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</si>
  <si>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</si>
  <si>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</si>
  <si>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</si>
  <si>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</si>
  <si>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</si>
  <si>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</si>
  <si>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</si>
  <si>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</si>
  <si>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</si>
  <si>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</si>
  <si>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</si>
  <si>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</si>
  <si>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</si>
  <si>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</si>
  <si>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</si>
  <si>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</si>
  <si>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</si>
  <si>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</si>
  <si>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</si>
  <si>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</si>
  <si>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</si>
  <si>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</si>
  <si>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</si>
  <si>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</si>
  <si>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</si>
  <si>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</si>
  <si>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</si>
  <si>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</si>
  <si>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</si>
  <si>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</si>
  <si>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</si>
  <si>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</si>
  <si>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</si>
  <si>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</si>
  <si>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</si>
  <si>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</si>
  <si>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</si>
  <si>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</si>
  <si>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</si>
  <si>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</si>
  <si>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</si>
  <si>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</si>
  <si>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</si>
  <si>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</si>
  <si>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</si>
  <si>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</si>
  <si>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</si>
  <si>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</si>
  <si>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</si>
  <si>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</si>
  <si>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</si>
  <si>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</si>
  <si>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</si>
  <si>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</si>
  <si>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</si>
  <si>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</si>
  <si>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</si>
  <si>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</si>
  <si>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</si>
  <si>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</si>
  <si>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</si>
  <si>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</si>
  <si>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</si>
  <si>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</si>
  <si>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</si>
  <si>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</si>
  <si>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</si>
  <si>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</si>
  <si>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</si>
  <si>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</si>
  <si>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</si>
  <si>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</si>
  <si>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</si>
  <si>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</si>
  <si>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</si>
  <si>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</si>
  <si>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</si>
  <si>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</si>
  <si>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</si>
  <si>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</si>
  <si>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</si>
  <si>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</si>
  <si>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</si>
  <si>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</si>
  <si>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</si>
  <si>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</si>
  <si>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</si>
  <si>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</si>
  <si>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</si>
  <si>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</si>
  <si>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</si>
  <si>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</si>
  <si>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</si>
  <si>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</si>
  <si>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</si>
  <si>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</si>
  <si>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</si>
  <si>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</si>
  <si>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</si>
  <si>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</si>
  <si>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</si>
  <si>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</si>
  <si>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</si>
  <si>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</si>
  <si>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</si>
  <si>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</si>
  <si>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</si>
  <si>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</si>
  <si>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</si>
  <si>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</si>
  <si>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</si>
  <si>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</si>
  <si>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</si>
  <si>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</si>
  <si>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</si>
  <si>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</si>
  <si>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</si>
  <si>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</si>
  <si>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</si>
  <si>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</si>
  <si>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</si>
  <si>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</si>
  <si>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</si>
  <si>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</si>
  <si>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</si>
  <si>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</si>
  <si>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</si>
  <si>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</si>
  <si>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</si>
  <si>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</si>
  <si>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</si>
  <si>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</si>
  <si>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</si>
  <si>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</si>
  <si>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</si>
  <si>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</si>
  <si>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</si>
  <si>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</si>
  <si>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</si>
  <si>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</si>
  <si>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</si>
  <si>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</si>
  <si>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</si>
  <si>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</si>
  <si>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</si>
  <si>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</si>
  <si>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</si>
  <si>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</si>
  <si>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</si>
  <si>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</si>
  <si>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</si>
  <si>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</si>
  <si>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</si>
  <si>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</si>
  <si>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</si>
  <si>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</si>
  <si>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</si>
  <si>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</si>
  <si>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</si>
  <si>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</si>
  <si>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</si>
  <si>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</si>
  <si>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</si>
  <si>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</si>
  <si>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</si>
  <si>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</si>
  <si>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</si>
  <si>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</si>
  <si>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</si>
  <si>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</si>
  <si>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</si>
  <si>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</si>
  <si>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</si>
  <si>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</si>
  <si>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</si>
  <si>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</si>
  <si>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</si>
  <si>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</si>
  <si>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</si>
  <si>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</si>
  <si>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</si>
  <si>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</si>
  <si>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</si>
  <si>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</si>
  <si>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</si>
  <si>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</si>
  <si>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</si>
  <si>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</si>
  <si>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</si>
  <si>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</si>
  <si>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</si>
  <si>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</si>
  <si>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</si>
  <si>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</si>
  <si>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</si>
  <si>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</si>
  <si>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</si>
  <si>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</si>
  <si>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</si>
  <si>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</si>
  <si>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</si>
  <si>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</si>
  <si>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</si>
  <si>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</si>
  <si>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</si>
  <si>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</si>
  <si>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</si>
  <si>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</si>
  <si>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</si>
  <si>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</si>
  <si>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</si>
  <si>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</si>
  <si>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</si>
  <si>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</si>
  <si>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</si>
  <si>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</si>
  <si>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</si>
  <si>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</si>
  <si>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</si>
  <si>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</si>
  <si>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</si>
  <si>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</si>
  <si>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</si>
  <si>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</si>
  <si>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</si>
  <si>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</si>
  <si>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</si>
  <si>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</si>
  <si>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</si>
  <si>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</si>
  <si>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</si>
  <si>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</si>
  <si>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</si>
  <si>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</si>
  <si>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</si>
  <si>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</si>
  <si>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</si>
  <si>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</si>
  <si>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</si>
  <si>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</si>
  <si>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</si>
  <si>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</si>
  <si>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</si>
  <si>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</si>
  <si>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</si>
  <si>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</si>
  <si>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</si>
  <si>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</si>
  <si>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</si>
  <si>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</si>
  <si>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</si>
  <si>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</si>
  <si>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</si>
  <si>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</si>
  <si>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</si>
  <si>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</si>
  <si>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</si>
  <si>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</si>
  <si>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</si>
  <si>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</si>
  <si>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</si>
  <si>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</si>
  <si>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</si>
  <si>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</si>
  <si>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</si>
  <si>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</si>
  <si>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</si>
  <si>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</si>
  <si>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</si>
  <si>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</si>
  <si>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</si>
  <si>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</si>
  <si>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</si>
  <si>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</si>
  <si>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</si>
  <si>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</si>
  <si>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</si>
  <si>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</si>
  <si>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</si>
  <si>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</si>
  <si>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</si>
  <si>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</si>
  <si>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</si>
  <si>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</si>
  <si>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</si>
  <si>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</si>
  <si>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</si>
  <si>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</si>
  <si>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</si>
  <si>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</si>
  <si>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</si>
  <si>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</si>
  <si>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</si>
  <si>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</si>
  <si>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</si>
  <si>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</si>
  <si>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</si>
  <si>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</si>
  <si>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</si>
  <si>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</si>
  <si>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</si>
  <si>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</si>
  <si>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</si>
  <si>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</si>
  <si>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</si>
  <si>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</si>
  <si>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</si>
  <si>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</si>
  <si>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</si>
  <si>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</si>
  <si>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</si>
  <si>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</si>
  <si>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</si>
  <si>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</si>
  <si>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</si>
  <si>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</si>
  <si>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</si>
  <si>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</si>
  <si>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</si>
  <si>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</si>
  <si>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</si>
  <si>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</si>
  <si>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</si>
  <si>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</si>
  <si>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</si>
  <si>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</si>
  <si>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</si>
  <si>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</si>
  <si>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</si>
  <si>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</si>
  <si>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</si>
  <si>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</si>
  <si>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</si>
  <si>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</si>
  <si>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</si>
  <si>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</si>
  <si>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</si>
  <si>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</si>
  <si>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</si>
  <si>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</si>
  <si>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</si>
  <si>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</si>
  <si>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</si>
  <si>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</si>
  <si>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</si>
  <si>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</si>
  <si>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</si>
  <si>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</si>
  <si>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</si>
  <si>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</si>
  <si>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</si>
  <si>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</si>
  <si>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</si>
  <si>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</si>
  <si>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</si>
  <si>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</si>
  <si>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</si>
  <si>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</si>
  <si>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</si>
  <si>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</si>
  <si>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</si>
  <si>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</si>
  <si>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</si>
  <si>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</si>
  <si>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</si>
  <si>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</si>
  <si>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</si>
  <si>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</si>
  <si>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</si>
  <si>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</si>
  <si>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</si>
  <si>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</si>
  <si>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</si>
  <si>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</si>
  <si>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</si>
  <si>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</si>
  <si>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</si>
  <si>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</si>
  <si>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</si>
  <si>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</si>
  <si>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</si>
  <si>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</si>
  <si>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</si>
  <si>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</si>
  <si>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</si>
  <si>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</si>
  <si>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</si>
  <si>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</si>
  <si>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</si>
  <si>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</si>
  <si>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</si>
  <si>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</si>
  <si>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</si>
  <si>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</si>
  <si>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</si>
  <si>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</si>
  <si>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</si>
  <si>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</si>
  <si>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</si>
  <si>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</si>
  <si>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</si>
  <si>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</si>
  <si>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</si>
  <si>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</si>
  <si>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</si>
  <si>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</si>
  <si>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</si>
  <si>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</si>
  <si>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</si>
  <si>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</si>
  <si>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</si>
  <si>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</si>
  <si>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</si>
  <si>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</si>
  <si>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</si>
  <si>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</si>
  <si>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</si>
  <si>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</si>
  <si>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</si>
  <si>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</si>
  <si>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</si>
  <si>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</si>
  <si>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</si>
  <si>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</si>
  <si>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</si>
  <si>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</si>
  <si>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</si>
  <si>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</si>
  <si>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</si>
  <si>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</si>
  <si>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</si>
  <si>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</si>
  <si>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</si>
  <si>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</si>
  <si>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</si>
  <si>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</si>
  <si>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</si>
  <si>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</si>
  <si>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</si>
  <si>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</si>
  <si>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</si>
  <si>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</si>
  <si>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</si>
  <si>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</si>
  <si>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</si>
  <si>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</si>
  <si>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</si>
  <si>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</si>
  <si>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</si>
  <si>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</si>
  <si>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</si>
  <si>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</si>
  <si>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</si>
  <si>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</si>
  <si>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</si>
  <si>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</si>
  <si>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</si>
  <si>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</si>
  <si>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</si>
  <si>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</si>
  <si>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</si>
  <si>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</si>
  <si>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</si>
  <si>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</si>
  <si>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</si>
  <si>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</si>
  <si>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</si>
  <si>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</si>
  <si>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</si>
  <si>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</si>
  <si>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</si>
  <si>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</si>
  <si>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</si>
  <si>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</si>
  <si>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</si>
  <si>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</si>
  <si>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</si>
  <si>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</si>
  <si>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</si>
  <si>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</si>
  <si>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</si>
  <si>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</si>
  <si>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</si>
  <si>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</si>
  <si>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</si>
  <si>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</si>
  <si>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</si>
  <si>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</si>
  <si>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</si>
  <si>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</si>
  <si>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</si>
  <si>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</si>
  <si>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</si>
  <si>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</si>
  <si>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</si>
  <si>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</si>
  <si>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</si>
  <si>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</si>
  <si>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</si>
  <si>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</si>
  <si>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</si>
  <si>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</si>
  <si>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</si>
  <si>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</si>
  <si>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</si>
  <si>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</si>
  <si>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</si>
  <si>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</si>
  <si>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</si>
  <si>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</si>
  <si>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</si>
  <si>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</si>
  <si>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</si>
  <si>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</si>
  <si>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</si>
  <si>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</si>
  <si>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</si>
  <si>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</si>
  <si>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</si>
  <si>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</si>
  <si>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</si>
  <si>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</si>
  <si>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</si>
  <si>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</si>
  <si>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</si>
  <si>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</si>
  <si>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</si>
  <si>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</si>
  <si>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</si>
  <si>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</si>
  <si>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</si>
  <si>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</si>
  <si>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</si>
  <si>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</si>
  <si>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</si>
  <si>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</si>
  <si>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</si>
  <si>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</si>
  <si>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</si>
  <si>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</si>
  <si>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</si>
  <si>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</si>
  <si>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</si>
  <si>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</si>
  <si>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</si>
  <si>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</si>
  <si>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</si>
  <si>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</si>
  <si>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</si>
  <si>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</si>
  <si>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</si>
  <si>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</si>
  <si>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</si>
  <si>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</si>
  <si>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</si>
  <si>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</si>
  <si>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</si>
  <si>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</si>
  <si>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</si>
  <si>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</si>
  <si>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</si>
  <si>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</si>
  <si>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</si>
  <si>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</si>
  <si>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</si>
  <si>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</si>
  <si>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</si>
  <si>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</si>
  <si>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</si>
  <si>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</si>
  <si>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</si>
  <si>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</si>
  <si>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</si>
  <si>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</si>
  <si>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</si>
  <si>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</si>
  <si>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</si>
  <si>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</si>
  <si>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</si>
  <si>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</si>
  <si>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</si>
  <si>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</si>
  <si>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</si>
  <si>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</si>
  <si>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</si>
  <si>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</si>
  <si>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</si>
  <si>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</si>
  <si>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</si>
  <si>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</si>
  <si>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</si>
  <si>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</si>
  <si>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</si>
  <si>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</si>
  <si>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</si>
  <si>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</si>
  <si>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</si>
  <si>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</si>
  <si>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</si>
  <si>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</si>
  <si>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</si>
  <si>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</si>
  <si>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</si>
  <si>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</si>
  <si>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</si>
  <si>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</si>
  <si>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</si>
  <si>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</si>
  <si>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</si>
  <si>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</si>
  <si>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</si>
  <si>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</si>
  <si>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</si>
  <si>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</si>
  <si>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</si>
  <si>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</si>
  <si>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</si>
  <si>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</si>
  <si>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</si>
  <si>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</si>
  <si>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</si>
  <si>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</si>
  <si>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</si>
  <si>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</si>
  <si>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</si>
  <si>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</si>
  <si>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</si>
  <si>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</si>
  <si>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</si>
  <si>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</si>
  <si>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</si>
  <si>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</si>
  <si>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</si>
  <si>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</si>
  <si>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</si>
  <si>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</si>
  <si>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</si>
  <si>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</si>
  <si>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</si>
  <si>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</si>
  <si>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</si>
  <si>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</si>
  <si>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</si>
  <si>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</si>
  <si>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</si>
  <si>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</si>
  <si>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</si>
  <si>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</si>
  <si>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</si>
  <si>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</si>
  <si>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</si>
  <si>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</si>
  <si>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</si>
  <si>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</si>
  <si>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</si>
  <si>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</si>
  <si>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</si>
  <si>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</si>
  <si>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</si>
  <si>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</si>
  <si>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</si>
  <si>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</si>
  <si>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</si>
  <si>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</si>
  <si>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</si>
  <si>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</si>
  <si>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</si>
  <si>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</si>
  <si>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</si>
  <si>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</si>
  <si>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</si>
  <si>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</si>
  <si>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</si>
  <si>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</si>
  <si>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</si>
  <si>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</si>
  <si>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</si>
  <si>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</si>
  <si>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</si>
  <si>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</si>
  <si>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</si>
  <si>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</si>
  <si>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</si>
  <si>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</si>
  <si>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</si>
  <si>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</si>
  <si>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</si>
  <si>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</si>
  <si>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</si>
  <si>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</si>
  <si>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</si>
  <si>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</si>
  <si>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</si>
  <si>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</si>
  <si>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</si>
  <si>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</si>
  <si>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</si>
  <si>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</si>
  <si>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</si>
  <si>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</si>
  <si>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</si>
  <si>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</si>
  <si>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</si>
  <si>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</si>
  <si>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</si>
  <si>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</si>
  <si>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</si>
  <si>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</si>
  <si>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</si>
  <si>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</si>
  <si>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</si>
  <si>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</si>
  <si>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</si>
  <si>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</si>
  <si>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</si>
  <si>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</si>
  <si>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</si>
  <si>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</si>
  <si>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</si>
  <si>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</si>
  <si>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</si>
  <si>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</si>
  <si>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</si>
  <si>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</si>
  <si>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</si>
  <si>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</si>
  <si>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</si>
  <si>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</si>
  <si>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</si>
  <si>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</si>
  <si>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</si>
  <si>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</si>
  <si>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</si>
  <si>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</si>
  <si>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</si>
  <si>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</si>
  <si>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</si>
  <si>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</si>
  <si>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</si>
  <si>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</si>
  <si>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</si>
  <si>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</si>
  <si>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</si>
  <si>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</si>
  <si>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</si>
  <si>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</si>
  <si>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</si>
  <si>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</si>
  <si>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</si>
  <si>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</si>
  <si>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</si>
  <si>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</si>
  <si>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</si>
  <si>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</si>
  <si>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</si>
  <si>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</si>
  <si>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</si>
  <si>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</si>
  <si>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</si>
  <si>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</si>
  <si>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</si>
  <si>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</si>
  <si>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</si>
  <si>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</si>
  <si>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</si>
  <si>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</si>
  <si>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</si>
  <si>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</si>
  <si>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</si>
  <si>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</si>
  <si>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</si>
  <si>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</si>
  <si>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</si>
  <si>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</si>
  <si>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</si>
  <si>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</si>
  <si>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</si>
  <si>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</si>
  <si>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</si>
  <si>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</si>
  <si>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</si>
  <si>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</si>
  <si>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</si>
  <si>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</si>
  <si>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</si>
  <si>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</si>
  <si>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</si>
  <si>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</si>
  <si>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</si>
  <si>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</si>
  <si>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</si>
  <si>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</si>
  <si>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</si>
  <si>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</si>
  <si>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</si>
  <si>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</si>
  <si>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</si>
  <si>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</si>
  <si>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</si>
  <si>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</si>
  <si>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</si>
  <si>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</si>
  <si>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</si>
  <si>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</si>
  <si>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</si>
  <si>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</si>
  <si>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</si>
  <si>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</si>
  <si>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</si>
  <si>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</si>
  <si>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</si>
  <si>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</si>
  <si>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</si>
  <si>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</si>
  <si>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</si>
  <si>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</si>
  <si>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</si>
  <si>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</si>
  <si>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</si>
  <si>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</si>
  <si>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</si>
  <si>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</si>
  <si>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</si>
  <si>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</si>
  <si>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</si>
  <si>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</si>
  <si>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</si>
  <si>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</si>
  <si>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</si>
  <si>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</si>
  <si>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</si>
  <si>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</si>
  <si>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</si>
  <si>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</si>
  <si>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</si>
  <si>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</si>
  <si>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</si>
  <si>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</si>
  <si>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</si>
  <si>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</si>
  <si>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</si>
  <si>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</si>
  <si>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</si>
  <si>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</si>
  <si>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</si>
  <si>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</si>
  <si>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</si>
  <si>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</si>
  <si>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</si>
  <si>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</si>
  <si>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</si>
  <si>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</si>
  <si>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</si>
  <si>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</si>
  <si>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</si>
  <si>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</si>
  <si>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</si>
  <si>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</si>
  <si>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</si>
  <si>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</si>
  <si>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</si>
  <si>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</si>
  <si>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</si>
  <si>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</si>
  <si>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</si>
  <si>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</si>
  <si>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</si>
  <si>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</si>
  <si>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</si>
  <si>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</si>
  <si>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</si>
  <si>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</si>
  <si>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</si>
  <si>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</si>
  <si>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</si>
  <si>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</si>
  <si>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</si>
  <si>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</si>
  <si>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</si>
  <si>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</si>
  <si>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</si>
  <si>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</si>
  <si>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</si>
  <si>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</si>
  <si>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</si>
  <si>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</si>
  <si>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</si>
  <si>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</si>
  <si>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</si>
  <si>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</si>
  <si>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</si>
  <si>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</si>
  <si>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</si>
  <si>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</si>
  <si>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</si>
  <si>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</si>
  <si>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</si>
  <si>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</si>
  <si>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</si>
  <si>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</si>
  <si>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</si>
  <si>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</si>
  <si>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</si>
  <si>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</si>
  <si>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</si>
  <si>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</si>
  <si>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</si>
  <si>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</si>
  <si>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</si>
  <si>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</si>
  <si>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</si>
  <si>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</si>
  <si>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</si>
  <si>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</si>
  <si>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</si>
  <si>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</si>
  <si>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</si>
  <si>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</si>
  <si>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</si>
  <si>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</si>
  <si>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</si>
  <si>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</si>
  <si>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</si>
  <si>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</si>
  <si>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</si>
  <si>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</si>
  <si>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</si>
  <si>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</si>
  <si>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</si>
  <si>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</si>
  <si>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</si>
  <si>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</si>
  <si>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</si>
  <si>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</si>
  <si>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</si>
  <si>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</si>
  <si>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</si>
  <si>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</si>
  <si>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</si>
  <si>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</si>
  <si>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</si>
  <si>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</si>
  <si>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</si>
  <si>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</si>
  <si>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</si>
  <si>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</si>
  <si>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</si>
  <si>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</si>
  <si>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</si>
  <si>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</si>
  <si>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</si>
  <si>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</si>
  <si>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</si>
  <si>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</si>
  <si>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</si>
  <si>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</si>
  <si>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</si>
  <si>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</si>
  <si>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</si>
  <si>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</si>
  <si>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</si>
  <si>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</si>
  <si>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</si>
  <si>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</si>
  <si>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</si>
  <si>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</si>
  <si>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</si>
  <si>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</si>
  <si>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</si>
  <si>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</si>
  <si>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</si>
  <si>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</si>
  <si>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</si>
  <si>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</si>
  <si>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</si>
  <si>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</si>
  <si>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</si>
  <si>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</si>
  <si>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</si>
  <si>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</si>
  <si>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</si>
  <si>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</si>
  <si>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</si>
  <si>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</si>
  <si>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</si>
  <si>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</si>
  <si>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</si>
  <si>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</si>
  <si>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</si>
  <si>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</si>
  <si>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</si>
  <si>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</si>
  <si>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</si>
  <si>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</si>
  <si>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</si>
  <si>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</si>
  <si>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</si>
  <si>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</si>
  <si>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</si>
  <si>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</si>
  <si>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</si>
  <si>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</si>
  <si>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</si>
  <si>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</si>
  <si>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</si>
  <si>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</si>
  <si>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</si>
  <si>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</si>
  <si>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</si>
  <si>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</si>
  <si>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</si>
  <si>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</si>
  <si>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</si>
  <si>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</si>
  <si>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</si>
  <si>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</si>
  <si>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</si>
  <si>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</si>
  <si>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</si>
  <si>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</si>
  <si>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</si>
  <si>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</si>
  <si>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</si>
  <si>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</si>
  <si>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</si>
  <si>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</si>
  <si>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</si>
  <si>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</si>
  <si>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</si>
  <si>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</si>
  <si>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</si>
  <si>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</si>
  <si>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</si>
  <si>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</si>
  <si>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</si>
  <si>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</si>
  <si>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</si>
  <si>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</si>
  <si>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</si>
  <si>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</si>
  <si>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</si>
  <si>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</si>
  <si>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</si>
  <si>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</si>
  <si>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</si>
  <si>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</si>
  <si>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</si>
  <si>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</si>
  <si>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</si>
  <si>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</si>
  <si>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</si>
  <si>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</si>
  <si>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</si>
  <si>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</si>
  <si>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</si>
  <si>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</si>
  <si>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</si>
  <si>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</si>
  <si>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</si>
  <si>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</si>
  <si>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</si>
  <si>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</si>
  <si>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</si>
  <si>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</si>
  <si>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</si>
  <si>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</si>
  <si>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</si>
  <si>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</si>
  <si>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</si>
  <si>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</si>
  <si>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</si>
  <si>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</si>
  <si>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</si>
  <si>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</si>
  <si>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</si>
  <si>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</si>
  <si>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</si>
  <si>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</si>
  <si>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</si>
  <si>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</si>
  <si>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</si>
  <si>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</si>
  <si>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</si>
  <si>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</si>
  <si>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</si>
  <si>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</si>
  <si>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</si>
  <si>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</si>
  <si>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</si>
  <si>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</si>
  <si>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</si>
  <si>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</si>
  <si>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</si>
  <si>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</si>
  <si>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</si>
  <si>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</si>
  <si>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</si>
  <si>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</si>
  <si>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</si>
  <si>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</si>
  <si>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</si>
  <si>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</si>
  <si>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</si>
  <si>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</si>
  <si>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</si>
  <si>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</si>
  <si>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</si>
  <si>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</si>
  <si>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</si>
  <si>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</si>
  <si>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</si>
  <si>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</si>
  <si>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</si>
  <si>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</si>
  <si>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</si>
  <si>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</si>
  <si>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</si>
  <si>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</si>
  <si>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</si>
  <si>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</si>
  <si>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</si>
  <si>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</si>
  <si>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</si>
  <si>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</si>
  <si>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</si>
  <si>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</si>
  <si>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</si>
  <si>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</si>
  <si>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</si>
  <si>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</si>
  <si>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</si>
  <si>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</si>
  <si>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</si>
  <si>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</si>
  <si>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</si>
  <si>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</si>
  <si>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</si>
  <si>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</si>
  <si>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</si>
  <si>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</si>
  <si>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</si>
  <si>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</si>
  <si>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</si>
  <si>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</si>
  <si>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</si>
  <si>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</si>
  <si>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</si>
  <si>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</si>
  <si>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</si>
  <si>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</si>
  <si>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</si>
  <si>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</si>
  <si>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</si>
  <si>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</si>
  <si>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</si>
  <si>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</si>
  <si>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</si>
  <si>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</si>
  <si>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</si>
  <si>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</si>
  <si>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</si>
  <si>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</si>
  <si>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</si>
  <si>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</si>
  <si>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</si>
  <si>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</si>
  <si>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</si>
  <si>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</si>
  <si>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</si>
  <si>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</si>
  <si>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</si>
  <si>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</si>
  <si>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</si>
  <si>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</si>
  <si>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</si>
  <si>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</si>
  <si>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</si>
  <si>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</si>
  <si>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</si>
  <si>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</si>
  <si>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</si>
  <si>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</si>
  <si>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</si>
  <si>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</si>
  <si>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</si>
  <si>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</si>
  <si>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</si>
  <si>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</si>
  <si>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</si>
  <si>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</si>
  <si>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</si>
  <si>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</si>
  <si>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</si>
  <si>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</si>
  <si>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</si>
  <si>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</si>
  <si>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</si>
  <si>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</si>
  <si>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</si>
  <si>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</si>
  <si>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</si>
  <si>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</si>
  <si>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</si>
  <si>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</si>
  <si>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</si>
  <si>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</si>
  <si>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</si>
  <si>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</si>
  <si>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</si>
  <si>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</si>
  <si>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</si>
  <si>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</si>
  <si>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</si>
  <si>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</si>
  <si>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</si>
  <si>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</si>
  <si>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</si>
  <si>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</si>
  <si>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</si>
  <si>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</si>
  <si>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</si>
  <si>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</si>
  <si>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</si>
  <si>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</si>
  <si>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</si>
  <si>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</si>
  <si>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</si>
  <si>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</si>
  <si>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</si>
  <si>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</si>
  <si>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</si>
  <si>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</si>
  <si>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</si>
  <si>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</si>
  <si>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</si>
  <si>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</si>
  <si>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</si>
  <si>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</si>
  <si>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</si>
  <si>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</si>
  <si>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</si>
  <si>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</si>
  <si>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</si>
  <si>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</si>
  <si>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</si>
  <si>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</si>
  <si>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</si>
  <si>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</si>
  <si>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</si>
  <si>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</si>
  <si>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</si>
  <si>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</si>
  <si>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</si>
  <si>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</si>
  <si>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</si>
  <si>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</si>
  <si>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</si>
  <si>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</si>
  <si>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</si>
  <si>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</si>
  <si>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</si>
  <si>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</si>
  <si>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</si>
  <si>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</si>
  <si>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</si>
  <si>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</si>
  <si>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</si>
  <si>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</si>
  <si>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</si>
  <si>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</si>
  <si>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</si>
  <si>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</si>
  <si>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</si>
  <si>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</si>
  <si>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</si>
  <si>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</si>
  <si>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</si>
  <si>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</si>
  <si>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</si>
  <si>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</si>
  <si>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</si>
  <si>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</si>
  <si>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</si>
  <si>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</si>
  <si>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</si>
  <si>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</si>
  <si>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</si>
  <si>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</si>
  <si>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</si>
  <si>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</si>
  <si>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</si>
  <si>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</si>
  <si>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</si>
  <si>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</si>
  <si>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</si>
  <si>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</si>
  <si>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</si>
  <si>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</si>
  <si>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</si>
  <si>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</si>
  <si>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</si>
  <si>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</si>
  <si>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</si>
  <si>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</si>
  <si>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</si>
  <si>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</si>
  <si>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</si>
  <si>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</si>
  <si>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</si>
  <si>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</si>
  <si>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</si>
  <si>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</si>
  <si>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</si>
  <si>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</si>
  <si>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</si>
  <si>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</si>
  <si>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</si>
  <si>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</si>
  <si>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</si>
  <si>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</si>
  <si>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</si>
  <si>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</si>
  <si>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</si>
  <si>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</si>
  <si>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</si>
  <si>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</si>
  <si>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</si>
  <si>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</si>
  <si>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</si>
  <si>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</si>
  <si>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</si>
  <si>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</si>
  <si>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</si>
  <si>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</si>
  <si>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</si>
  <si>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</si>
  <si>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</si>
  <si>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</si>
  <si>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</si>
  <si>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</si>
  <si>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</si>
  <si>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</si>
  <si>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</si>
  <si>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</si>
  <si>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</si>
  <si>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</si>
  <si>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</si>
  <si>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</si>
  <si>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</si>
  <si>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</si>
  <si>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</si>
  <si>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</si>
  <si>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</si>
  <si>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</si>
  <si>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</si>
  <si>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</si>
  <si>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</si>
  <si>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</si>
  <si>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</si>
  <si>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</si>
  <si>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</si>
  <si>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</si>
  <si>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</si>
  <si>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</si>
  <si>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</si>
  <si>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</si>
  <si>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</si>
  <si>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</si>
  <si>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</si>
  <si>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</si>
  <si>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</si>
  <si>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</si>
  <si>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</si>
  <si>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</si>
  <si>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</si>
  <si>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</si>
  <si>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</si>
  <si>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</si>
  <si>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</si>
  <si>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</si>
  <si>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</si>
  <si>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</si>
  <si>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</si>
  <si>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</si>
  <si>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</si>
  <si>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</si>
  <si>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</si>
  <si>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</si>
  <si>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</si>
  <si>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</si>
  <si>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</si>
  <si>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</si>
  <si>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</si>
  <si>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</si>
  <si>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</si>
  <si>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</si>
  <si>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</si>
  <si>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</si>
  <si>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</si>
  <si>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</si>
  <si>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</si>
  <si>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</si>
  <si>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</si>
  <si>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</si>
  <si>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</si>
  <si>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</si>
  <si>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</si>
  <si>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</si>
  <si>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</si>
  <si>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</si>
  <si>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</si>
  <si>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</si>
  <si>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</si>
  <si>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</si>
  <si>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</si>
  <si>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</si>
  <si>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</si>
  <si>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</si>
  <si>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</si>
  <si>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</si>
  <si>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</si>
  <si>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</si>
  <si>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</si>
  <si>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</si>
  <si>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</si>
  <si>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</si>
  <si>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</si>
  <si>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</si>
  <si>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</si>
  <si>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</si>
  <si>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</si>
  <si>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</si>
  <si>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</si>
  <si>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</si>
  <si>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</si>
  <si>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</si>
  <si>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</si>
  <si>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</si>
  <si>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</si>
  <si>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</si>
  <si>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</si>
  <si>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</si>
  <si>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</si>
  <si>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</si>
  <si>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</si>
  <si>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</si>
  <si>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</si>
  <si>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</si>
  <si>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</si>
  <si>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</si>
  <si>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</si>
  <si>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</si>
  <si>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</si>
  <si>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</si>
  <si>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</si>
  <si>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</si>
  <si>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</si>
  <si>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</si>
  <si>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</si>
  <si>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</si>
  <si>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</si>
  <si>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</si>
  <si>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</si>
  <si>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</si>
  <si>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</si>
  <si>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</si>
  <si>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</si>
  <si>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</si>
  <si>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</si>
  <si>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</si>
  <si>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</si>
  <si>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</si>
  <si>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</si>
  <si>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</si>
  <si>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</si>
  <si>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</si>
  <si>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</si>
  <si>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</si>
  <si>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</si>
  <si>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</si>
  <si>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</si>
  <si>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</si>
  <si>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</si>
  <si>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</si>
  <si>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</si>
  <si>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</si>
  <si>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</si>
  <si>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</si>
  <si>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</si>
  <si>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</si>
  <si>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</si>
  <si>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</si>
  <si>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</si>
  <si>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</si>
  <si>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</si>
  <si>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</si>
  <si>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</si>
  <si>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</si>
  <si>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</si>
  <si>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</si>
  <si>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</si>
  <si>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</si>
  <si>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</si>
  <si>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</si>
  <si>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</si>
  <si>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</si>
  <si>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</si>
  <si>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</si>
  <si>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</si>
  <si>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</si>
  <si>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</si>
  <si>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</si>
  <si>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</si>
  <si>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</si>
  <si>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</si>
  <si>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</si>
  <si>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</si>
  <si>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</si>
  <si>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</si>
  <si>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</si>
  <si>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</si>
  <si>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</si>
  <si>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</si>
  <si>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</si>
  <si>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</si>
  <si>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</si>
  <si>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</si>
  <si>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</si>
  <si>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</si>
  <si>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</si>
  <si>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</si>
  <si>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</si>
  <si>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</si>
  <si>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</si>
  <si>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</si>
  <si>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</si>
  <si>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</si>
  <si>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</si>
  <si>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</si>
  <si>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</si>
  <si>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</si>
  <si>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</si>
  <si>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</si>
  <si>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</si>
  <si>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</si>
  <si>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</si>
  <si>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</si>
  <si>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</si>
  <si>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</si>
  <si>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</si>
  <si>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</si>
  <si>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</si>
  <si>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</si>
  <si>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</si>
  <si>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</si>
  <si>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</si>
  <si>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</si>
  <si>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</si>
  <si>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</si>
  <si>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</si>
  <si>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</si>
  <si>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</si>
  <si>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</si>
  <si>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</si>
  <si>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</si>
  <si>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</si>
  <si>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</si>
  <si>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</si>
  <si>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</si>
  <si>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</si>
  <si>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</si>
  <si>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</si>
  <si>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</si>
  <si>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</si>
  <si>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</si>
  <si>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</si>
  <si>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</si>
  <si>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</si>
  <si>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</si>
  <si>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</si>
  <si>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</si>
  <si>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</si>
  <si>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</si>
  <si>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</si>
  <si>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</si>
  <si>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</si>
  <si>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</si>
  <si>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</si>
  <si>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</si>
  <si>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</si>
  <si>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</si>
  <si>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</si>
  <si>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</si>
  <si>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</si>
  <si>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</si>
  <si>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</si>
  <si>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</si>
  <si>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</si>
  <si>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</si>
  <si>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</si>
  <si>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</si>
  <si>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</si>
  <si>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</si>
  <si>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</si>
  <si>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</si>
  <si>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</si>
  <si>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</si>
  <si>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</si>
  <si>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</si>
  <si>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</si>
  <si>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</si>
  <si>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</si>
  <si>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</si>
  <si>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</si>
  <si>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</si>
  <si>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</si>
  <si>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</si>
  <si>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</si>
  <si>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</si>
  <si>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</si>
  <si>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</si>
  <si>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</si>
  <si>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</si>
  <si>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</si>
  <si>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</si>
  <si>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</si>
  <si>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</si>
  <si>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</si>
  <si>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</si>
  <si>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</si>
  <si>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</si>
  <si>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</si>
  <si>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</si>
  <si>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</si>
  <si>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</si>
  <si>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</si>
  <si>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</si>
  <si>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</si>
  <si>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</si>
  <si>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</si>
  <si>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</si>
  <si>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</si>
  <si>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</si>
  <si>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</si>
  <si>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</si>
  <si>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</si>
  <si>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</si>
  <si>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</si>
  <si>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</si>
  <si>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</si>
  <si>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</si>
  <si>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</si>
  <si>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</si>
  <si>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</si>
  <si>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</si>
  <si>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</si>
  <si>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</si>
  <si>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</si>
  <si>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</si>
  <si>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</si>
  <si>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</si>
  <si>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</si>
  <si>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</si>
  <si>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</si>
  <si>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</si>
  <si>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</si>
  <si>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</si>
  <si>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</si>
  <si>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</si>
  <si>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</si>
  <si>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</si>
  <si>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</si>
  <si>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</si>
  <si>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</si>
  <si>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</si>
  <si>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</si>
  <si>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</si>
  <si>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</si>
  <si>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</si>
  <si>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</si>
  <si>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</si>
  <si>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</si>
  <si>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</si>
  <si>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</si>
  <si>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</si>
  <si>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</si>
  <si>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</si>
  <si>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</si>
  <si>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</si>
  <si>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</si>
  <si>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</si>
  <si>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</si>
  <si>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</si>
  <si>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</si>
  <si>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</si>
  <si>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</si>
  <si>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</si>
  <si>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</si>
  <si>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</si>
  <si>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</si>
  <si>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</si>
  <si>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</si>
  <si>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</si>
  <si>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</si>
  <si>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</si>
  <si>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</si>
  <si>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</si>
  <si>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</si>
  <si>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</si>
  <si>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</si>
  <si>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</si>
  <si>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</si>
  <si>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</si>
  <si>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</si>
  <si>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</si>
  <si>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</si>
  <si>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</si>
  <si>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</si>
  <si>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</si>
  <si>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</si>
  <si>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</si>
  <si>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</si>
  <si>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</si>
  <si>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</si>
  <si>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</si>
  <si>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</si>
  <si>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</si>
  <si>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</si>
  <si>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</si>
  <si>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</si>
  <si>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</si>
  <si>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</si>
  <si>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</si>
  <si>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</si>
  <si>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</si>
  <si>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</si>
  <si>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</si>
  <si>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</si>
  <si>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</si>
  <si>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</si>
  <si>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</si>
  <si>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</si>
  <si>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</si>
  <si>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</si>
  <si>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</si>
  <si>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</si>
  <si>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</si>
  <si>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</si>
  <si>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</si>
  <si>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</si>
  <si>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</si>
  <si>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</si>
  <si>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</si>
  <si>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</si>
  <si>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</si>
  <si>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</si>
  <si>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</si>
  <si>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</si>
  <si>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</si>
  <si>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</si>
  <si>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</si>
  <si>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</si>
  <si>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</si>
  <si>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</si>
  <si>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</si>
  <si>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</si>
  <si>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</si>
  <si>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</si>
  <si>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</si>
  <si>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</si>
  <si>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</si>
  <si>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</si>
  <si>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</si>
  <si>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</si>
  <si>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</si>
  <si>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</si>
  <si>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</si>
  <si>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</si>
  <si>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</si>
  <si>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</si>
  <si>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</si>
  <si>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</si>
  <si>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</si>
  <si>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</si>
  <si>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</si>
  <si>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</si>
  <si>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</si>
  <si>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</si>
  <si>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</si>
  <si>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</si>
  <si>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</si>
  <si>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</si>
  <si>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</si>
  <si>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</si>
  <si>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</si>
  <si>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</si>
  <si>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</si>
  <si>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</si>
  <si>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</si>
  <si>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</si>
  <si>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</si>
  <si>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</si>
  <si>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</si>
  <si>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</si>
  <si>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</si>
  <si>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</si>
  <si>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</si>
  <si>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</si>
  <si>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</si>
  <si>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</si>
  <si>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</si>
  <si>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</si>
  <si>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</si>
  <si>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</si>
  <si>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</si>
  <si>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</si>
  <si>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</si>
  <si>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</si>
  <si>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</si>
  <si>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</si>
  <si>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</si>
  <si>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</si>
  <si>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</si>
  <si>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</si>
  <si>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</si>
  <si>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</si>
  <si>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</si>
  <si>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</si>
  <si>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</si>
  <si>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</si>
  <si>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</si>
  <si>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</si>
  <si>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</si>
  <si>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</si>
  <si>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</si>
  <si>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</si>
  <si>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</si>
  <si>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</si>
  <si>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</si>
  <si>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</si>
  <si>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</si>
  <si>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</si>
  <si>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</si>
  <si>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</si>
  <si>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</si>
  <si>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</si>
  <si>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</si>
  <si>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</si>
  <si>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</si>
  <si>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</si>
  <si>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</si>
  <si>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</si>
  <si>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</si>
  <si>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</si>
  <si>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</si>
  <si>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</si>
  <si>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</si>
  <si>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</si>
  <si>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</si>
  <si>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</si>
  <si>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</si>
  <si>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</si>
  <si>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</si>
  <si>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</si>
  <si>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</si>
  <si>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</si>
  <si>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</si>
  <si>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</si>
  <si>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</si>
  <si>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</si>
  <si>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</si>
  <si>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</si>
  <si>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</si>
  <si>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</si>
  <si>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</si>
  <si>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</si>
  <si>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</si>
  <si>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</si>
  <si>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</si>
  <si>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</si>
  <si>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</si>
  <si>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</si>
  <si>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</si>
  <si>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</si>
  <si>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</si>
  <si>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</si>
  <si>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</si>
  <si>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</si>
  <si>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</si>
  <si>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</si>
  <si>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</si>
  <si>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</si>
  <si>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</si>
  <si>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</si>
  <si>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</si>
  <si>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</si>
  <si>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</si>
  <si>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</si>
  <si>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</si>
  <si>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</si>
  <si>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</si>
  <si>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</si>
  <si>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</si>
  <si>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</si>
  <si>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</si>
  <si>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</si>
  <si>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</si>
  <si>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</si>
  <si>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</si>
  <si>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</si>
  <si>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</si>
  <si>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</si>
  <si>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</si>
  <si>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</si>
  <si>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</si>
  <si>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</si>
  <si>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</si>
  <si>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</si>
  <si>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</si>
  <si>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</si>
  <si>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</si>
  <si>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</si>
  <si>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</si>
  <si>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</si>
  <si>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</si>
  <si>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</si>
  <si>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</si>
  <si>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</si>
  <si>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</si>
  <si>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</si>
  <si>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</si>
  <si>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</si>
  <si>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</si>
  <si>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</si>
  <si>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</si>
  <si>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</si>
  <si>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</si>
  <si>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</si>
  <si>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</si>
  <si>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</si>
  <si>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</si>
  <si>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</si>
  <si>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</si>
  <si>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</si>
  <si>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</si>
  <si>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</si>
  <si>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</si>
  <si>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</si>
  <si>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</si>
  <si>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</si>
  <si>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</si>
  <si>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</si>
  <si>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</si>
  <si>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</si>
  <si>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</si>
  <si>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</si>
  <si>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</si>
  <si>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</si>
  <si>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</si>
  <si>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</si>
  <si>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</si>
  <si>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</si>
  <si>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</si>
  <si>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</si>
  <si>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</si>
  <si>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</si>
  <si>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</si>
  <si>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</si>
  <si>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</si>
  <si>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</si>
  <si>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</si>
  <si>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</si>
  <si>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</si>
  <si>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</si>
  <si>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</si>
  <si>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</si>
  <si>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</si>
  <si>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</si>
  <si>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</si>
  <si>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</si>
  <si>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</si>
  <si>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</si>
  <si>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</si>
  <si>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</si>
  <si>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</si>
  <si>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</si>
  <si>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</si>
  <si>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</si>
  <si>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</si>
  <si>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</si>
  <si>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</si>
  <si>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</si>
  <si>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</si>
  <si>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</si>
  <si>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</si>
  <si>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</si>
  <si>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</si>
  <si>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</si>
  <si>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</si>
  <si>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</si>
  <si>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</si>
  <si>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</si>
  <si>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</si>
  <si>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</si>
  <si>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</si>
  <si>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</si>
  <si>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</si>
  <si>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</si>
  <si>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</si>
  <si>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</si>
  <si>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</si>
  <si>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</si>
  <si>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</si>
  <si>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</si>
  <si>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</si>
  <si>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</si>
  <si>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</si>
  <si>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</si>
  <si>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</si>
  <si>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</si>
  <si>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</si>
  <si>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</si>
  <si>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</si>
  <si>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</si>
  <si>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</si>
  <si>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</si>
  <si>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</si>
  <si>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</si>
  <si>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</si>
  <si>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</si>
  <si>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</si>
  <si>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</si>
  <si>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</si>
  <si>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</si>
  <si>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</si>
  <si>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</si>
  <si>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</si>
  <si>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</si>
  <si>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</si>
  <si>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</si>
  <si>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</si>
  <si>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</si>
  <si>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</si>
  <si>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</si>
  <si>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</si>
  <si>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</si>
  <si>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</si>
  <si>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</si>
  <si>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</si>
  <si>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</si>
  <si>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</si>
  <si>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</si>
  <si>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</si>
  <si>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</si>
  <si>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</si>
  <si>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</si>
  <si>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</si>
  <si>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</si>
  <si>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</si>
  <si>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</si>
  <si>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</si>
  <si>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</si>
  <si>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</si>
  <si>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</si>
  <si>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</si>
  <si>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</si>
  <si>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</si>
  <si>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</si>
  <si>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</si>
  <si>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</si>
  <si>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</si>
  <si>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</si>
  <si>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</si>
  <si>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</si>
  <si>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</si>
  <si>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</si>
  <si>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</si>
  <si>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</si>
  <si>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</si>
  <si>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</si>
  <si>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</si>
  <si>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</si>
  <si>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</si>
  <si>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</si>
  <si>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</si>
  <si>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</si>
  <si>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</si>
  <si>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</si>
  <si>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</si>
  <si>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</si>
  <si>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</si>
  <si>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</si>
  <si>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</si>
  <si>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</si>
  <si>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</si>
  <si>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</si>
  <si>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</si>
  <si>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</si>
  <si>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</si>
  <si>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</si>
  <si>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</si>
  <si>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</si>
  <si>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</si>
  <si>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</si>
  <si>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</si>
  <si>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</si>
  <si>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</si>
  <si>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</si>
  <si>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</si>
  <si>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</si>
  <si>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</si>
  <si>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</si>
  <si>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</si>
  <si>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</si>
  <si>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</si>
  <si>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</si>
  <si>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</si>
  <si>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</si>
  <si>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</si>
  <si>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</si>
  <si>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</si>
  <si>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</si>
  <si>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</si>
  <si>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</si>
  <si>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</si>
  <si>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</si>
  <si>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</si>
  <si>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</si>
  <si>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</si>
  <si>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</si>
  <si>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</si>
  <si>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</si>
  <si>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</si>
  <si>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</si>
  <si>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</si>
  <si>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</si>
  <si>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</si>
  <si>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</si>
  <si>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</si>
  <si>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</si>
  <si>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</si>
  <si>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</si>
  <si>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</si>
  <si>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</si>
  <si>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</si>
  <si>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</si>
  <si>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</si>
  <si>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</si>
  <si>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</si>
  <si>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</si>
  <si>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</si>
  <si>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</si>
  <si>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</si>
  <si>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</si>
  <si>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</si>
  <si>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</si>
  <si>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</si>
  <si>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</si>
  <si>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</si>
  <si>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</si>
  <si>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</si>
  <si>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</si>
  <si>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</si>
  <si>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</si>
  <si>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</si>
  <si>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</si>
  <si>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</si>
  <si>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</si>
  <si>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</si>
  <si>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</si>
  <si>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</si>
  <si>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</si>
  <si>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</si>
  <si>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</si>
  <si>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</si>
  <si>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</si>
  <si>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</si>
  <si>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</si>
  <si>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</si>
  <si>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</si>
  <si>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</si>
  <si>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</si>
  <si>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</si>
  <si>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</si>
  <si>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</si>
  <si>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</si>
  <si>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</si>
  <si>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</si>
  <si>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</si>
  <si>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</si>
  <si>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</si>
  <si>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</si>
  <si>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</si>
  <si>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</si>
  <si>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</si>
  <si>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</si>
  <si>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</si>
  <si>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</si>
  <si>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</si>
  <si>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</si>
  <si>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</si>
  <si>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</si>
  <si>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</si>
  <si>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</si>
  <si>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</si>
  <si>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</si>
  <si>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</si>
  <si>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</si>
  <si>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</si>
  <si>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</si>
  <si>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</si>
  <si>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</si>
  <si>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</si>
  <si>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</si>
  <si>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</si>
  <si>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</si>
  <si>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</si>
  <si>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</si>
  <si>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</si>
  <si>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</si>
  <si>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</si>
  <si>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</si>
  <si>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</si>
  <si>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</si>
  <si>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</si>
  <si>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</si>
  <si>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</si>
  <si>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</si>
  <si>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</si>
  <si>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</si>
  <si>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</si>
  <si>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</si>
  <si>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</si>
  <si>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</si>
  <si>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</si>
  <si>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</si>
  <si>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</si>
  <si>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</si>
  <si>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</si>
  <si>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</si>
  <si>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</si>
  <si>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</si>
  <si>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</si>
  <si>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</si>
  <si>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</si>
  <si>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</si>
  <si>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</si>
  <si>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</si>
  <si>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</si>
  <si>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</si>
  <si>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</si>
  <si>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</si>
  <si>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</si>
  <si>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</si>
  <si>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</si>
  <si>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</si>
  <si>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</si>
  <si>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</si>
  <si>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</si>
  <si>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</si>
  <si>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</si>
  <si>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</si>
  <si>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</si>
  <si>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</si>
  <si>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</si>
  <si>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</si>
  <si>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</si>
  <si>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</si>
  <si>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</si>
  <si>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</si>
  <si>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</si>
  <si>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</si>
  <si>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</si>
  <si>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</si>
  <si>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</si>
  <si>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</si>
  <si>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</si>
  <si>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</si>
  <si>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</si>
  <si>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</si>
  <si>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</si>
  <si>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</si>
  <si>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</si>
  <si>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</si>
  <si>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</si>
  <si>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</si>
  <si>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</si>
  <si>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</si>
  <si>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</si>
  <si>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</si>
  <si>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</si>
  <si>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</si>
  <si>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</si>
  <si>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</si>
  <si>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</si>
  <si>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</si>
  <si>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</si>
  <si>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</si>
  <si>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</si>
  <si>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</si>
  <si>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</si>
  <si>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</si>
  <si>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</si>
  <si>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</si>
  <si>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</si>
  <si>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</si>
  <si>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</si>
  <si>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</si>
  <si>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</si>
  <si>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</si>
  <si>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</si>
  <si>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</si>
  <si>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</si>
  <si>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</si>
  <si>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</si>
  <si>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</si>
  <si>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</si>
  <si>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</si>
  <si>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</si>
  <si>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</si>
  <si>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</si>
  <si>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</si>
  <si>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</si>
  <si>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</si>
  <si>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</si>
  <si>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</si>
  <si>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</si>
  <si>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</si>
  <si>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</si>
  <si>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</si>
  <si>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</si>
  <si>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</si>
  <si>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</si>
  <si>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</si>
  <si>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</si>
  <si>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</si>
  <si>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</si>
  <si>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</si>
  <si>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</si>
  <si>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</si>
  <si>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</si>
  <si>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</si>
  <si>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</si>
  <si>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</si>
  <si>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</si>
  <si>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</si>
  <si>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</si>
  <si>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</si>
  <si>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</si>
  <si>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</si>
  <si>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</si>
  <si>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</si>
  <si>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</si>
  <si>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</si>
  <si>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</si>
  <si>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</si>
  <si>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</si>
  <si>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</si>
  <si>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</si>
  <si>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</si>
  <si>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</si>
  <si>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</si>
  <si>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</si>
  <si>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</si>
  <si>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</si>
  <si>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</si>
  <si>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</si>
  <si>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</si>
  <si>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</si>
  <si>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</si>
  <si>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</si>
  <si>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</si>
  <si>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</si>
  <si>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</si>
  <si>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</si>
  <si>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</si>
  <si>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</si>
  <si>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</si>
  <si>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</si>
  <si>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</si>
  <si>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</si>
  <si>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</si>
  <si>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</si>
  <si>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</si>
  <si>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</si>
  <si>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</si>
  <si>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</si>
  <si>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</si>
  <si>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</si>
  <si>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</si>
  <si>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</si>
  <si>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</si>
  <si>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</si>
  <si>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</si>
  <si>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</si>
  <si>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</si>
  <si>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</si>
  <si>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</si>
  <si>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</si>
  <si>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</si>
  <si>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</si>
  <si>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</si>
  <si>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</si>
  <si>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</si>
  <si>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</si>
  <si>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</si>
  <si>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</si>
  <si>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</si>
  <si>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</si>
  <si>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</si>
  <si>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</si>
  <si>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</si>
  <si>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</si>
  <si>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</si>
  <si>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</si>
  <si>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</si>
  <si>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</si>
  <si>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</si>
  <si>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</si>
  <si>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</si>
  <si>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</si>
  <si>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</si>
  <si>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</si>
  <si>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</si>
  <si>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</si>
  <si>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</si>
  <si>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</si>
  <si>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</si>
  <si>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</si>
  <si>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</si>
  <si>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</si>
  <si>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</si>
  <si>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</si>
  <si>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</si>
  <si>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</si>
  <si>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</si>
  <si>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</si>
  <si>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</si>
  <si>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</si>
  <si>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</si>
  <si>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</si>
  <si>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</si>
  <si>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</si>
  <si>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</si>
  <si>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</si>
  <si>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</si>
  <si>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</si>
  <si>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</si>
  <si>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</si>
  <si>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</si>
  <si>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</si>
  <si>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</si>
  <si>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</si>
  <si>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</si>
  <si>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</si>
  <si>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</si>
  <si>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</si>
  <si>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</si>
  <si>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</si>
  <si>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</si>
  <si>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</si>
  <si>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</si>
  <si>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</si>
  <si>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</si>
  <si>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</si>
  <si>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</si>
  <si>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</si>
  <si>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</si>
  <si>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</si>
  <si>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</si>
  <si>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</si>
  <si>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</si>
  <si>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</si>
  <si>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</si>
  <si>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</si>
  <si>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</si>
  <si>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</si>
  <si>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</si>
  <si>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</si>
  <si>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</si>
  <si>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</si>
  <si>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</si>
  <si>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</si>
  <si>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</si>
  <si>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</si>
  <si>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</si>
  <si>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</si>
  <si>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</si>
  <si>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</si>
  <si>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</si>
  <si>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</si>
  <si>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</si>
  <si>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</si>
  <si>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</si>
  <si>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</si>
  <si>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</si>
  <si>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</si>
  <si>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</si>
  <si>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</si>
  <si>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</si>
  <si>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</si>
  <si>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</si>
  <si>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</si>
  <si>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</si>
  <si>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</si>
  <si>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</si>
  <si>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</si>
  <si>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</si>
  <si>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</si>
  <si>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</si>
  <si>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</si>
  <si>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</si>
  <si>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</si>
  <si>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</si>
  <si>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</si>
  <si>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</si>
  <si>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</si>
  <si>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</si>
  <si>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</si>
  <si>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</si>
  <si>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</si>
  <si>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</si>
  <si>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</si>
  <si>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</si>
  <si>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</si>
  <si>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</si>
  <si>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</si>
  <si>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</si>
  <si>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</si>
  <si>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</si>
  <si>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</si>
  <si>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</si>
  <si>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</si>
  <si>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</si>
  <si>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</si>
  <si>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</si>
  <si>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</si>
  <si>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</si>
  <si>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</si>
  <si>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</si>
  <si>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</si>
  <si>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</si>
  <si>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</si>
  <si>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</si>
  <si>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</si>
  <si>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</si>
  <si>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</si>
  <si>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</si>
  <si>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</si>
  <si>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</si>
  <si>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</si>
  <si>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</si>
  <si>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</si>
  <si>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</si>
  <si>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</si>
  <si>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</si>
  <si>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</si>
  <si>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</si>
  <si>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</si>
  <si>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</si>
  <si>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</si>
  <si>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</si>
  <si>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</si>
  <si>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</si>
  <si>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</si>
  <si>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</si>
  <si>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</si>
  <si>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</si>
  <si>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</si>
  <si>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</si>
  <si>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</si>
  <si>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</si>
  <si>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</si>
  <si>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</si>
  <si>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</si>
  <si>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</si>
  <si>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</si>
  <si>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</si>
  <si>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</si>
  <si>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</si>
  <si>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</si>
  <si>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</si>
  <si>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</si>
  <si>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</si>
  <si>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</si>
  <si>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</si>
  <si>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</si>
  <si>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</si>
  <si>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</si>
  <si>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</si>
  <si>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</si>
  <si>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</si>
  <si>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</si>
  <si>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</si>
  <si>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</si>
  <si>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</si>
  <si>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</si>
  <si>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</si>
  <si>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</si>
  <si>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</si>
  <si>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</si>
  <si>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</si>
  <si>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</si>
  <si>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</si>
  <si>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</si>
  <si>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</si>
  <si>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</si>
  <si>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</si>
  <si>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</si>
  <si>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</si>
  <si>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</si>
  <si>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</si>
  <si>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</si>
  <si>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</si>
  <si>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</si>
  <si>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</si>
  <si>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</si>
  <si>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</si>
  <si>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</si>
  <si>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</si>
  <si>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</si>
  <si>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</si>
  <si>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</si>
  <si>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</si>
  <si>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</si>
  <si>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</si>
  <si>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</si>
  <si>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</si>
  <si>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</si>
  <si>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</si>
  <si>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</si>
  <si>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</si>
  <si>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</si>
  <si>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</si>
  <si>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</si>
  <si>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</si>
  <si>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</si>
  <si>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</si>
  <si>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</si>
  <si>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</si>
  <si>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</si>
  <si>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</si>
  <si>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</si>
  <si>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</si>
  <si>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</si>
  <si>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</si>
  <si>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</si>
  <si>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</si>
  <si>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</si>
  <si>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</si>
  <si>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</si>
  <si>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</si>
  <si>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</si>
  <si>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</si>
  <si>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</si>
  <si>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</si>
  <si>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</si>
  <si>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</si>
  <si>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</si>
  <si>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</si>
  <si>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</si>
  <si>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</si>
  <si>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</si>
  <si>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</si>
  <si>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</si>
  <si>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</si>
  <si>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</si>
  <si>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</si>
  <si>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</si>
  <si>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</si>
  <si>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</si>
  <si>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</si>
  <si>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</si>
  <si>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</si>
  <si>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</si>
  <si>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</si>
  <si>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</si>
  <si>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</si>
  <si>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</si>
  <si>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</si>
  <si>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</si>
  <si>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</si>
  <si>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</si>
  <si>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</si>
  <si>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</si>
  <si>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</si>
  <si>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</si>
  <si>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</si>
  <si>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</si>
  <si>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</si>
  <si>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</si>
  <si>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</si>
  <si>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</si>
  <si>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</si>
  <si>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</si>
  <si>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</si>
  <si>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</si>
  <si>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</si>
  <si>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</si>
  <si>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</si>
  <si>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</si>
  <si>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</si>
  <si>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</si>
  <si>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</si>
  <si>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</si>
  <si>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</si>
  <si>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</si>
  <si>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</si>
  <si>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</si>
  <si>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</si>
  <si>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</si>
  <si>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</si>
  <si>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</si>
  <si>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</si>
  <si>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</si>
  <si>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</si>
  <si>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</si>
  <si>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</si>
  <si>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</si>
  <si>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</si>
  <si>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</si>
  <si>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</si>
  <si>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</si>
  <si>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</si>
  <si>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</si>
  <si>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</si>
  <si>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</si>
  <si>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</si>
  <si>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</si>
  <si>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</si>
  <si>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</si>
  <si>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</si>
  <si>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</si>
  <si>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</si>
  <si>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</si>
  <si>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</si>
  <si>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</si>
  <si>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</si>
  <si>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</si>
  <si>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</si>
  <si>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</si>
  <si>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</si>
  <si>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</si>
  <si>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</si>
  <si>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</si>
  <si>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</si>
  <si>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</si>
  <si>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</si>
  <si>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</si>
  <si>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</si>
  <si>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</si>
  <si>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</si>
  <si>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</si>
  <si>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</si>
  <si>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</si>
  <si>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</si>
  <si>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</si>
  <si>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</si>
  <si>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</si>
  <si>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</si>
  <si>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</si>
  <si>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</si>
  <si>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</si>
  <si>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</si>
  <si>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</si>
  <si>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</si>
  <si>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</si>
  <si>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</si>
  <si>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</si>
  <si>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</si>
  <si>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</si>
  <si>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</si>
  <si>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</si>
  <si>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</si>
  <si>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</si>
  <si>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</si>
  <si>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</si>
  <si>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</si>
  <si>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</si>
  <si>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</si>
  <si>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</si>
  <si>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</si>
  <si>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</si>
  <si>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</si>
  <si>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</si>
  <si>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</si>
  <si>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</si>
  <si>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</si>
  <si>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</si>
  <si>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</si>
  <si>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</si>
  <si>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</si>
  <si>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</si>
  <si>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</si>
  <si>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</si>
  <si>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</si>
  <si>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</si>
  <si>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</si>
  <si>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</si>
  <si>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</si>
  <si>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</si>
  <si>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</si>
  <si>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</si>
  <si>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</si>
  <si>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</si>
  <si>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</si>
  <si>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</si>
  <si>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</si>
  <si>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</si>
  <si>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</si>
  <si>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</si>
  <si>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</si>
  <si>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</si>
  <si>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</si>
  <si>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</si>
  <si>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</si>
  <si>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</si>
  <si>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</si>
  <si>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</si>
  <si>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</si>
  <si>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</si>
  <si>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</si>
  <si>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</si>
  <si>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</si>
  <si>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</si>
  <si>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</si>
  <si>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</si>
  <si>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</si>
  <si>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</si>
  <si>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</si>
  <si>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</si>
  <si>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</si>
  <si>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</si>
  <si>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</si>
  <si>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</si>
  <si>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</si>
  <si>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</si>
  <si>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</si>
  <si>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</si>
  <si>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</si>
  <si>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</si>
  <si>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</si>
  <si>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</si>
  <si>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</si>
  <si>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</si>
  <si>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</si>
  <si>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</si>
  <si>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</si>
  <si>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</si>
  <si>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</si>
  <si>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</si>
  <si>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</si>
  <si>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</si>
  <si>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</si>
  <si>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</si>
  <si>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</si>
  <si>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</si>
  <si>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</si>
  <si>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</si>
  <si>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</si>
  <si>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</si>
  <si>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</si>
  <si>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</si>
  <si>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</si>
  <si>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</si>
  <si>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</si>
  <si>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</si>
  <si>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</si>
  <si>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</si>
  <si>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</si>
  <si>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</si>
  <si>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</si>
  <si>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</si>
  <si>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</si>
  <si>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</si>
  <si>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</si>
  <si>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</si>
  <si>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</si>
  <si>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</si>
  <si>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</si>
  <si>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</si>
  <si>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</si>
  <si>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</si>
  <si>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</si>
  <si>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</si>
  <si>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</si>
  <si>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</si>
  <si>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</si>
  <si>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</si>
  <si>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</si>
  <si>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</si>
  <si>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</si>
  <si>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</si>
  <si>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</si>
  <si>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</si>
  <si>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</si>
  <si>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</si>
  <si>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</si>
  <si>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</si>
  <si>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</si>
  <si>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</si>
  <si>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</si>
  <si>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</si>
  <si>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</si>
  <si>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</si>
  <si>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</si>
  <si>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</si>
  <si>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</si>
  <si>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</si>
  <si>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</si>
  <si>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</si>
  <si>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</si>
  <si>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</si>
  <si>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</si>
  <si>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</si>
  <si>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Count of outcome</t>
  </si>
  <si>
    <t>Column Labels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</si>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</sst>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Theater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4-4CB6-8DBE-4D202057BEE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4-4CB6-8DBE-4D202057BEE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4-4CB6-8DBE-4D202057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90784"/>
        <c:axId val="1888595360"/>
      </c:lineChart>
      <c:catAx>
        <c:axId val="18885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5360"/>
        <c:crosses val="autoZero"/>
        <c:auto val="1"/>
        <c:lblAlgn val="ctr"/>
        <c:lblOffset val="100"/>
        <c:noMultiLvlLbl val="0"/>
      </c:catAx>
      <c:valAx>
        <c:axId val="18885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B-4226-AF00-8CF59CE9A1F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B-4226-AF00-8CF59CE9A1F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B-4226-AF00-8CF59CE9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71968"/>
        <c:axId val="85924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6B-4226-AF00-8CF59CE9A1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6B-4226-AF00-8CF59CE9A1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6B-4226-AF00-8CF59CE9A1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6B-4226-AF00-8CF59CE9A1F8}"/>
                  </c:ext>
                </c:extLst>
              </c15:ser>
            </c15:filteredLineSeries>
          </c:ext>
        </c:extLst>
      </c:lineChart>
      <c:catAx>
        <c:axId val="8592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6592"/>
        <c:crosses val="autoZero"/>
        <c:auto val="1"/>
        <c:lblAlgn val="ctr"/>
        <c:lblOffset val="100"/>
        <c:noMultiLvlLbl val="0"/>
      </c:catAx>
      <c:valAx>
        <c:axId val="8592465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19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160020</xdr:rowOff>
    </xdr:from>
    <xdr:to>
      <xdr:col>15</xdr:col>
      <xdr:colOff>556260</xdr:colOff>
      <xdr:row>20</xdr:row>
      <xdr:rowOff>76200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2621D87F-9DDF-4D5C-3EF0-16585D650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3</xdr:row>
      <xdr:rowOff>175260</xdr:rowOff>
    </xdr:from>
    <xdr:to>
      <xdr:col>18</xdr:col>
      <xdr:colOff>365760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9883-79EC-A9ED-CE95-B92EAB32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indu Sandun" refreshedDate="44976.934834259257" createdVersion="8" refreshedVersion="8" minRefreshableVersion="3" recordCount="4114" xr:uid="{8A010BE9-9F8A-4047-A569-772E9A7A792D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n v="60"/>
    <b v="1"/>
    <s v="film &amp; video/shorts"/>
    <x v="105"/>
    <x v="0"/>
    <s v="shorts"/>
    <x v="2"/>
  </r>
  <r>
    <n v="106"/>
    <s v="LOST WEEKEND"/>
    <s v="A Boy. A Girl. A Car. A Serial Killer."/>
    <x v="10"/>
    <n v="5025"/>
    <x v="0"/>
    <s v="US"/>
    <s v="USD"/>
    <n v="1333391901"/>
    <x v="106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x v="52"/>
    <n v="632"/>
    <x v="0"/>
    <s v="US"/>
    <s v="USD"/>
    <n v="1328377444"/>
    <x v="115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n v="0"/>
    <b v="0"/>
    <s v="film &amp; video/science fiction"/>
    <x v="130"/>
    <x v="0"/>
    <s v="science fiction"/>
    <x v="3"/>
  </r>
  <r>
    <n v="131"/>
    <s v="I (Canceled)"/>
    <s v="I"/>
    <x v="38"/>
    <n v="0"/>
    <x v="1"/>
    <s v="US"/>
    <s v="USD"/>
    <n v="1467763200"/>
    <x v="13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x v="73"/>
    <n v="0"/>
    <x v="2"/>
    <s v="GB"/>
    <s v="GBP"/>
    <n v="1452613724"/>
    <x v="165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n v="0"/>
    <b v="0"/>
    <s v="film &amp; video/drama"/>
    <x v="182"/>
    <x v="0"/>
    <s v="drama"/>
    <x v="2"/>
  </r>
  <r>
    <n v="183"/>
    <s v="Three Little Words"/>
    <s v="Don't kill me until I meet my Dad"/>
    <x v="78"/>
    <n v="4482"/>
    <x v="2"/>
    <s v="GB"/>
    <s v="GBP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n v="2"/>
    <b v="0"/>
    <s v="film &amp; video/drama"/>
    <x v="184"/>
    <x v="0"/>
    <s v="drama"/>
    <x v="3"/>
  </r>
  <r>
    <n v="185"/>
    <s v="BLANK Short Movie"/>
    <s v="Love has no boundaries!"/>
    <x v="79"/>
    <n v="2200"/>
    <x v="2"/>
    <s v="NO"/>
    <s v="NOK"/>
    <n v="1471557139"/>
    <x v="185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n v="5"/>
    <b v="0"/>
    <s v="film &amp; video/drama"/>
    <x v="189"/>
    <x v="0"/>
    <s v="drama"/>
    <x v="2"/>
  </r>
  <r>
    <n v="190"/>
    <s v="REGIONRAT, the movie"/>
    <s v="Because hope can be a 4 letter word"/>
    <x v="14"/>
    <n v="50"/>
    <x v="2"/>
    <s v="US"/>
    <s v="USD"/>
    <n v="1466091446"/>
    <x v="190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n v="7"/>
    <b v="0"/>
    <s v="film &amp; video/drama"/>
    <x v="201"/>
    <x v="0"/>
    <s v="drama"/>
    <x v="0"/>
  </r>
  <r>
    <n v="202"/>
    <s v="Modern Gangsters"/>
    <s v="new web series created by jonney terry"/>
    <x v="12"/>
    <n v="0"/>
    <x v="2"/>
    <s v="US"/>
    <s v="USD"/>
    <n v="1444337940"/>
    <x v="202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n v="84"/>
    <b v="0"/>
    <s v="film &amp; video/drama"/>
    <x v="216"/>
    <x v="0"/>
    <s v="drama"/>
    <x v="0"/>
  </r>
  <r>
    <n v="217"/>
    <s v="Bitch"/>
    <s v="A roadmovie by paw"/>
    <x v="57"/>
    <n v="11943"/>
    <x v="2"/>
    <s v="SE"/>
    <s v="SEK"/>
    <n v="1419780149"/>
    <x v="217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n v="3"/>
    <b v="0"/>
    <s v="film &amp; video/drama"/>
    <x v="220"/>
    <x v="0"/>
    <s v="drama"/>
    <x v="0"/>
  </r>
  <r>
    <n v="221"/>
    <s v="Archetypes"/>
    <s v="Film about Schizophrenia with Surreal Twists!"/>
    <x v="63"/>
    <n v="0"/>
    <x v="2"/>
    <s v="US"/>
    <s v="USD"/>
    <n v="1427569564"/>
    <x v="221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x v="36"/>
    <n v="50"/>
    <x v="2"/>
    <s v="US"/>
    <s v="USD"/>
    <n v="1457445069"/>
    <x v="237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n v="80"/>
    <b v="1"/>
    <s v="film &amp; video/documentary"/>
    <x v="306"/>
    <x v="0"/>
    <s v="documentary"/>
    <x v="4"/>
  </r>
  <r>
    <n v="307"/>
    <s v="Grammar Revolution"/>
    <s v="Why is grammar important?"/>
    <x v="29"/>
    <n v="24490"/>
    <x v="0"/>
    <s v="US"/>
    <s v="USD"/>
    <n v="1360276801"/>
    <x v="307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n v="0"/>
    <b v="0"/>
    <s v="film &amp; video/animation"/>
    <x v="441"/>
    <x v="0"/>
    <s v="animation"/>
    <x v="4"/>
  </r>
  <r>
    <n v="442"/>
    <s v="The Paranormal Idiot"/>
    <s v="Doomsday is here"/>
    <x v="73"/>
    <n v="6691"/>
    <x v="2"/>
    <s v="US"/>
    <s v="USD"/>
    <n v="1424380783"/>
    <x v="442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x v="0"/>
    <n v="25"/>
    <x v="2"/>
    <s v="US"/>
    <s v="USD"/>
    <n v="1401595200"/>
    <x v="460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n v="3"/>
    <b v="0"/>
    <s v="film &amp; video/animation"/>
    <x v="489"/>
    <x v="0"/>
    <s v="animation"/>
    <x v="6"/>
  </r>
  <r>
    <n v="490"/>
    <s v="PROJECT IS CANCELLED"/>
    <s v="Cancelled"/>
    <x v="28"/>
    <n v="0"/>
    <x v="2"/>
    <s v="US"/>
    <s v="USD"/>
    <n v="1345677285"/>
    <x v="490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n v="1"/>
    <b v="0"/>
    <s v="film &amp; video/animation"/>
    <x v="496"/>
    <x v="0"/>
    <s v="animation"/>
    <x v="4"/>
  </r>
  <r>
    <n v="497"/>
    <s v="Galaxy Probe Kids"/>
    <s v="live-action/animated series pilot."/>
    <x v="140"/>
    <n v="30"/>
    <x v="2"/>
    <s v="US"/>
    <s v="USD"/>
    <n v="1419483600"/>
    <x v="497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n v="2"/>
    <b v="0"/>
    <s v="technology/web"/>
    <x v="588"/>
    <x v="2"/>
    <s v="web"/>
    <x v="2"/>
  </r>
  <r>
    <n v="589"/>
    <s v="Get Neighborly"/>
    <s v="Services closer than you think..."/>
    <x v="51"/>
    <n v="1"/>
    <x v="2"/>
    <s v="US"/>
    <s v="USD"/>
    <n v="1436366699"/>
    <x v="58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n v="0"/>
    <b v="0"/>
    <s v="technology/web"/>
    <x v="637"/>
    <x v="2"/>
    <s v="web"/>
    <x v="1"/>
  </r>
  <r>
    <n v="638"/>
    <s v="W (Canceled)"/>
    <s v="O0"/>
    <x v="61"/>
    <n v="18"/>
    <x v="1"/>
    <s v="DE"/>
    <s v="EUR"/>
    <n v="1490447662"/>
    <x v="638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n v="276"/>
    <b v="1"/>
    <s v="technology/wearables"/>
    <x v="658"/>
    <x v="2"/>
    <s v="wearables"/>
    <x v="0"/>
  </r>
  <r>
    <n v="659"/>
    <s v="Lulu Watch Designs - Apple Watch"/>
    <s v="Sync up your lifestyle"/>
    <x v="9"/>
    <n v="3017"/>
    <x v="0"/>
    <s v="US"/>
    <s v="USD"/>
    <n v="1440339295"/>
    <x v="659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x v="57"/>
    <n v="977"/>
    <x v="2"/>
    <s v="NL"/>
    <s v="EUR"/>
    <n v="1484999278"/>
    <x v="705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n v="16"/>
    <b v="0"/>
    <s v="technology/wearables"/>
    <x v="716"/>
    <x v="2"/>
    <s v="wearables"/>
    <x v="3"/>
  </r>
  <r>
    <n v="717"/>
    <s v="cool air belt"/>
    <s v="Cool air flowing under clothing keeps you cool."/>
    <x v="57"/>
    <n v="305"/>
    <x v="2"/>
    <s v="US"/>
    <s v="USD"/>
    <n v="1409949002"/>
    <x v="717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n v="54"/>
    <b v="1"/>
    <s v="music/rock"/>
    <x v="805"/>
    <x v="4"/>
    <s v="rock"/>
    <x v="6"/>
  </r>
  <r>
    <n v="806"/>
    <s v="Golden Animals NEW Album!"/>
    <s v="Help Golden Animals finish their NEW Album!"/>
    <x v="6"/>
    <n v="8355"/>
    <x v="0"/>
    <s v="US"/>
    <s v="USD"/>
    <n v="1315413339"/>
    <x v="806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n v="19"/>
    <b v="1"/>
    <s v="music/rock"/>
    <x v="818"/>
    <x v="4"/>
    <s v="rock"/>
    <x v="5"/>
  </r>
  <r>
    <n v="819"/>
    <s v="Winter Tour"/>
    <s v="We are touring the Southeast in support of our new EP"/>
    <x v="44"/>
    <n v="435"/>
    <x v="0"/>
    <s v="US"/>
    <s v="USD"/>
    <n v="1387601040"/>
    <x v="819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x v="12"/>
    <n v="6100"/>
    <x v="0"/>
    <s v="US"/>
    <s v="USD"/>
    <n v="1397941475"/>
    <x v="833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x v="185"/>
    <n v="10"/>
    <x v="0"/>
    <s v="US"/>
    <s v="USD"/>
    <n v="1436555376"/>
    <x v="847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n v="0"/>
    <b v="0"/>
    <s v="music/jazz"/>
    <x v="875"/>
    <x v="4"/>
    <s v="jazz"/>
    <x v="0"/>
  </r>
  <r>
    <n v="876"/>
    <s v="Sound Of Dobells"/>
    <s v="What was the greatest record shop ever?  DOBELLS!"/>
    <x v="189"/>
    <n v="1286"/>
    <x v="2"/>
    <s v="GB"/>
    <s v="GBP"/>
    <n v="1359978927"/>
    <x v="876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n v="10"/>
    <b v="0"/>
    <s v="music/jazz"/>
    <x v="918"/>
    <x v="4"/>
    <s v="jazz"/>
    <x v="3"/>
  </r>
  <r>
    <n v="919"/>
    <s v="Jazz CD:  Out of The Blue"/>
    <s v="Cool jazz with a New Orleans flavor."/>
    <x v="22"/>
    <n v="100"/>
    <x v="2"/>
    <s v="US"/>
    <s v="USD"/>
    <n v="1355930645"/>
    <x v="919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n v="24"/>
    <b v="0"/>
    <s v="technology/wearables"/>
    <x v="950"/>
    <x v="2"/>
    <s v="wearables"/>
    <x v="0"/>
  </r>
  <r>
    <n v="951"/>
    <s v="Smart Harness"/>
    <s v="Revolutionizing the way we walk our dogs!"/>
    <x v="63"/>
    <n v="19195"/>
    <x v="2"/>
    <s v="US"/>
    <s v="USD"/>
    <n v="1465054872"/>
    <x v="951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n v="0"/>
    <b v="0"/>
    <s v="technology/wearables"/>
    <x v="988"/>
    <x v="2"/>
    <s v="wearables"/>
    <x v="2"/>
  </r>
  <r>
    <n v="989"/>
    <s v="Power Rope"/>
    <s v="The most useful phone charger you will ever buy"/>
    <x v="3"/>
    <n v="1677"/>
    <x v="2"/>
    <s v="US"/>
    <s v="USD"/>
    <n v="1475101495"/>
    <x v="989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n v="4"/>
    <b v="0"/>
    <s v="journalism/audio"/>
    <x v="1048"/>
    <x v="5"/>
    <s v="audio"/>
    <x v="2"/>
  </r>
  <r>
    <n v="1049"/>
    <s v="J1 (Canceled)"/>
    <s v="------"/>
    <x v="14"/>
    <n v="0"/>
    <x v="1"/>
    <s v="US"/>
    <s v="USD"/>
    <n v="1455272445"/>
    <x v="1049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n v="0"/>
    <b v="0"/>
    <s v="journalism/audio"/>
    <x v="1058"/>
    <x v="5"/>
    <s v="audio"/>
    <x v="0"/>
  </r>
  <r>
    <n v="1059"/>
    <s v="Voice Over Artist (Canceled)"/>
    <s v="Turning myself into a vocal artist."/>
    <x v="184"/>
    <n v="0"/>
    <x v="1"/>
    <s v="US"/>
    <s v="USD"/>
    <n v="1426269456"/>
    <x v="1059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n v="0"/>
    <b v="0"/>
    <s v="journalism/audio"/>
    <x v="1061"/>
    <x v="5"/>
    <s v="audio"/>
    <x v="2"/>
  </r>
  <r>
    <n v="1062"/>
    <s v="RETURNING AT A LATER DATE"/>
    <s v="SEE US ON PATREON www.badgirlartwork.com"/>
    <x v="212"/>
    <n v="190"/>
    <x v="1"/>
    <s v="US"/>
    <s v="USD"/>
    <n v="1468351341"/>
    <x v="1062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n v="1"/>
    <b v="0"/>
    <s v="games/video games"/>
    <x v="1083"/>
    <x v="6"/>
    <s v="video games"/>
    <x v="3"/>
  </r>
  <r>
    <n v="1084"/>
    <s v="My own channel"/>
    <s v="I want to start my own channel for gaming"/>
    <x v="131"/>
    <n v="0"/>
    <x v="2"/>
    <s v="US"/>
    <s v="USD"/>
    <n v="1407534804"/>
    <x v="108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n v="9"/>
    <b v="0"/>
    <s v="games/video games"/>
    <x v="1085"/>
    <x v="6"/>
    <s v="video games"/>
    <x v="2"/>
  </r>
  <r>
    <n v="1086"/>
    <s v="Cyber Universe Online"/>
    <s v="Humanity's future in the Galaxy"/>
    <x v="102"/>
    <n v="15"/>
    <x v="2"/>
    <s v="US"/>
    <s v="USD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x v="28"/>
    <n v="1"/>
    <x v="2"/>
    <s v="GB"/>
    <s v="GBP"/>
    <n v="1407425717"/>
    <x v="1128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n v="0"/>
    <b v="0"/>
    <s v="games/mobile games"/>
    <x v="1140"/>
    <x v="6"/>
    <s v="mobile games"/>
    <x v="0"/>
  </r>
  <r>
    <n v="1141"/>
    <s v="Arena Z - Zombie Survival"/>
    <s v="I think this will be a great game!"/>
    <x v="2"/>
    <n v="0"/>
    <x v="2"/>
    <s v="DE"/>
    <s v="EUR"/>
    <n v="1436460450"/>
    <x v="1141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n v="0"/>
    <b v="0"/>
    <s v="food/food trucks"/>
    <x v="1151"/>
    <x v="7"/>
    <s v="food trucks"/>
    <x v="0"/>
  </r>
  <r>
    <n v="1152"/>
    <s v="Peruvian King Food Truck"/>
    <s v="Peruvian food truck with an LA twist."/>
    <x v="194"/>
    <n v="911"/>
    <x v="2"/>
    <s v="US"/>
    <s v="USD"/>
    <n v="1431709312"/>
    <x v="115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n v="92"/>
    <b v="1"/>
    <s v="music/rock"/>
    <x v="1365"/>
    <x v="4"/>
    <s v="rock"/>
    <x v="0"/>
  </r>
  <r>
    <n v="1366"/>
    <s v="Kick It! A Tribute to the A.K.s"/>
    <s v="A musical memorial for Alexi Petersen."/>
    <x v="51"/>
    <n v="9486.69"/>
    <x v="0"/>
    <s v="US"/>
    <s v="USD"/>
    <n v="1417049663"/>
    <x v="1366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n v="31"/>
    <b v="1"/>
    <s v="music/rock"/>
    <x v="1377"/>
    <x v="4"/>
    <s v="rock"/>
    <x v="1"/>
  </r>
  <r>
    <n v="1378"/>
    <s v="SIX BY SEVEN"/>
    <s v="A psychedelic post rock masterpiece!"/>
    <x v="13"/>
    <n v="4067"/>
    <x v="0"/>
    <s v="GB"/>
    <s v="GBP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n v="104"/>
    <b v="1"/>
    <s v="music/rock"/>
    <x v="1392"/>
    <x v="4"/>
    <s v="rock"/>
    <x v="2"/>
  </r>
  <r>
    <n v="1393"/>
    <s v="WolfHunt | Social Commentary Rock Project"/>
    <s v="Rock n' Roll tales of our times"/>
    <x v="3"/>
    <n v="10235"/>
    <x v="0"/>
    <s v="US"/>
    <s v="USD"/>
    <n v="1470068523"/>
    <x v="139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n v="17"/>
    <b v="1"/>
    <s v="music/rock"/>
    <x v="1394"/>
    <x v="4"/>
    <s v="rock"/>
    <x v="1"/>
  </r>
  <r>
    <n v="1395"/>
    <s v="Quiet Oaks Full Length Album"/>
    <s v="Help Quiet Oaks record their debut album!!!"/>
    <x v="8"/>
    <n v="3916"/>
    <x v="0"/>
    <s v="US"/>
    <s v="USD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x v="14"/>
    <n v="15"/>
    <x v="2"/>
    <s v="IT"/>
    <s v="EUR"/>
    <n v="1449914400"/>
    <x v="1406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x v="10"/>
    <n v="8160"/>
    <x v="0"/>
    <s v="US"/>
    <s v="USD"/>
    <n v="1361029958"/>
    <x v="1464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x v="15"/>
    <n v="1807.74"/>
    <x v="0"/>
    <s v="US"/>
    <s v="USD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x v="13"/>
    <n v="0"/>
    <x v="2"/>
    <s v="US"/>
    <s v="USD"/>
    <n v="1342882260"/>
    <x v="1484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n v="22"/>
    <b v="0"/>
    <s v="publishing/art books"/>
    <x v="1568"/>
    <x v="3"/>
    <s v="art books"/>
    <x v="3"/>
  </r>
  <r>
    <n v="1569"/>
    <s v="to be removed (Canceled)"/>
    <s v="to be removed"/>
    <x v="11"/>
    <n v="0"/>
    <x v="1"/>
    <s v="US"/>
    <s v="USD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n v="0"/>
    <b v="0"/>
    <s v="photography/places"/>
    <x v="1589"/>
    <x v="8"/>
    <s v="places"/>
    <x v="0"/>
  </r>
  <r>
    <n v="1590"/>
    <s v="An Italian Adventure"/>
    <s v="Discover Italy through photography."/>
    <x v="127"/>
    <n v="1020"/>
    <x v="2"/>
    <s v="IT"/>
    <s v="EUR"/>
    <n v="1443040464"/>
    <x v="1590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n v="7"/>
    <b v="0"/>
    <s v="music/faith"/>
    <x v="1688"/>
    <x v="4"/>
    <s v="faith"/>
    <x v="1"/>
  </r>
  <r>
    <n v="1689"/>
    <s v="Fly Away"/>
    <s v="Praising the Living God in the second half of life."/>
    <x v="262"/>
    <n v="2400"/>
    <x v="3"/>
    <s v="US"/>
    <s v="USD"/>
    <n v="1489700230"/>
    <x v="1689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n v="41"/>
    <b v="0"/>
    <s v="music/faith"/>
    <x v="1717"/>
    <x v="4"/>
    <s v="faith"/>
    <x v="2"/>
  </r>
  <r>
    <n v="1718"/>
    <s v="The Prodigal Son"/>
    <s v="A melody for the galaxy."/>
    <x v="19"/>
    <n v="75"/>
    <x v="2"/>
    <s v="US"/>
    <s v="USD"/>
    <n v="1463201940"/>
    <x v="1718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x v="10"/>
    <n v="5330"/>
    <x v="0"/>
    <s v="US"/>
    <s v="USD"/>
    <n v="1427309629"/>
    <x v="175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x v="9"/>
    <n v="3002"/>
    <x v="0"/>
    <s v="US"/>
    <s v="USD"/>
    <n v="1389146880"/>
    <x v="1824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n v="11"/>
    <b v="1"/>
    <s v="music/rock"/>
    <x v="1835"/>
    <x v="4"/>
    <s v="rock"/>
    <x v="2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x v="20"/>
    <n v="620"/>
    <x v="0"/>
    <s v="US"/>
    <s v="USD"/>
    <n v="1331182740"/>
    <x v="1927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n v="28"/>
    <b v="0"/>
    <s v="photography/people"/>
    <x v="1987"/>
    <x v="8"/>
    <s v="people"/>
    <x v="0"/>
  </r>
  <r>
    <n v="1988"/>
    <s v="Phillip Michael Photography"/>
    <s v="Expressing art in an image!"/>
    <x v="12"/>
    <n v="25"/>
    <x v="2"/>
    <s v="US"/>
    <s v="USD"/>
    <n v="1440094742"/>
    <x v="1988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n v="32"/>
    <b v="1"/>
    <s v="music/indie rock"/>
    <x v="2098"/>
    <x v="4"/>
    <s v="indie rock"/>
    <x v="5"/>
  </r>
  <r>
    <n v="2099"/>
    <s v="Roosevelt Died."/>
    <s v="Our tour van died, we need help!"/>
    <x v="9"/>
    <n v="3971"/>
    <x v="0"/>
    <s v="US"/>
    <s v="USD"/>
    <n v="1435808400"/>
    <x v="2099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n v="1"/>
    <b v="0"/>
    <s v="games/video games"/>
    <x v="2146"/>
    <x v="6"/>
    <s v="video games"/>
    <x v="2"/>
  </r>
  <r>
    <n v="2147"/>
    <s v="Johnny Rocketfingers 3"/>
    <s v="A Point and Click Adventure on Steroids."/>
    <x v="303"/>
    <n v="2716"/>
    <x v="2"/>
    <s v="US"/>
    <s v="USD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n v="0"/>
    <b v="0"/>
    <s v="games/video games"/>
    <x v="2149"/>
    <x v="6"/>
    <s v="video games"/>
    <x v="7"/>
  </r>
  <r>
    <n v="2150"/>
    <s v="The Unknown Door"/>
    <s v="A pixel styled open world detective game."/>
    <x v="63"/>
    <n v="405"/>
    <x v="2"/>
    <s v="NO"/>
    <s v="NOK"/>
    <n v="1468392599"/>
    <x v="2150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x v="96"/>
    <n v="21144"/>
    <x v="2"/>
    <s v="US"/>
    <s v="USD"/>
    <n v="1482479940"/>
    <x v="2157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x v="14"/>
    <n v="52"/>
    <x v="2"/>
    <s v="US"/>
    <s v="USD"/>
    <n v="1431533931"/>
    <x v="2402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n v="0"/>
    <b v="0"/>
    <s v="food/food trucks"/>
    <x v="2417"/>
    <x v="7"/>
    <s v="food trucks"/>
    <x v="3"/>
  </r>
  <r>
    <n v="2418"/>
    <s v="Mexican food truck"/>
    <s v="I want to start my food truck business."/>
    <x v="31"/>
    <n v="5"/>
    <x v="2"/>
    <s v="US"/>
    <s v="USD"/>
    <n v="1427225644"/>
    <x v="2418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x v="12"/>
    <n v="1"/>
    <x v="2"/>
    <s v="US"/>
    <s v="USD"/>
    <n v="1424536196"/>
    <x v="2421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x v="350"/>
    <n v="0"/>
    <x v="2"/>
    <s v="US"/>
    <s v="USD"/>
    <n v="1431308704"/>
    <x v="2507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x v="12"/>
    <n v="6257"/>
    <x v="0"/>
    <s v="US"/>
    <s v="USD"/>
    <n v="1332636975"/>
    <x v="2529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x v="22"/>
    <n v="20755"/>
    <x v="0"/>
    <s v="US"/>
    <s v="USD"/>
    <n v="1417463945"/>
    <x v="253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x v="161"/>
    <n v="1"/>
    <x v="2"/>
    <s v="US"/>
    <s v="USD"/>
    <n v="1477784634"/>
    <x v="2582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x v="36"/>
    <n v="3155"/>
    <x v="1"/>
    <s v="US"/>
    <s v="USD"/>
    <n v="1455048000"/>
    <x v="2655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n v="4"/>
    <b v="0"/>
    <s v="technology/space exploration"/>
    <x v="2658"/>
    <x v="2"/>
    <s v="space exploration"/>
    <x v="2"/>
  </r>
  <r>
    <n v="2659"/>
    <s v="test (Canceled)"/>
    <s v="test"/>
    <x v="197"/>
    <n v="1333"/>
    <x v="1"/>
    <s v="US"/>
    <s v="USD"/>
    <n v="1429321210"/>
    <x v="2659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n v="3"/>
    <b v="0"/>
    <s v="technology/makerspaces"/>
    <x v="2679"/>
    <x v="2"/>
    <s v="makerspaces"/>
    <x v="0"/>
  </r>
  <r>
    <n v="2680"/>
    <s v="iHeart Pillow"/>
    <s v="iHeartPillow, Connecting loved ones"/>
    <x v="261"/>
    <n v="276"/>
    <x v="2"/>
    <s v="ES"/>
    <s v="EUR"/>
    <n v="1459915491"/>
    <x v="2680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x v="15"/>
    <n v="10"/>
    <x v="2"/>
    <s v="US"/>
    <s v="USD"/>
    <n v="1470498332"/>
    <x v="2757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n v="76"/>
    <b v="1"/>
    <s v="theater/plays"/>
    <x v="2806"/>
    <x v="1"/>
    <s v="plays"/>
    <x v="0"/>
  </r>
  <r>
    <n v="2807"/>
    <s v="The Commission Theatre Co."/>
    <s v="Bringing Shakespeare back to the Playwrights"/>
    <x v="10"/>
    <n v="6300"/>
    <x v="0"/>
    <s v="US"/>
    <s v="USD"/>
    <n v="1435611438"/>
    <x v="2807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n v="95"/>
    <b v="1"/>
    <s v="theater/plays"/>
    <x v="2832"/>
    <x v="1"/>
    <s v="plays"/>
    <x v="3"/>
  </r>
  <r>
    <n v="2833"/>
    <s v="Star Man Rocket Man"/>
    <s v="A new play about exploring outer space"/>
    <x v="200"/>
    <n v="2923"/>
    <x v="0"/>
    <s v="US"/>
    <s v="USD"/>
    <n v="1444528800"/>
    <x v="28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n v="1"/>
    <b v="0"/>
    <s v="theater/plays"/>
    <x v="2863"/>
    <x v="1"/>
    <s v="plays"/>
    <x v="3"/>
  </r>
  <r>
    <n v="2864"/>
    <s v="'Haunting Julia' by Alan Ayckbourn"/>
    <s v="Accessible, original theatre for all!"/>
    <x v="30"/>
    <n v="40"/>
    <x v="2"/>
    <s v="GB"/>
    <s v="GBP"/>
    <n v="1437139080"/>
    <x v="2864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x v="10"/>
    <n v="25"/>
    <x v="2"/>
    <s v="US"/>
    <s v="USD"/>
    <n v="1420768800"/>
    <x v="2893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n v="28"/>
    <b v="1"/>
    <s v="theater/spaces"/>
    <x v="2988"/>
    <x v="1"/>
    <s v="spaces"/>
    <x v="2"/>
  </r>
  <r>
    <n v="2989"/>
    <s v="Let's Light Up The Gem!"/>
    <s v="Bring the movies back to Bethel, Maine."/>
    <x v="22"/>
    <n v="35307"/>
    <x v="0"/>
    <s v="US"/>
    <s v="USD"/>
    <n v="1450673940"/>
    <x v="2989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x v="28"/>
    <n v="1003"/>
    <x v="0"/>
    <s v="US"/>
    <s v="USD"/>
    <n v="1455998867"/>
    <x v="2993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n v="97"/>
    <b v="1"/>
    <s v="theater/spaces"/>
    <x v="3006"/>
    <x v="1"/>
    <s v="spaces"/>
    <x v="3"/>
  </r>
  <r>
    <n v="3007"/>
    <s v="Bethlem"/>
    <s v="Consuite for 2015 CoreCon.  An adventure into insanity."/>
    <x v="20"/>
    <n v="1080"/>
    <x v="0"/>
    <s v="US"/>
    <s v="USD"/>
    <n v="1429938683"/>
    <x v="3007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n v="6"/>
    <b v="0"/>
    <s v="theater/spaces"/>
    <x v="3060"/>
    <x v="1"/>
    <s v="spaces"/>
    <x v="0"/>
  </r>
  <r>
    <n v="3061"/>
    <s v="Help Save Parkway Cinemas!"/>
    <s v="Save a historic Local theater."/>
    <x v="80"/>
    <n v="0"/>
    <x v="2"/>
    <s v="US"/>
    <s v="USD"/>
    <n v="1407955748"/>
    <x v="3061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x v="212"/>
    <n v="116"/>
    <x v="1"/>
    <s v="US"/>
    <s v="USD"/>
    <n v="1478733732"/>
    <x v="312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n v="4"/>
    <b v="0"/>
    <s v="theater/spaces"/>
    <x v="3124"/>
    <x v="1"/>
    <s v="spaces"/>
    <x v="3"/>
  </r>
  <r>
    <n v="3125"/>
    <s v="N/A (Canceled)"/>
    <s v="N/A"/>
    <x v="86"/>
    <n v="0"/>
    <x v="1"/>
    <s v="US"/>
    <s v="USD"/>
    <n v="1452142672"/>
    <x v="3125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n v="89"/>
    <b v="1"/>
    <s v="theater/plays"/>
    <x v="3156"/>
    <x v="1"/>
    <s v="plays"/>
    <x v="5"/>
  </r>
  <r>
    <n v="3157"/>
    <s v="Summer FourPlay"/>
    <s v="Four Directors.  Four One Acts.  Four Genres.  For You."/>
    <x v="23"/>
    <n v="4040"/>
    <x v="0"/>
    <s v="US"/>
    <s v="USD"/>
    <n v="1405746000"/>
    <x v="3157"/>
    <b v="1"/>
    <n v="41"/>
    <b v="1"/>
    <s v="theater/plays"/>
    <x v="3157"/>
    <x v="1"/>
    <s v="plays"/>
    <x v="3"/>
  </r>
  <r>
    <n v="3158"/>
    <s v="Nursery Crimes"/>
    <s v="A 40s crime-noir play using nursery rhyme characters."/>
    <x v="10"/>
    <n v="5700"/>
    <x v="0"/>
    <s v="US"/>
    <s v="USD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x v="36"/>
    <n v="15126"/>
    <x v="0"/>
    <s v="US"/>
    <s v="USD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n v="15"/>
    <b v="1"/>
    <s v="theater/plays"/>
    <x v="3284"/>
    <x v="1"/>
    <s v="plays"/>
    <x v="2"/>
  </r>
  <r>
    <n v="3285"/>
    <s v="By Morning"/>
    <s v="A new play by Matthew Gasda"/>
    <x v="402"/>
    <n v="5604"/>
    <x v="0"/>
    <s v="US"/>
    <s v="USD"/>
    <n v="1488258000"/>
    <x v="3285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n v="70"/>
    <b v="1"/>
    <s v="theater/plays"/>
    <x v="3301"/>
    <x v="1"/>
    <s v="plays"/>
    <x v="2"/>
  </r>
  <r>
    <n v="3302"/>
    <s v="El muro de BorÃ­s KiÃ©n"/>
    <s v="FilosofÃ­a de los anÃ³nimos"/>
    <x v="33"/>
    <n v="8685"/>
    <x v="0"/>
    <s v="ES"/>
    <s v="EUR"/>
    <n v="1481099176"/>
    <x v="3302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n v="61"/>
    <b v="1"/>
    <s v="theater/plays"/>
    <x v="3466"/>
    <x v="1"/>
    <s v="plays"/>
    <x v="2"/>
  </r>
  <r>
    <n v="3467"/>
    <s v="Venus in Fur, Los Angeles."/>
    <s v="Venus in Fur, By David Ives."/>
    <x v="9"/>
    <n v="3030"/>
    <x v="0"/>
    <s v="US"/>
    <s v="USD"/>
    <n v="1426864032"/>
    <x v="3467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n v="17"/>
    <b v="1"/>
    <s v="theater/plays"/>
    <x v="3599"/>
    <x v="1"/>
    <s v="plays"/>
    <x v="0"/>
  </r>
  <r>
    <n v="3600"/>
    <s v="Pariah"/>
    <s v="The First Play From The Man Who Brought You The Black James Bond!"/>
    <x v="185"/>
    <n v="13"/>
    <x v="0"/>
    <s v="US"/>
    <s v="USD"/>
    <n v="1476390164"/>
    <x v="3600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n v="46"/>
    <b v="1"/>
    <s v="theater/plays"/>
    <x v="3718"/>
    <x v="1"/>
    <s v="plays"/>
    <x v="0"/>
  </r>
  <r>
    <n v="3719"/>
    <s v="Corium"/>
    <s v="A new piece of physical theatre about love, regret and longing."/>
    <x v="48"/>
    <n v="420"/>
    <x v="0"/>
    <s v="GB"/>
    <s v="GBP"/>
    <n v="1434994266"/>
    <x v="3719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n v="50"/>
    <b v="1"/>
    <s v="theater/musical"/>
    <x v="3757"/>
    <x v="1"/>
    <s v="musical"/>
    <x v="3"/>
  </r>
  <r>
    <n v="3758"/>
    <s v="Luigi's Ladies"/>
    <s v="LUIGI'S LADIES: an original one-woman musical comedy"/>
    <x v="15"/>
    <n v="1535"/>
    <x v="0"/>
    <s v="US"/>
    <s v="USD"/>
    <n v="1400475600"/>
    <x v="375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n v="13"/>
    <b v="0"/>
    <s v="theater/plays"/>
    <x v="3860"/>
    <x v="1"/>
    <s v="plays"/>
    <x v="3"/>
  </r>
  <r>
    <n v="3861"/>
    <s v="READY OR NOT HERE I COME"/>
    <s v="THE COMING OF THE LORD!"/>
    <x v="13"/>
    <n v="100"/>
    <x v="2"/>
    <s v="US"/>
    <s v="USD"/>
    <n v="1415828820"/>
    <x v="3861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n v="5"/>
    <b v="0"/>
    <s v="theater/plays"/>
    <x v="3867"/>
    <x v="1"/>
    <s v="plays"/>
    <x v="2"/>
  </r>
  <r>
    <n v="3868"/>
    <s v="1000 words (Canceled)"/>
    <s v="New collection of music by Scott Evan Davis!"/>
    <x v="10"/>
    <n v="10"/>
    <x v="1"/>
    <s v="GB"/>
    <s v="GBP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n v="0"/>
    <b v="0"/>
    <s v="theater/musical"/>
    <x v="3885"/>
    <x v="1"/>
    <s v="musical"/>
    <x v="2"/>
  </r>
  <r>
    <n v="3886"/>
    <s v="a (Canceled)"/>
    <n v="1"/>
    <x v="3"/>
    <n v="0"/>
    <x v="1"/>
    <s v="AU"/>
    <s v="AUD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n v="14"/>
    <b v="0"/>
    <s v="theater/plays"/>
    <x v="3999"/>
    <x v="1"/>
    <s v="plays"/>
    <x v="3"/>
  </r>
  <r>
    <n v="4000"/>
    <s v="The Escorts"/>
    <s v="An Enticing Trip into the World of Assisted Dying"/>
    <x v="6"/>
    <n v="10"/>
    <x v="2"/>
    <s v="US"/>
    <s v="USD"/>
    <n v="1462631358"/>
    <x v="4000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n v="2"/>
    <b v="0"/>
    <s v="theater/plays"/>
    <x v="4003"/>
    <x v="1"/>
    <s v="plays"/>
    <x v="0"/>
  </r>
  <r>
    <n v="4004"/>
    <s v="South Florida Tours"/>
    <s v="Help Launch The Queen Into South Florida!"/>
    <x v="2"/>
    <n v="1"/>
    <x v="2"/>
    <s v="US"/>
    <s v="USD"/>
    <n v="1412740457"/>
    <x v="4004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n v="5"/>
    <b v="0"/>
    <s v="theater/plays"/>
    <x v="4086"/>
    <x v="1"/>
    <s v="plays"/>
    <x v="0"/>
  </r>
  <r>
    <n v="4087"/>
    <s v="Stage Production &quot;The Nail Shop&quot;"/>
    <s v="Comedy Stage Play"/>
    <x v="376"/>
    <n v="0"/>
    <x v="2"/>
    <s v="US"/>
    <s v="USD"/>
    <n v="1468777786"/>
    <x v="4087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535FD-8942-4797-82EC-7AF91C3866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C262A-90D2-4C8C-8C50-850DC9754235}" name="Table1" displayName="Table1" ref="A1:H13" totalsRowShown="0">
  <autoFilter ref="A1:H13" xr:uid="{40DC262A-90D2-4C8C-8C50-850DC9754235}"/>
  <tableColumns count="8">
    <tableColumn id="1" xr3:uid="{1BC64EE2-ADF0-4260-82FD-144EAA0CF5FD}" name="Goal"/>
    <tableColumn id="2" xr3:uid="{BA2836E2-4063-4965-A15F-DC594DC45888}" name="Number Successful" dataDxfId="3">
      <calculatedColumnFormula>COUNTIFS(Kickstarter!$F:$F,"successful",Kickstarter!$D:$D,"&lt;1000")</calculatedColumnFormula>
    </tableColumn>
    <tableColumn id="3" xr3:uid="{B9988B44-8CDE-45B7-8751-81512AA404AD}" name="Number Failed"/>
    <tableColumn id="4" xr3:uid="{2247EC96-51AA-4D20-8916-EEFBAE675E9C}" name="Number Canceled"/>
    <tableColumn id="5" xr3:uid="{96F39EA4-D809-48A4-B115-1CDCA8770D3F}" name="Total Projects"/>
    <tableColumn id="6" xr3:uid="{D527D48C-A15F-4EAD-BB1A-6FFE7977FD54}" name="Percentage Successful" dataDxfId="2">
      <calculatedColumnFormula>B2/E2</calculatedColumnFormula>
    </tableColumn>
    <tableColumn id="7" xr3:uid="{F7988F61-3488-480C-B987-44B59B36C8AD}" name="Percentage Failed" dataDxfId="1" dataCellStyle="Percent">
      <calculatedColumnFormula>C2/E2</calculatedColumnFormula>
    </tableColumn>
    <tableColumn id="8" xr3:uid="{AE54C979-42C3-45F2-AAD0-A79A2B4C6BF6}" name="Percentage Canceled" dataDxfId="0" dataCellStyle="Percent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C775-2436-4607-AF52-2EF5235EFBBB}">
  <dimension ref="A1:E18"/>
  <sheetViews>
    <sheetView workbookViewId="0">
      <selection activeCell="M12" sqref="M1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8306</v>
      </c>
      <c r="B1" t="s">
        <v>8327</v>
      </c>
    </row>
    <row r="2" spans="1:5" x14ac:dyDescent="0.3">
      <c r="A2" s="10" t="s">
        <v>8308</v>
      </c>
      <c r="B2" t="s">
        <v>8324</v>
      </c>
    </row>
    <row r="4" spans="1:5" x14ac:dyDescent="0.3">
      <c r="A4" s="10" t="s">
        <v>8325</v>
      </c>
      <c r="B4" s="10" t="s">
        <v>8326</v>
      </c>
    </row>
    <row r="5" spans="1:5" x14ac:dyDescent="0.3">
      <c r="A5" s="10" t="s">
        <v>8310</v>
      </c>
      <c r="B5" t="s">
        <v>8218</v>
      </c>
      <c r="C5" t="s">
        <v>8220</v>
      </c>
      <c r="D5" t="s">
        <v>8219</v>
      </c>
      <c r="E5" t="s">
        <v>8311</v>
      </c>
    </row>
    <row r="6" spans="1:5" x14ac:dyDescent="0.3">
      <c r="A6" s="11" t="s">
        <v>8318</v>
      </c>
      <c r="B6">
        <v>56</v>
      </c>
      <c r="C6">
        <v>33</v>
      </c>
      <c r="D6">
        <v>7</v>
      </c>
      <c r="E6">
        <v>96</v>
      </c>
    </row>
    <row r="7" spans="1:5" x14ac:dyDescent="0.3">
      <c r="A7" s="11" t="s">
        <v>8319</v>
      </c>
      <c r="B7">
        <v>71</v>
      </c>
      <c r="C7">
        <v>39</v>
      </c>
      <c r="D7">
        <v>3</v>
      </c>
      <c r="E7">
        <v>113</v>
      </c>
    </row>
    <row r="8" spans="1:5" x14ac:dyDescent="0.3">
      <c r="A8" s="11" t="s">
        <v>8320</v>
      </c>
      <c r="B8">
        <v>56</v>
      </c>
      <c r="C8">
        <v>33</v>
      </c>
      <c r="D8">
        <v>3</v>
      </c>
      <c r="E8">
        <v>92</v>
      </c>
    </row>
    <row r="9" spans="1:5" x14ac:dyDescent="0.3">
      <c r="A9" s="11" t="s">
        <v>8321</v>
      </c>
      <c r="B9">
        <v>71</v>
      </c>
      <c r="C9">
        <v>40</v>
      </c>
      <c r="D9">
        <v>2</v>
      </c>
      <c r="E9">
        <v>113</v>
      </c>
    </row>
    <row r="10" spans="1:5" x14ac:dyDescent="0.3">
      <c r="A10" s="11" t="s">
        <v>8312</v>
      </c>
      <c r="B10">
        <v>111</v>
      </c>
      <c r="C10">
        <v>52</v>
      </c>
      <c r="D10">
        <v>3</v>
      </c>
      <c r="E10">
        <v>166</v>
      </c>
    </row>
    <row r="11" spans="1:5" x14ac:dyDescent="0.3">
      <c r="A11" s="11" t="s">
        <v>8322</v>
      </c>
      <c r="B11">
        <v>100</v>
      </c>
      <c r="C11">
        <v>49</v>
      </c>
      <c r="D11">
        <v>4</v>
      </c>
      <c r="E11">
        <v>153</v>
      </c>
    </row>
    <row r="12" spans="1:5" x14ac:dyDescent="0.3">
      <c r="A12" s="11" t="s">
        <v>8313</v>
      </c>
      <c r="B12">
        <v>87</v>
      </c>
      <c r="C12">
        <v>50</v>
      </c>
      <c r="D12">
        <v>1</v>
      </c>
      <c r="E12">
        <v>138</v>
      </c>
    </row>
    <row r="13" spans="1:5" x14ac:dyDescent="0.3">
      <c r="A13" s="11" t="s">
        <v>8314</v>
      </c>
      <c r="B13">
        <v>72</v>
      </c>
      <c r="C13">
        <v>47</v>
      </c>
      <c r="D13">
        <v>4</v>
      </c>
      <c r="E13">
        <v>123</v>
      </c>
    </row>
    <row r="14" spans="1:5" x14ac:dyDescent="0.3">
      <c r="A14" s="11" t="s">
        <v>8315</v>
      </c>
      <c r="B14">
        <v>59</v>
      </c>
      <c r="C14">
        <v>34</v>
      </c>
      <c r="D14">
        <v>4</v>
      </c>
      <c r="E14">
        <v>97</v>
      </c>
    </row>
    <row r="15" spans="1:5" x14ac:dyDescent="0.3">
      <c r="A15" s="11" t="s">
        <v>8316</v>
      </c>
      <c r="B15">
        <v>65</v>
      </c>
      <c r="C15">
        <v>50</v>
      </c>
      <c r="E15">
        <v>115</v>
      </c>
    </row>
    <row r="16" spans="1:5" x14ac:dyDescent="0.3">
      <c r="A16" s="11" t="s">
        <v>8317</v>
      </c>
      <c r="B16">
        <v>54</v>
      </c>
      <c r="C16">
        <v>31</v>
      </c>
      <c r="D16">
        <v>3</v>
      </c>
      <c r="E16">
        <v>88</v>
      </c>
    </row>
    <row r="17" spans="1:5" x14ac:dyDescent="0.3">
      <c r="A17" s="11" t="s">
        <v>8323</v>
      </c>
      <c r="B17">
        <v>37</v>
      </c>
      <c r="C17">
        <v>35</v>
      </c>
      <c r="D17">
        <v>3</v>
      </c>
      <c r="E17">
        <v>75</v>
      </c>
    </row>
    <row r="18" spans="1:5" x14ac:dyDescent="0.3">
      <c r="A18" s="11" t="s">
        <v>8311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74F6-52FA-4E83-918D-EB227D7106D1}">
  <dimension ref="A1:H14"/>
  <sheetViews>
    <sheetView tabSelected="1" topLeftCell="B1" workbookViewId="0">
      <selection activeCell="H22" sqref="H22"/>
    </sheetView>
  </sheetViews>
  <sheetFormatPr defaultRowHeight="14.4" x14ac:dyDescent="0.3"/>
  <cols>
    <col min="1" max="1" width="20.5546875" customWidth="1"/>
    <col min="2" max="2" width="19.77734375" customWidth="1"/>
    <col min="3" max="3" width="18" customWidth="1"/>
    <col min="4" max="4" width="18.77734375" customWidth="1"/>
    <col min="5" max="5" width="16" customWidth="1"/>
    <col min="6" max="6" width="22.88671875" customWidth="1"/>
    <col min="7" max="7" width="18.33203125" customWidth="1"/>
    <col min="8" max="8" width="22.21875" customWidth="1"/>
  </cols>
  <sheetData>
    <row r="1" spans="1:8" x14ac:dyDescent="0.3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t="s">
        <v>8333</v>
      </c>
      <c r="G1" t="s">
        <v>8334</v>
      </c>
      <c r="H1" t="s">
        <v>8335</v>
      </c>
    </row>
    <row r="2" spans="1:8" x14ac:dyDescent="0.3">
      <c r="A2" t="s">
        <v>8336</v>
      </c>
      <c r="B2">
        <f>COUNTIFS(Kickstarter!$F:$F,"successful",Kickstarter!$D:$D,"&lt;1000",Kickstarter!$Q:$Q,"plays")</f>
        <v>141</v>
      </c>
      <c r="C2">
        <f>COUNTIFS(Kickstarter!$F:$F,"failed",Kickstarter!$D:$D,"&lt;1000",Kickstarter!$Q:$Q,"plays")</f>
        <v>45</v>
      </c>
      <c r="D2">
        <f>COUNTIFS(Kickstarter!$F:$F,"canceled",Kickstarter!$D:$D,"&lt;1000",Kickstarter!$Q:$Q,"plays")</f>
        <v>0</v>
      </c>
      <c r="E2">
        <f>SUM(Table1[[#This Row],[Number Successful]:[Number Canceled]])</f>
        <v>186</v>
      </c>
      <c r="F2" s="12">
        <f t="shared" ref="F2:F13" si="0">B2/E2</f>
        <v>0.75806451612903225</v>
      </c>
      <c r="G2" s="12">
        <f t="shared" ref="G2:G13" si="1">C2/E2</f>
        <v>0.24193548387096775</v>
      </c>
      <c r="H2" s="12">
        <f t="shared" ref="H2:H13" si="2">D2/E2</f>
        <v>0</v>
      </c>
    </row>
    <row r="3" spans="1:8" x14ac:dyDescent="0.3">
      <c r="A3" t="s">
        <v>8337</v>
      </c>
      <c r="B3">
        <f>COUNTIFS(Kickstarter!$F:$F,"successful",Kickstarter!$D:$D,"&gt;=1000",Kickstarter!$D:$D,"&lt;5000",Kickstarter!$Q:$Q,"plays")</f>
        <v>388</v>
      </c>
      <c r="C3">
        <f>COUNTIFS(Kickstarter!$F:$F,"failed",Kickstarter!$D:$D,"&gt;=1000",Kickstarter!$D:$D,"&lt;5000",Kickstarter!$Q:$Q,"plays")</f>
        <v>146</v>
      </c>
      <c r="D3">
        <f>COUNTIFS(Kickstarter!$F:$F,"canceled",Kickstarter!$D:$D,"&gt;=1000",Kickstarter!$D:$D,"&lt;5000",Kickstarter!$Q:$Q,"plays")</f>
        <v>0</v>
      </c>
      <c r="E3">
        <f>SUM(Table1[[#This Row],[Number Successful]:[Number Canceled]])</f>
        <v>534</v>
      </c>
      <c r="F3" s="12">
        <f t="shared" si="0"/>
        <v>0.72659176029962547</v>
      </c>
      <c r="G3" s="12">
        <f>C3/E3</f>
        <v>0.27340823970037453</v>
      </c>
      <c r="H3" s="12">
        <f t="shared" si="2"/>
        <v>0</v>
      </c>
    </row>
    <row r="4" spans="1:8" x14ac:dyDescent="0.3">
      <c r="A4" t="s">
        <v>8338</v>
      </c>
      <c r="B4">
        <f>COUNTIFS(Kickstarter!$F:$F,"successful",Kickstarter!$D:$D,"&gt;=5000",Kickstarter!$D:$D,"&lt;10000",Kickstarter!$Q:$Q,"plays")</f>
        <v>93</v>
      </c>
      <c r="C4">
        <f>COUNTIFS(Kickstarter!$F:$F,"failed",Kickstarter!$D:$D,"&gt;=5000",Kickstarter!$D:$D,"&lt;10000",Kickstarter!$Q:$Q,"plays")</f>
        <v>76</v>
      </c>
      <c r="D4">
        <f>COUNTIFS(Kickstarter!$F:$F,"canceled",Kickstarter!$D:$D,"&gt;=5000",Kickstarter!$D:$D,"&lt;10000",Kickstarter!$Q:$Q,"plays")</f>
        <v>0</v>
      </c>
      <c r="E4">
        <f>SUM(Table1[[#This Row],[Number Successful]:[Number Canceled]])</f>
        <v>169</v>
      </c>
      <c r="F4" s="12">
        <f t="shared" si="0"/>
        <v>0.55029585798816572</v>
      </c>
      <c r="G4" s="12">
        <f>C4/E4</f>
        <v>0.44970414201183434</v>
      </c>
      <c r="H4" s="12">
        <f t="shared" si="2"/>
        <v>0</v>
      </c>
    </row>
    <row r="5" spans="1:8" x14ac:dyDescent="0.3">
      <c r="A5" t="s">
        <v>8339</v>
      </c>
      <c r="B5">
        <f>COUNTIFS(Kickstarter!$F:$F,"successful",Kickstarter!$D:$D,"&gt;=10000",Kickstarter!$D:$D,"&lt;15000",Kickstarter!$Q:$Q,"plays")</f>
        <v>39</v>
      </c>
      <c r="C5">
        <f>COUNTIFS(Kickstarter!$F:$F,"failed",Kickstarter!$D:$D,"&gt;=10000",Kickstarter!$D:$D,"&lt;15000",Kickstarter!$Q:$Q,"plays")</f>
        <v>33</v>
      </c>
      <c r="D5">
        <f>COUNTIFS(Kickstarter!$F:$F,"canceled",Kickstarter!$D:$D,"&gt;=10000",Kickstarter!$D:$D,"&lt;15000",Kickstarter!$Q:$Q,"plays")</f>
        <v>0</v>
      </c>
      <c r="E5">
        <f>SUM(Table1[[#This Row],[Number Successful]:[Number Canceled]])</f>
        <v>72</v>
      </c>
      <c r="F5" s="12">
        <f t="shared" si="0"/>
        <v>0.54166666666666663</v>
      </c>
      <c r="G5" s="12">
        <f t="shared" si="1"/>
        <v>0.45833333333333331</v>
      </c>
      <c r="H5" s="12">
        <f t="shared" si="2"/>
        <v>0</v>
      </c>
    </row>
    <row r="6" spans="1:8" x14ac:dyDescent="0.3">
      <c r="A6" t="s">
        <v>8340</v>
      </c>
      <c r="B6">
        <f>COUNTIFS(Kickstarter!$F:$F,"successful",Kickstarter!$D:$D,"&gt;=15000",Kickstarter!$D:$D,"&lt;20000",Kickstarter!$Q:$Q,"plays")</f>
        <v>12</v>
      </c>
      <c r="C6">
        <f>COUNTIFS(Kickstarter!$F:$F,"failed",Kickstarter!$D:$D,"&gt;=15000",Kickstarter!$D:$D,"&lt;20000",Kickstarter!$Q:$Q,"plays")</f>
        <v>12</v>
      </c>
      <c r="D6">
        <f>COUNTIFS(Kickstarter!$F:$F,"canceled",Kickstarter!$D:$D,"&gt;=15000",Kickstarter!$D:$D,"&lt;20000",Kickstarter!$Q:$Q,"plays")</f>
        <v>0</v>
      </c>
      <c r="E6">
        <f>SUM(Table1[[#This Row],[Number Successful]:[Number Canceled]])</f>
        <v>24</v>
      </c>
      <c r="F6" s="12">
        <f t="shared" si="0"/>
        <v>0.5</v>
      </c>
      <c r="G6" s="12">
        <f t="shared" si="1"/>
        <v>0.5</v>
      </c>
      <c r="H6" s="12">
        <f t="shared" si="2"/>
        <v>0</v>
      </c>
    </row>
    <row r="7" spans="1:8" x14ac:dyDescent="0.3">
      <c r="A7" t="s">
        <v>8341</v>
      </c>
      <c r="B7">
        <f>COUNTIFS(Kickstarter!$F:$F,"successful",Kickstarter!$D:$D,"&gt;=20000",Kickstarter!$D:$D,"&lt;25000",Kickstarter!$Q:$Q,"plays")</f>
        <v>9</v>
      </c>
      <c r="C7">
        <f>COUNTIFS(Kickstarter!$F:$F,"failed",Kickstarter!$D:$D,"&gt;=20000",Kickstarter!$D:$D,"&lt;25000",Kickstarter!$Q:$Q,"plays")</f>
        <v>11</v>
      </c>
      <c r="D7">
        <f>COUNTIFS(Kickstarter!$F:$F,"canceled",Kickstarter!$D:$D,"&gt;=20000",Kickstarter!$D:$D,"&lt;25000",Kickstarter!$Q:$Q,"plays")</f>
        <v>0</v>
      </c>
      <c r="E7">
        <f>SUM(Table1[[#This Row],[Number Successful]:[Number Canceled]])</f>
        <v>20</v>
      </c>
      <c r="F7" s="12">
        <f t="shared" si="0"/>
        <v>0.45</v>
      </c>
      <c r="G7" s="12">
        <f t="shared" si="1"/>
        <v>0.55000000000000004</v>
      </c>
      <c r="H7" s="12">
        <f t="shared" si="2"/>
        <v>0</v>
      </c>
    </row>
    <row r="8" spans="1:8" x14ac:dyDescent="0.3">
      <c r="A8" t="s">
        <v>8342</v>
      </c>
      <c r="B8">
        <f>COUNTIFS(Kickstarter!$F:$F,"successful",Kickstarter!$D:$D,"&gt;=25000",Kickstarter!$D:$D,"&lt;30000",Kickstarter!$Q:$Q,"plays")</f>
        <v>1</v>
      </c>
      <c r="C8">
        <f>COUNTIFS(Kickstarter!$F:$F,"failed",Kickstarter!$D:$D,"&gt;=25000",Kickstarter!$D:$D,"&lt;30000",Kickstarter!$Q:$Q,"plays")</f>
        <v>4</v>
      </c>
      <c r="D8">
        <f>COUNTIFS(Kickstarter!$F:$F,"canceled",Kickstarter!$D:$D,"&gt;=25000",Kickstarter!$D:$D,"&lt;30000",Kickstarter!$Q:$Q,"plays")</f>
        <v>0</v>
      </c>
      <c r="E8">
        <f>SUM(Table1[[#This Row],[Number Successful]:[Number Canceled]])</f>
        <v>5</v>
      </c>
      <c r="F8" s="12">
        <f t="shared" si="0"/>
        <v>0.2</v>
      </c>
      <c r="G8" s="12">
        <f t="shared" si="1"/>
        <v>0.8</v>
      </c>
      <c r="H8" s="12">
        <f t="shared" si="2"/>
        <v>0</v>
      </c>
    </row>
    <row r="9" spans="1:8" x14ac:dyDescent="0.3">
      <c r="A9" t="s">
        <v>8343</v>
      </c>
      <c r="B9">
        <f>COUNTIFS(Kickstarter!$F:$F,"successful",Kickstarter!$D:$D,"&gt;=30000",Kickstarter!$D:$D,"&lt;35000",Kickstarter!$Q:$Q,"plays")</f>
        <v>3</v>
      </c>
      <c r="C9">
        <f>COUNTIFS(Kickstarter!$F:$F,"failed",Kickstarter!$D:$D,"&gt;=30000",Kickstarter!$D:$D,"&lt;35000",Kickstarter!$Q:$Q,"plays")</f>
        <v>8</v>
      </c>
      <c r="D9">
        <f>COUNTIFS(Kickstarter!$F:$F,"canceled",Kickstarter!$D:$D,"&gt;=30000",Kickstarter!$D:$D,"&lt;35000",Kickstarter!$Q:$Q,"plays")</f>
        <v>0</v>
      </c>
      <c r="E9">
        <f>SUM(Table1[[#This Row],[Number Successful]:[Number Canceled]])</f>
        <v>11</v>
      </c>
      <c r="F9" s="12">
        <f t="shared" si="0"/>
        <v>0.27272727272727271</v>
      </c>
      <c r="G9" s="12">
        <f t="shared" si="1"/>
        <v>0.72727272727272729</v>
      </c>
      <c r="H9" s="12">
        <f t="shared" si="2"/>
        <v>0</v>
      </c>
    </row>
    <row r="10" spans="1:8" x14ac:dyDescent="0.3">
      <c r="A10" t="s">
        <v>8344</v>
      </c>
      <c r="B10">
        <f>COUNTIFS(Kickstarter!$F:$F,"successful",Kickstarter!$D:$D,"&gt;=35000",Kickstarter!$D:$D,"&lt;40000",Kickstarter!$Q:$Q,"plays")</f>
        <v>4</v>
      </c>
      <c r="C10">
        <f>COUNTIFS(Kickstarter!$F:$F,"failed",Kickstarter!$D:$D,"&gt;=35000",Kickstarter!$D:$D,"&lt;40000",Kickstarter!$Q:$Q,"plays")</f>
        <v>2</v>
      </c>
      <c r="D10">
        <f>COUNTIFS(Kickstarter!$F:$F,"canceled",Kickstarter!$D:$D,"&gt;=35000",Kickstarter!$D:$D,"&lt;40000",Kickstarter!$Q:$Q,"plays")</f>
        <v>0</v>
      </c>
      <c r="E10">
        <f>SUM(Table1[[#This Row],[Number Successful]:[Number Canceled]])</f>
        <v>6</v>
      </c>
      <c r="F10" s="12">
        <f t="shared" si="0"/>
        <v>0.66666666666666663</v>
      </c>
      <c r="G10" s="12">
        <f t="shared" si="1"/>
        <v>0.33333333333333331</v>
      </c>
      <c r="H10" s="12">
        <f t="shared" si="2"/>
        <v>0</v>
      </c>
    </row>
    <row r="11" spans="1:8" x14ac:dyDescent="0.3">
      <c r="A11" t="s">
        <v>8345</v>
      </c>
      <c r="B11">
        <f>COUNTIFS(Kickstarter!$F:$F,"successful",Kickstarter!$D:$D,"&gt;=40000",Kickstarter!$D:$D,"&lt;45000",Kickstarter!$Q:$Q,"plays")</f>
        <v>2</v>
      </c>
      <c r="C11">
        <f>COUNTIFS(Kickstarter!$F:$F,"failed",Kickstarter!$D:$D,"&gt;=40000",Kickstarter!$D:$D,"&lt;45000",Kickstarter!$Q:$Q,"plays")</f>
        <v>1</v>
      </c>
      <c r="D11">
        <f>COUNTIFS(Kickstarter!$F:$F,"canceled",Kickstarter!$D:$D,"&gt;=40000",Kickstarter!$D:$D,"&lt;45000",Kickstarter!$Q:$Q,"plays")</f>
        <v>0</v>
      </c>
      <c r="E11">
        <f>SUM(Table1[[#This Row],[Number Successful]:[Number Canceled]])</f>
        <v>3</v>
      </c>
      <c r="F11" s="12">
        <f t="shared" si="0"/>
        <v>0.66666666666666663</v>
      </c>
      <c r="G11" s="12">
        <f t="shared" si="1"/>
        <v>0.33333333333333331</v>
      </c>
      <c r="H11" s="12">
        <f t="shared" si="2"/>
        <v>0</v>
      </c>
    </row>
    <row r="12" spans="1:8" x14ac:dyDescent="0.3">
      <c r="A12" t="s">
        <v>8346</v>
      </c>
      <c r="B12">
        <f>COUNTIFS(Kickstarter!$F:$F,"successful",Kickstarter!$D:$D,"&gt;=45000",Kickstarter!$D:$D,"&lt;50000",Kickstarter!$Q:$Q,"plays")</f>
        <v>0</v>
      </c>
      <c r="C12">
        <f>COUNTIFS(Kickstarter!$F:$F,"failed",Kickstarter!$D:$D,"&gt;=45000",Kickstarter!$D:$D,"&lt;50000",Kickstarter!$Q:$Q,"plays")</f>
        <v>1</v>
      </c>
      <c r="D12">
        <f>COUNTIFS(Kickstarter!$F:$F,"canceled",Kickstarter!$D:$D,"&gt;=45000",Kickstarter!$D:$D,"&lt;50000",Kickstarter!$Q:$Q,"plays")</f>
        <v>0</v>
      </c>
      <c r="E12">
        <f>SUM(Table1[[#This Row],[Number Successful]:[Number Canceled]])</f>
        <v>1</v>
      </c>
      <c r="F12" s="12">
        <f t="shared" si="0"/>
        <v>0</v>
      </c>
      <c r="G12" s="12">
        <f t="shared" si="1"/>
        <v>1</v>
      </c>
      <c r="H12" s="12">
        <f t="shared" si="2"/>
        <v>0</v>
      </c>
    </row>
    <row r="13" spans="1:8" x14ac:dyDescent="0.3">
      <c r="A13" t="s">
        <v>8347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>SUM(Table1[[#This Row],[Number Successful]:[Number Canceled]])</f>
        <v>16</v>
      </c>
      <c r="F13" s="12">
        <f t="shared" si="0"/>
        <v>0.125</v>
      </c>
      <c r="G13" s="12">
        <f t="shared" si="1"/>
        <v>0.875</v>
      </c>
      <c r="H13" s="12">
        <f t="shared" si="2"/>
        <v>0</v>
      </c>
    </row>
    <row r="14" spans="1:8" x14ac:dyDescent="0.3">
      <c r="F14" s="12"/>
      <c r="G14" s="12"/>
      <c r="H14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J1" zoomScale="95" zoomScaleNormal="95" workbookViewId="0">
      <selection activeCell="C9" sqref="C9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Pasindu Sandun</cp:lastModifiedBy>
  <dcterms:created xsi:type="dcterms:W3CDTF">2017-04-20T15:17:24Z</dcterms:created>
  <dcterms:modified xsi:type="dcterms:W3CDTF">2023-02-21T17:57:55Z</dcterms:modified>
</cp:coreProperties>
</file>