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filterPrivacy="1" defaultThemeVersion="124226"/>
  <xr:revisionPtr revIDLastSave="0" documentId="13_ncr:1_{17D85C93-14DE-418C-BE5A-B746B278700F}" xr6:coauthVersionLast="45" xr6:coauthVersionMax="45" xr10:uidLastSave="{00000000-0000-0000-0000-000000000000}"/>
  <bookViews>
    <workbookView xWindow="320" yWindow="1750" windowWidth="18880" windowHeight="6170" firstSheet="1" activeTab="1" xr2:uid="{00000000-000D-0000-FFFF-FFFF00000000}"/>
  </bookViews>
  <sheets>
    <sheet name="AP30-97" sheetId="7" r:id="rId1"/>
    <sheet name="AP30B" sheetId="8" r:id="rId2"/>
    <sheet name="AP7" sheetId="4" r:id="rId3"/>
    <sheet name="AP8" sheetId="3" r:id="rId4"/>
    <sheet name="S465" sheetId="1" r:id="rId5"/>
    <sheet name="S580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0" i="8" l="1"/>
  <c r="J10" i="8"/>
  <c r="J11" i="8" s="1"/>
  <c r="I10" i="8"/>
  <c r="H10" i="8"/>
  <c r="G10" i="8"/>
  <c r="F10" i="8"/>
  <c r="E10" i="8"/>
  <c r="E11" i="8"/>
  <c r="E13" i="8" s="1"/>
  <c r="D8" i="8"/>
  <c r="C8" i="8"/>
  <c r="D10" i="8"/>
  <c r="C10" i="8"/>
  <c r="D15" i="7"/>
  <c r="E15" i="7"/>
  <c r="F15" i="7"/>
  <c r="G15" i="7"/>
  <c r="H15" i="7"/>
  <c r="I15" i="7"/>
  <c r="J15" i="7"/>
  <c r="K15" i="7"/>
  <c r="L15" i="7"/>
  <c r="C15" i="7"/>
  <c r="K11" i="8" l="1"/>
  <c r="J12" i="8"/>
  <c r="J13" i="8"/>
  <c r="I11" i="8"/>
  <c r="H11" i="8"/>
  <c r="G11" i="8"/>
  <c r="F11" i="8"/>
  <c r="E12" i="8"/>
  <c r="E14" i="8" s="1"/>
  <c r="E8" i="8" s="1"/>
  <c r="D11" i="8"/>
  <c r="C11" i="8"/>
  <c r="L11" i="7"/>
  <c r="L16" i="7" s="1"/>
  <c r="L14" i="7" s="1"/>
  <c r="L17" i="7"/>
  <c r="L23" i="7"/>
  <c r="K11" i="7"/>
  <c r="K16" i="7" s="1"/>
  <c r="K14" i="7" s="1"/>
  <c r="K17" i="7"/>
  <c r="K23" i="7"/>
  <c r="J11" i="7"/>
  <c r="J16" i="7" s="1"/>
  <c r="J14" i="7" s="1"/>
  <c r="J17" i="7"/>
  <c r="J23" i="7"/>
  <c r="I11" i="7"/>
  <c r="I16" i="7" s="1"/>
  <c r="I14" i="7" s="1"/>
  <c r="I17" i="7"/>
  <c r="I23" i="7"/>
  <c r="H11" i="7"/>
  <c r="H12" i="7" s="1"/>
  <c r="H13" i="7" s="1"/>
  <c r="H17" i="7"/>
  <c r="H21" i="7"/>
  <c r="H23" i="7"/>
  <c r="G11" i="7"/>
  <c r="G16" i="7" s="1"/>
  <c r="G14" i="7" s="1"/>
  <c r="G12" i="7"/>
  <c r="G13" i="7" s="1"/>
  <c r="G17" i="7"/>
  <c r="G23" i="7"/>
  <c r="F11" i="7"/>
  <c r="F16" i="7" s="1"/>
  <c r="F14" i="7" s="1"/>
  <c r="F17" i="7"/>
  <c r="F23" i="7"/>
  <c r="E11" i="7"/>
  <c r="E16" i="7" s="1"/>
  <c r="E14" i="7" s="1"/>
  <c r="E17" i="7"/>
  <c r="E23" i="7"/>
  <c r="D11" i="7"/>
  <c r="D12" i="7" s="1"/>
  <c r="D13" i="7" s="1"/>
  <c r="D17" i="7"/>
  <c r="D23" i="7"/>
  <c r="C9" i="7"/>
  <c r="C23" i="7"/>
  <c r="C17" i="7"/>
  <c r="C11" i="7"/>
  <c r="C12" i="7" s="1"/>
  <c r="C13" i="7" s="1"/>
  <c r="K13" i="8" l="1"/>
  <c r="K12" i="8"/>
  <c r="K14" i="8" s="1"/>
  <c r="K8" i="8" s="1"/>
  <c r="J14" i="8"/>
  <c r="J8" i="8" s="1"/>
  <c r="I13" i="8"/>
  <c r="I12" i="8"/>
  <c r="I14" i="8" s="1"/>
  <c r="I8" i="8" s="1"/>
  <c r="H13" i="8"/>
  <c r="H12" i="8"/>
  <c r="H14" i="8" s="1"/>
  <c r="H8" i="8" s="1"/>
  <c r="G13" i="8"/>
  <c r="G12" i="8"/>
  <c r="G14" i="8" s="1"/>
  <c r="G8" i="8" s="1"/>
  <c r="F13" i="8"/>
  <c r="F12" i="8"/>
  <c r="F14" i="8" s="1"/>
  <c r="F8" i="8" s="1"/>
  <c r="D13" i="8"/>
  <c r="D12" i="8"/>
  <c r="D14" i="8" s="1"/>
  <c r="C13" i="8"/>
  <c r="C12" i="8"/>
  <c r="G21" i="7"/>
  <c r="K12" i="7"/>
  <c r="K13" i="7" s="1"/>
  <c r="L12" i="7"/>
  <c r="L13" i="7" s="1"/>
  <c r="L8" i="7" s="1"/>
  <c r="E12" i="7"/>
  <c r="E13" i="7" s="1"/>
  <c r="E8" i="7" s="1"/>
  <c r="D16" i="7"/>
  <c r="D14" i="7" s="1"/>
  <c r="D8" i="7" s="1"/>
  <c r="G8" i="7"/>
  <c r="K8" i="7"/>
  <c r="E21" i="7"/>
  <c r="E19" i="7" s="1"/>
  <c r="H16" i="7"/>
  <c r="H14" i="7" s="1"/>
  <c r="H8" i="7" s="1"/>
  <c r="D21" i="7"/>
  <c r="I12" i="7"/>
  <c r="I13" i="7" s="1"/>
  <c r="I8" i="7" s="1"/>
  <c r="J12" i="7"/>
  <c r="J13" i="7" s="1"/>
  <c r="J8" i="7" s="1"/>
  <c r="K21" i="7"/>
  <c r="L21" i="7"/>
  <c r="J21" i="7"/>
  <c r="I21" i="7"/>
  <c r="H20" i="7"/>
  <c r="H22" i="7"/>
  <c r="H24" i="7" s="1"/>
  <c r="H19" i="7"/>
  <c r="G9" i="7"/>
  <c r="G19" i="7"/>
  <c r="G20" i="7"/>
  <c r="G22" i="7"/>
  <c r="G24" i="7" s="1"/>
  <c r="F12" i="7"/>
  <c r="F13" i="7" s="1"/>
  <c r="F8" i="7" s="1"/>
  <c r="F21" i="7"/>
  <c r="E22" i="7"/>
  <c r="E24" i="7" s="1"/>
  <c r="D22" i="7"/>
  <c r="D24" i="7" s="1"/>
  <c r="C21" i="7"/>
  <c r="C16" i="7"/>
  <c r="S9" i="4"/>
  <c r="S10" i="4" s="1"/>
  <c r="R9" i="4"/>
  <c r="R10" i="4" s="1"/>
  <c r="Q9" i="4"/>
  <c r="Q10" i="4" s="1"/>
  <c r="P9" i="4"/>
  <c r="P10" i="4" s="1"/>
  <c r="P11" i="4" s="1"/>
  <c r="O9" i="4"/>
  <c r="O10" i="4" s="1"/>
  <c r="N9" i="4"/>
  <c r="N10" i="4" s="1"/>
  <c r="M9" i="4"/>
  <c r="M10" i="4" s="1"/>
  <c r="E9" i="4"/>
  <c r="E10" i="4" s="1"/>
  <c r="F9" i="4"/>
  <c r="F10" i="4" s="1"/>
  <c r="F14" i="4" s="1"/>
  <c r="G9" i="4"/>
  <c r="G10" i="4" s="1"/>
  <c r="H9" i="4"/>
  <c r="I9" i="4"/>
  <c r="I10" i="4" s="1"/>
  <c r="J9" i="4"/>
  <c r="K9" i="4"/>
  <c r="K10" i="4" s="1"/>
  <c r="H10" i="4"/>
  <c r="H14" i="4" s="1"/>
  <c r="J10" i="4"/>
  <c r="J14" i="4" s="1"/>
  <c r="C9" i="4"/>
  <c r="C10" i="4" s="1"/>
  <c r="C13" i="4" s="1"/>
  <c r="C14" i="8" l="1"/>
  <c r="E20" i="7"/>
  <c r="H9" i="7"/>
  <c r="D9" i="7"/>
  <c r="D19" i="7"/>
  <c r="D20" i="7"/>
  <c r="K19" i="7"/>
  <c r="K22" i="7"/>
  <c r="K24" i="7" s="1"/>
  <c r="C22" i="7"/>
  <c r="C24" i="7" s="1"/>
  <c r="C20" i="7"/>
  <c r="C19" i="7"/>
  <c r="E9" i="7"/>
  <c r="K20" i="7"/>
  <c r="L22" i="7"/>
  <c r="L24" i="7" s="1"/>
  <c r="L20" i="7"/>
  <c r="L9" i="7"/>
  <c r="L19" i="7"/>
  <c r="J19" i="7"/>
  <c r="J22" i="7"/>
  <c r="J24" i="7" s="1"/>
  <c r="J20" i="7"/>
  <c r="I20" i="7"/>
  <c r="I19" i="7"/>
  <c r="I22" i="7"/>
  <c r="I24" i="7" s="1"/>
  <c r="F9" i="7"/>
  <c r="F19" i="7"/>
  <c r="F22" i="7"/>
  <c r="F24" i="7" s="1"/>
  <c r="F20" i="7"/>
  <c r="C14" i="7"/>
  <c r="C8" i="7" s="1"/>
  <c r="K7" i="4"/>
  <c r="K14" i="4"/>
  <c r="K11" i="4"/>
  <c r="G11" i="4"/>
  <c r="G14" i="4"/>
  <c r="H12" i="4"/>
  <c r="H11" i="4"/>
  <c r="H13" i="4" s="1"/>
  <c r="H7" i="4" s="1"/>
  <c r="C11" i="4"/>
  <c r="C7" i="4"/>
  <c r="M12" i="4"/>
  <c r="M7" i="4"/>
  <c r="M14" i="4"/>
  <c r="M11" i="4"/>
  <c r="Q12" i="4"/>
  <c r="Q11" i="4"/>
  <c r="Q13" i="4" s="1"/>
  <c r="Q14" i="4"/>
  <c r="N14" i="4"/>
  <c r="N11" i="4"/>
  <c r="N12" i="4"/>
  <c r="R14" i="4"/>
  <c r="R12" i="4"/>
  <c r="R11" i="4"/>
  <c r="O14" i="4"/>
  <c r="O11" i="4"/>
  <c r="O12" i="4"/>
  <c r="S14" i="4"/>
  <c r="S11" i="4"/>
  <c r="S12" i="4"/>
  <c r="S7" i="4"/>
  <c r="P14" i="4"/>
  <c r="P12" i="4"/>
  <c r="P13" i="4" s="1"/>
  <c r="P7" i="4" s="1"/>
  <c r="I12" i="4"/>
  <c r="I11" i="4"/>
  <c r="I14" i="4"/>
  <c r="E7" i="4"/>
  <c r="E12" i="4"/>
  <c r="E11" i="4"/>
  <c r="E14" i="4"/>
  <c r="K12" i="4"/>
  <c r="G12" i="4"/>
  <c r="J11" i="4"/>
  <c r="F11" i="4"/>
  <c r="J12" i="4"/>
  <c r="F12" i="4"/>
  <c r="C14" i="4"/>
  <c r="C12" i="4"/>
  <c r="Q9" i="3"/>
  <c r="Q10" i="3" s="1"/>
  <c r="P9" i="3"/>
  <c r="O9" i="3"/>
  <c r="N9" i="3"/>
  <c r="N10" i="3" s="1"/>
  <c r="N11" i="3" s="1"/>
  <c r="M9" i="3"/>
  <c r="M10" i="3" s="1"/>
  <c r="L9" i="3"/>
  <c r="K9" i="3"/>
  <c r="Q7" i="3"/>
  <c r="K7" i="3"/>
  <c r="I9" i="3"/>
  <c r="C9" i="3"/>
  <c r="H9" i="3"/>
  <c r="G9" i="3"/>
  <c r="G10" i="3" s="1"/>
  <c r="G12" i="3" s="1"/>
  <c r="F9" i="3"/>
  <c r="F10" i="3" s="1"/>
  <c r="E9" i="3"/>
  <c r="E10" i="3" s="1"/>
  <c r="I9" i="7" l="1"/>
  <c r="K9" i="7"/>
  <c r="J9" i="7"/>
  <c r="G13" i="4"/>
  <c r="G7" i="4" s="1"/>
  <c r="Q7" i="4"/>
  <c r="F13" i="4"/>
  <c r="I13" i="4"/>
  <c r="I7" i="4" s="1"/>
  <c r="N13" i="4"/>
  <c r="C10" i="3"/>
  <c r="C12" i="3" s="1"/>
  <c r="E13" i="4"/>
  <c r="R13" i="4"/>
  <c r="R7" i="4" s="1"/>
  <c r="M13" i="4"/>
  <c r="K13" i="4"/>
  <c r="O13" i="4"/>
  <c r="O7" i="4" s="1"/>
  <c r="S13" i="4"/>
  <c r="N7" i="4"/>
  <c r="J13" i="4"/>
  <c r="J7" i="4" s="1"/>
  <c r="F7" i="4"/>
  <c r="M14" i="3"/>
  <c r="M11" i="3"/>
  <c r="M12" i="3"/>
  <c r="Q14" i="3"/>
  <c r="Q11" i="3"/>
  <c r="Q12" i="3"/>
  <c r="K10" i="3"/>
  <c r="O10" i="3"/>
  <c r="N14" i="3"/>
  <c r="L10" i="3"/>
  <c r="P10" i="3"/>
  <c r="N12" i="3"/>
  <c r="N13" i="3" s="1"/>
  <c r="I10" i="3"/>
  <c r="C14" i="3"/>
  <c r="C11" i="3"/>
  <c r="C7" i="3" s="1"/>
  <c r="H10" i="3"/>
  <c r="G11" i="3"/>
  <c r="G13" i="3" s="1"/>
  <c r="G14" i="3"/>
  <c r="F12" i="3"/>
  <c r="F14" i="3"/>
  <c r="F11" i="3"/>
  <c r="E12" i="3"/>
  <c r="E14" i="3"/>
  <c r="E11" i="3"/>
  <c r="D9" i="3"/>
  <c r="E13" i="3" l="1"/>
  <c r="E7" i="3" s="1"/>
  <c r="N7" i="3"/>
  <c r="C13" i="3"/>
  <c r="F13" i="3"/>
  <c r="F7" i="3" s="1"/>
  <c r="M13" i="3"/>
  <c r="M7" i="3" s="1"/>
  <c r="Q13" i="3"/>
  <c r="L14" i="3"/>
  <c r="L12" i="3"/>
  <c r="L11" i="3"/>
  <c r="O12" i="3"/>
  <c r="O11" i="3"/>
  <c r="O14" i="3"/>
  <c r="K12" i="3"/>
  <c r="K11" i="3"/>
  <c r="K14" i="3"/>
  <c r="P14" i="3"/>
  <c r="P12" i="3"/>
  <c r="P11" i="3"/>
  <c r="I12" i="3"/>
  <c r="I14" i="3"/>
  <c r="I11" i="3"/>
  <c r="H12" i="3"/>
  <c r="H14" i="3"/>
  <c r="H11" i="3"/>
  <c r="G7" i="3"/>
  <c r="D10" i="3"/>
  <c r="AB8" i="1"/>
  <c r="AB9" i="1" s="1"/>
  <c r="AA8" i="1"/>
  <c r="AA9" i="1" s="1"/>
  <c r="AA10" i="1" s="1"/>
  <c r="Z8" i="1"/>
  <c r="Z9" i="1" s="1"/>
  <c r="Z10" i="1" s="1"/>
  <c r="Y8" i="1"/>
  <c r="Y9" i="1" s="1"/>
  <c r="Y10" i="1" s="1"/>
  <c r="Y11" i="1" s="1"/>
  <c r="X8" i="1"/>
  <c r="X9" i="1" s="1"/>
  <c r="X10" i="1" s="1"/>
  <c r="W8" i="1"/>
  <c r="W9" i="1" s="1"/>
  <c r="V8" i="1"/>
  <c r="V9" i="1" s="1"/>
  <c r="U8" i="1"/>
  <c r="U9" i="1" s="1"/>
  <c r="U10" i="1" s="1"/>
  <c r="U11" i="1" s="1"/>
  <c r="S8" i="1"/>
  <c r="S9" i="1" s="1"/>
  <c r="S10" i="1" s="1"/>
  <c r="S11" i="1" s="1"/>
  <c r="R8" i="1"/>
  <c r="R9" i="1" s="1"/>
  <c r="R10" i="1" s="1"/>
  <c r="R11" i="1" s="1"/>
  <c r="Q8" i="1"/>
  <c r="Q9" i="1" s="1"/>
  <c r="Q10" i="1" s="1"/>
  <c r="P8" i="1"/>
  <c r="P9" i="1" s="1"/>
  <c r="P10" i="1" s="1"/>
  <c r="P11" i="1" s="1"/>
  <c r="O8" i="1"/>
  <c r="O9" i="1" s="1"/>
  <c r="O10" i="1" s="1"/>
  <c r="N8" i="1"/>
  <c r="N9" i="1" s="1"/>
  <c r="N10" i="1" s="1"/>
  <c r="M8" i="1"/>
  <c r="M9" i="1" s="1"/>
  <c r="M10" i="1" s="1"/>
  <c r="L8" i="1"/>
  <c r="L9" i="1" s="1"/>
  <c r="L10" i="1" s="1"/>
  <c r="L11" i="1" s="1"/>
  <c r="O11" i="1" l="1"/>
  <c r="AB10" i="1"/>
  <c r="AB11" i="1" s="1"/>
  <c r="X11" i="1"/>
  <c r="K13" i="3"/>
  <c r="H13" i="3"/>
  <c r="H7" i="3" s="1"/>
  <c r="L7" i="3"/>
  <c r="L13" i="3"/>
  <c r="P13" i="3"/>
  <c r="P7" i="3" s="1"/>
  <c r="O13" i="3"/>
  <c r="O7" i="3" s="1"/>
  <c r="I13" i="3"/>
  <c r="I7" i="3" s="1"/>
  <c r="D12" i="3"/>
  <c r="D14" i="3"/>
  <c r="N11" i="1"/>
  <c r="AA11" i="1"/>
  <c r="Q11" i="1"/>
  <c r="W10" i="1"/>
  <c r="W11" i="1" s="1"/>
  <c r="M11" i="1"/>
  <c r="Z11" i="1"/>
  <c r="V10" i="1"/>
  <c r="V11" i="1" s="1"/>
  <c r="D11" i="3"/>
  <c r="C6" i="2"/>
  <c r="C7" i="2" s="1"/>
  <c r="C9" i="2" s="1"/>
  <c r="D13" i="3" l="1"/>
  <c r="D7" i="3" s="1"/>
  <c r="C8" i="2"/>
  <c r="D8" i="1"/>
  <c r="D9" i="1" s="1"/>
  <c r="E8" i="1"/>
  <c r="E9" i="1" s="1"/>
  <c r="F8" i="1"/>
  <c r="F9" i="1" s="1"/>
  <c r="G8" i="1"/>
  <c r="G9" i="1" s="1"/>
  <c r="H8" i="1"/>
  <c r="H9" i="1" s="1"/>
  <c r="I8" i="1"/>
  <c r="I9" i="1" s="1"/>
  <c r="J8" i="1"/>
  <c r="J9" i="1" s="1"/>
  <c r="C8" i="1"/>
  <c r="E6" i="2"/>
  <c r="E8" i="2" s="1"/>
  <c r="F6" i="2"/>
  <c r="F8" i="2" s="1"/>
  <c r="G6" i="2"/>
  <c r="G8" i="2" s="1"/>
  <c r="H6" i="2"/>
  <c r="H8" i="2" s="1"/>
  <c r="I6" i="2"/>
  <c r="I8" i="2" s="1"/>
  <c r="D6" i="2"/>
  <c r="D7" i="2" s="1"/>
  <c r="I10" i="1" l="1"/>
  <c r="I11" i="1" s="1"/>
  <c r="E10" i="1"/>
  <c r="E11" i="1" s="1"/>
  <c r="H10" i="1"/>
  <c r="H11" i="1" s="1"/>
  <c r="D10" i="1"/>
  <c r="D11" i="1" s="1"/>
  <c r="J10" i="1"/>
  <c r="J11" i="1" s="1"/>
  <c r="F10" i="1"/>
  <c r="F11" i="1" s="1"/>
  <c r="G10" i="1"/>
  <c r="G11" i="1" s="1"/>
  <c r="C9" i="1"/>
  <c r="C10" i="1" s="1"/>
  <c r="D8" i="2"/>
  <c r="D9" i="2" s="1"/>
  <c r="F7" i="2"/>
  <c r="F9" i="2" s="1"/>
  <c r="I7" i="2"/>
  <c r="I9" i="2" s="1"/>
  <c r="E7" i="2"/>
  <c r="E9" i="2" s="1"/>
  <c r="H7" i="2"/>
  <c r="H9" i="2" s="1"/>
  <c r="G7" i="2"/>
  <c r="G9" i="2" s="1"/>
  <c r="C11" i="1" l="1"/>
</calcChain>
</file>

<file path=xl/sharedStrings.xml><?xml version="1.0" encoding="utf-8"?>
<sst xmlns="http://schemas.openxmlformats.org/spreadsheetml/2006/main" count="140" uniqueCount="33">
  <si>
    <t>lambda_wl</t>
  </si>
  <si>
    <t>c</t>
  </si>
  <si>
    <t>f</t>
  </si>
  <si>
    <t>phi</t>
  </si>
  <si>
    <t>phi_min</t>
  </si>
  <si>
    <t>d</t>
  </si>
  <si>
    <t>dtolambda</t>
  </si>
  <si>
    <t>g</t>
  </si>
  <si>
    <t>м/с</t>
  </si>
  <si>
    <t>м</t>
  </si>
  <si>
    <t>ГГц</t>
  </si>
  <si>
    <t>град</t>
  </si>
  <si>
    <t>мм</t>
  </si>
  <si>
    <t>дБ</t>
  </si>
  <si>
    <t>t&gt;1993</t>
  </si>
  <si>
    <t>Tx ?</t>
  </si>
  <si>
    <t>w</t>
  </si>
  <si>
    <t>dw</t>
  </si>
  <si>
    <t>gmax</t>
  </si>
  <si>
    <t>g1</t>
  </si>
  <si>
    <t>phi_m</t>
  </si>
  <si>
    <t>phi_r</t>
  </si>
  <si>
    <t>Входные даннные:</t>
  </si>
  <si>
    <t>Рассчитанные параметры:</t>
  </si>
  <si>
    <t>gx</t>
  </si>
  <si>
    <t>phi_b</t>
  </si>
  <si>
    <t>phi_0</t>
  </si>
  <si>
    <t>phi_1</t>
  </si>
  <si>
    <t>phi_2</t>
  </si>
  <si>
    <t>0.25*phi_0</t>
  </si>
  <si>
    <t>0.44*phi_0</t>
  </si>
  <si>
    <t>eta</t>
  </si>
  <si>
    <t>s_l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</si>
</sst>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##"/>
    <numFmt numFmtId="166" formatCode="###.##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quotePrefix="1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Protection="1">
      <protection locked="0"/>
    </xf>
    <xf numFmtId="1" fontId="0" fillId="0" borderId="0" xfId="0" quotePrefix="1" applyNumberFormat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</xf>
    <xf numFmtId="1" fontId="1" fillId="0" borderId="0" xfId="0" applyNumberFormat="1" applyFont="1"/>
    <xf numFmtId="0" fontId="1" fillId="0" borderId="0" xfId="0" applyFont="1"/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C76DF-4EF8-4F6F-9220-54C313504806}">
  <dimension ref="A1:Q24"/>
  <sheetViews>
    <sheetView workbookViewId="0">
      <pane xSplit="2" topLeftCell="C1" activePane="topRight" state="frozen"/>
      <selection pane="topRight" activeCell="C8" sqref="C8"/>
    </sheetView>
  </sheetViews>
  <sheetFormatPr defaultRowHeight="14.5" x14ac:dyDescent="0.35"/>
  <cols>
    <col min="1" max="1" width="10" bestFit="1" customWidth="1"/>
    <col min="3" max="10" width="9.81640625" bestFit="1" customWidth="1"/>
    <col min="11" max="17" width="9.81640625" customWidth="1"/>
  </cols>
  <sheetData>
    <row r="1" spans="1:17" x14ac:dyDescent="0.35">
      <c r="A1" s="2" t="s">
        <v>32</v>
      </c>
      <c r="B1" s="7" t="s">
        <v>8</v>
      </c>
      <c r="C1" s="4">
        <v>299792458</v>
      </c>
      <c r="D1" s="4">
        <v>299792458</v>
      </c>
      <c r="E1" s="4">
        <v>299792458</v>
      </c>
      <c r="F1" s="4">
        <v>299792458</v>
      </c>
      <c r="G1" s="4">
        <v>299792458</v>
      </c>
      <c r="H1" s="4">
        <v>299792458</v>
      </c>
      <c r="I1" s="4">
        <v>299792458</v>
      </c>
      <c r="J1" s="4">
        <v>299792458</v>
      </c>
      <c r="K1" s="4">
        <v>299792458</v>
      </c>
      <c r="L1" s="4">
        <v>299792458</v>
      </c>
      <c r="M1" s="4"/>
      <c r="N1" s="4"/>
      <c r="O1" s="4"/>
      <c r="P1" s="4"/>
      <c r="Q1" s="4"/>
    </row>
    <row r="2" spans="1:17" x14ac:dyDescent="0.35">
      <c r="A2" s="12" t="s">
        <v>22</v>
      </c>
      <c r="B2" s="7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35">
      <c r="A3" t="s">
        <v>3</v>
      </c>
      <c r="B3" s="8" t="s">
        <v>11</v>
      </c>
      <c r="C3" s="14">
        <v>-1</v>
      </c>
      <c r="D3" s="14">
        <v>0</v>
      </c>
      <c r="E3" s="14">
        <v>0.3</v>
      </c>
      <c r="F3" s="14">
        <v>1</v>
      </c>
      <c r="G3" s="14">
        <v>2</v>
      </c>
      <c r="H3" s="14">
        <v>4</v>
      </c>
      <c r="I3" s="14">
        <v>8</v>
      </c>
      <c r="J3" s="14">
        <v>50</v>
      </c>
      <c r="K3" s="14">
        <v>100</v>
      </c>
      <c r="L3" s="14">
        <v>200</v>
      </c>
      <c r="M3" s="14"/>
      <c r="N3" s="14"/>
      <c r="O3" s="14"/>
      <c r="P3" s="14"/>
      <c r="Q3" s="14"/>
    </row>
    <row r="4" spans="1:17" x14ac:dyDescent="0.35">
      <c r="A4" t="s">
        <v>2</v>
      </c>
      <c r="B4" s="8" t="s">
        <v>10</v>
      </c>
      <c r="C4" s="14">
        <v>12.1</v>
      </c>
      <c r="D4" s="14">
        <v>12.1</v>
      </c>
      <c r="E4" s="14">
        <v>12.1</v>
      </c>
      <c r="F4" s="14">
        <v>12.1</v>
      </c>
      <c r="G4" s="14">
        <v>12.1</v>
      </c>
      <c r="H4" s="14">
        <v>12.1</v>
      </c>
      <c r="I4" s="14">
        <v>12.1</v>
      </c>
      <c r="J4" s="14">
        <v>12.1</v>
      </c>
      <c r="K4" s="14">
        <v>12.1</v>
      </c>
      <c r="L4" s="14">
        <v>12.1</v>
      </c>
      <c r="M4" s="14"/>
      <c r="N4" s="14"/>
      <c r="O4" s="14"/>
      <c r="P4" s="14"/>
      <c r="Q4" s="14"/>
    </row>
    <row r="5" spans="1:17" x14ac:dyDescent="0.35">
      <c r="A5" t="s">
        <v>5</v>
      </c>
      <c r="B5" s="8" t="s">
        <v>9</v>
      </c>
      <c r="C5" s="14">
        <v>0.6</v>
      </c>
      <c r="D5" s="14">
        <v>0.6</v>
      </c>
      <c r="E5" s="14">
        <v>0.6</v>
      </c>
      <c r="F5" s="14">
        <v>0.6</v>
      </c>
      <c r="G5" s="14">
        <v>0.6</v>
      </c>
      <c r="H5" s="14">
        <v>0.6</v>
      </c>
      <c r="I5" s="14">
        <v>0.6</v>
      </c>
      <c r="J5" s="14">
        <v>0.6</v>
      </c>
      <c r="K5" s="14">
        <v>0.6</v>
      </c>
      <c r="L5" s="14">
        <v>0.6</v>
      </c>
      <c r="M5" s="14"/>
      <c r="N5" s="14"/>
      <c r="O5" s="14"/>
      <c r="P5" s="14"/>
      <c r="Q5" s="14"/>
    </row>
    <row r="6" spans="1:17" x14ac:dyDescent="0.35">
      <c r="A6" s="16" t="s">
        <v>31</v>
      </c>
      <c r="B6" s="8"/>
      <c r="C6" s="14">
        <v>0.65</v>
      </c>
      <c r="D6" s="14">
        <v>0.65</v>
      </c>
      <c r="E6" s="14">
        <v>0.65</v>
      </c>
      <c r="F6" s="14">
        <v>0.65</v>
      </c>
      <c r="G6" s="14">
        <v>0.65</v>
      </c>
      <c r="H6" s="14">
        <v>0.65</v>
      </c>
      <c r="I6" s="14">
        <v>0.65</v>
      </c>
      <c r="J6" s="14">
        <v>0.65</v>
      </c>
      <c r="K6" s="14">
        <v>0.65</v>
      </c>
      <c r="L6" s="14">
        <v>0.65</v>
      </c>
      <c r="M6" s="14"/>
      <c r="N6" s="14"/>
      <c r="O6" s="14"/>
      <c r="P6" s="14"/>
      <c r="Q6" s="14"/>
    </row>
    <row r="7" spans="1:17" x14ac:dyDescent="0.35">
      <c r="A7" s="13" t="s">
        <v>23</v>
      </c>
      <c r="B7" s="8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</row>
    <row r="8" spans="1:17" x14ac:dyDescent="0.35">
      <c r="A8" t="s">
        <v>7</v>
      </c>
      <c r="B8" s="8" t="s">
        <v>13</v>
      </c>
      <c r="C8" s="14" t="str">
        <f t="shared" ref="C8:L8" si="0">IF(C3&lt;0,"φ &lt; 0 !",IF(C3&gt;180,"φ &gt; 180 !",IF(AND(0&lt;=C3,C3&lt;C15),C13-2.5*(10^-3)*(C12*C3)^2,IF(AND(C15&lt;=C3,C3&lt;C16),C14,IF(AND(C16&lt;=C3,C3&lt;C17),29-25*LOG(C3),IF(AND(C17&lt;=C3,C3&lt;70),-5,0))))))</f>
        <v>φ &lt; 0 !</v>
      </c>
      <c r="D8" s="14">
        <f t="shared" si="0"/>
        <v>35.754449375754554</v>
      </c>
      <c r="E8" s="14">
        <f t="shared" si="0"/>
        <v>35.622497869042036</v>
      </c>
      <c r="F8" s="14">
        <f t="shared" si="0"/>
        <v>34.288321523393265</v>
      </c>
      <c r="G8" s="14">
        <f t="shared" si="0"/>
        <v>29.889937966309382</v>
      </c>
      <c r="H8" s="14">
        <f t="shared" si="0"/>
        <v>13.948500216800941</v>
      </c>
      <c r="I8" s="14">
        <f t="shared" si="0"/>
        <v>6.4227503252014131</v>
      </c>
      <c r="J8" s="14">
        <f t="shared" si="0"/>
        <v>-5</v>
      </c>
      <c r="K8" s="14">
        <f t="shared" si="0"/>
        <v>0</v>
      </c>
      <c r="L8" s="14" t="str">
        <f t="shared" si="0"/>
        <v>φ &gt; 180 !</v>
      </c>
      <c r="M8" s="14"/>
      <c r="N8" s="14"/>
      <c r="O8" s="14"/>
      <c r="P8" s="14"/>
      <c r="Q8" s="14"/>
    </row>
    <row r="9" spans="1:17" x14ac:dyDescent="0.35">
      <c r="A9" t="s">
        <v>24</v>
      </c>
      <c r="B9" s="8" t="s">
        <v>13</v>
      </c>
      <c r="C9" s="14" t="str">
        <f t="shared" ref="C9:L9" si="1">IF(C3&lt;0,"φ &lt; 0 !",IF(C3&gt;180,"φ &gt; 180 !",IF(AND(0&lt;=C3,C3&lt;0.25*C21),C13-25,IF(AND(0.25*C21&lt;=C3,C3&lt;0.44*C21),C13-25+8*((C3-0.25*C21)/(0.19*C21)),IF(AND(0.44*C21&lt;=C3,C3&lt;C21),C13-17,IF(AND(C21&lt;=C3,C3&lt;C22),C13-17+C24*((C3-C21)/(C22-C21)),IF(AND(C22&lt;=C3,C3&lt;C23),21-25*LOG(C3),IF(AND(C23&lt;=C3,C3&lt;70),-5,0))))))))</f>
        <v>φ &lt; 0 !</v>
      </c>
      <c r="D9" s="14">
        <f t="shared" si="1"/>
        <v>10.754449375754554</v>
      </c>
      <c r="E9" s="14">
        <f t="shared" si="1"/>
        <v>10.754449375754554</v>
      </c>
      <c r="F9" s="14">
        <f t="shared" si="1"/>
        <v>14.945553631783369</v>
      </c>
      <c r="G9" s="14">
        <f t="shared" si="1"/>
        <v>18.754449375754554</v>
      </c>
      <c r="H9" s="14">
        <f t="shared" si="1"/>
        <v>9.2383362954953281</v>
      </c>
      <c r="I9" s="14">
        <f t="shared" si="1"/>
        <v>-1.5772496747985869</v>
      </c>
      <c r="J9" s="14">
        <f t="shared" si="1"/>
        <v>-5</v>
      </c>
      <c r="K9" s="14">
        <f t="shared" si="1"/>
        <v>0</v>
      </c>
      <c r="L9" s="14" t="str">
        <f t="shared" si="1"/>
        <v>φ &gt; 180 !</v>
      </c>
      <c r="M9" s="14"/>
      <c r="N9" s="14"/>
      <c r="O9" s="14"/>
      <c r="P9" s="14"/>
      <c r="Q9" s="14"/>
    </row>
    <row r="10" spans="1:17" x14ac:dyDescent="0.35">
      <c r="B10" s="8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</row>
    <row r="11" spans="1:17" x14ac:dyDescent="0.35">
      <c r="A11" s="3" t="s">
        <v>16</v>
      </c>
      <c r="B11" s="6" t="s">
        <v>12</v>
      </c>
      <c r="C11" s="14">
        <f t="shared" ref="C11:L11" si="2">10^3*C1/(C4*10^9)</f>
        <v>24.776236198347107</v>
      </c>
      <c r="D11" s="14">
        <f t="shared" si="2"/>
        <v>24.776236198347107</v>
      </c>
      <c r="E11" s="14">
        <f t="shared" si="2"/>
        <v>24.776236198347107</v>
      </c>
      <c r="F11" s="14">
        <f t="shared" si="2"/>
        <v>24.776236198347107</v>
      </c>
      <c r="G11" s="14">
        <f t="shared" si="2"/>
        <v>24.776236198347107</v>
      </c>
      <c r="H11" s="14">
        <f t="shared" si="2"/>
        <v>24.776236198347107</v>
      </c>
      <c r="I11" s="14">
        <f t="shared" si="2"/>
        <v>24.776236198347107</v>
      </c>
      <c r="J11" s="14">
        <f t="shared" si="2"/>
        <v>24.776236198347107</v>
      </c>
      <c r="K11" s="14">
        <f t="shared" si="2"/>
        <v>24.776236198347107</v>
      </c>
      <c r="L11" s="14">
        <f t="shared" si="2"/>
        <v>24.776236198347107</v>
      </c>
      <c r="M11" s="14"/>
      <c r="N11" s="14"/>
      <c r="O11" s="14"/>
      <c r="P11" s="14"/>
      <c r="Q11" s="14"/>
    </row>
    <row r="12" spans="1:17" x14ac:dyDescent="0.35">
      <c r="A12" s="1" t="s">
        <v>17</v>
      </c>
      <c r="B12" s="5"/>
      <c r="C12" s="14">
        <f t="shared" ref="C12:L12" si="3">C5/(C11*10^-3)</f>
        <v>24.21675331138584</v>
      </c>
      <c r="D12" s="14">
        <f t="shared" si="3"/>
        <v>24.21675331138584</v>
      </c>
      <c r="E12" s="14">
        <f t="shared" si="3"/>
        <v>24.21675331138584</v>
      </c>
      <c r="F12" s="14">
        <f t="shared" si="3"/>
        <v>24.21675331138584</v>
      </c>
      <c r="G12" s="14">
        <f t="shared" si="3"/>
        <v>24.21675331138584</v>
      </c>
      <c r="H12" s="14">
        <f t="shared" si="3"/>
        <v>24.21675331138584</v>
      </c>
      <c r="I12" s="14">
        <f t="shared" si="3"/>
        <v>24.21675331138584</v>
      </c>
      <c r="J12" s="14">
        <f t="shared" si="3"/>
        <v>24.21675331138584</v>
      </c>
      <c r="K12" s="14">
        <f t="shared" si="3"/>
        <v>24.21675331138584</v>
      </c>
      <c r="L12" s="14">
        <f t="shared" si="3"/>
        <v>24.21675331138584</v>
      </c>
      <c r="M12" s="14"/>
      <c r="N12" s="14"/>
      <c r="O12" s="14"/>
      <c r="P12" s="14"/>
      <c r="Q12" s="14"/>
    </row>
    <row r="13" spans="1:17" x14ac:dyDescent="0.35">
      <c r="A13" s="1" t="s">
        <v>18</v>
      </c>
      <c r="B13" s="8" t="s">
        <v>13</v>
      </c>
      <c r="C13" s="14">
        <f t="shared" ref="C13:L13" si="4">10*LOG(C6*(PI()*C12)^2)</f>
        <v>35.754449375754554</v>
      </c>
      <c r="D13" s="14">
        <f t="shared" si="4"/>
        <v>35.754449375754554</v>
      </c>
      <c r="E13" s="14">
        <f t="shared" si="4"/>
        <v>35.754449375754554</v>
      </c>
      <c r="F13" s="14">
        <f t="shared" si="4"/>
        <v>35.754449375754554</v>
      </c>
      <c r="G13" s="14">
        <f t="shared" si="4"/>
        <v>35.754449375754554</v>
      </c>
      <c r="H13" s="14">
        <f t="shared" si="4"/>
        <v>35.754449375754554</v>
      </c>
      <c r="I13" s="14">
        <f t="shared" si="4"/>
        <v>35.754449375754554</v>
      </c>
      <c r="J13" s="14">
        <f t="shared" si="4"/>
        <v>35.754449375754554</v>
      </c>
      <c r="K13" s="14">
        <f t="shared" si="4"/>
        <v>35.754449375754554</v>
      </c>
      <c r="L13" s="14">
        <f t="shared" si="4"/>
        <v>35.754449375754554</v>
      </c>
      <c r="M13" s="14"/>
      <c r="N13" s="14"/>
      <c r="O13" s="14"/>
      <c r="P13" s="14"/>
      <c r="Q13" s="14"/>
    </row>
    <row r="14" spans="1:17" x14ac:dyDescent="0.35">
      <c r="A14" s="1" t="s">
        <v>19</v>
      </c>
      <c r="B14" s="8" t="s">
        <v>13</v>
      </c>
      <c r="C14" s="14">
        <f t="shared" ref="C14:L14" si="5">29-25*LOG(C16)</f>
        <v>14.15980781208296</v>
      </c>
      <c r="D14" s="14">
        <f t="shared" si="5"/>
        <v>14.15980781208296</v>
      </c>
      <c r="E14" s="14">
        <f t="shared" si="5"/>
        <v>14.15980781208296</v>
      </c>
      <c r="F14" s="14">
        <f t="shared" si="5"/>
        <v>14.15980781208296</v>
      </c>
      <c r="G14" s="14">
        <f t="shared" si="5"/>
        <v>14.15980781208296</v>
      </c>
      <c r="H14" s="14">
        <f t="shared" si="5"/>
        <v>14.15980781208296</v>
      </c>
      <c r="I14" s="14">
        <f t="shared" si="5"/>
        <v>14.15980781208296</v>
      </c>
      <c r="J14" s="14">
        <f t="shared" si="5"/>
        <v>14.15980781208296</v>
      </c>
      <c r="K14" s="14">
        <f t="shared" si="5"/>
        <v>14.15980781208296</v>
      </c>
      <c r="L14" s="14">
        <f t="shared" si="5"/>
        <v>14.15980781208296</v>
      </c>
      <c r="M14" s="14"/>
      <c r="N14" s="14"/>
      <c r="O14" s="14"/>
      <c r="P14" s="14"/>
      <c r="Q14" s="14"/>
    </row>
    <row r="15" spans="1:17" x14ac:dyDescent="0.35">
      <c r="A15" t="s">
        <v>20</v>
      </c>
      <c r="B15" s="8" t="s">
        <v>11</v>
      </c>
      <c r="C15" s="14">
        <f>(C11*10^-3/C5)*SQRT((C13-C14)/0.0025)</f>
        <v>3.8378418807647199</v>
      </c>
      <c r="D15" s="14">
        <f t="shared" ref="D15:L15" si="6">(D11*10^-3/D5)*SQRT((D13-D14)/0.0025)</f>
        <v>3.8378418807647199</v>
      </c>
      <c r="E15" s="14">
        <f t="shared" si="6"/>
        <v>3.8378418807647199</v>
      </c>
      <c r="F15" s="14">
        <f t="shared" si="6"/>
        <v>3.8378418807647199</v>
      </c>
      <c r="G15" s="14">
        <f t="shared" si="6"/>
        <v>3.8378418807647199</v>
      </c>
      <c r="H15" s="14">
        <f t="shared" si="6"/>
        <v>3.8378418807647199</v>
      </c>
      <c r="I15" s="14">
        <f t="shared" si="6"/>
        <v>3.8378418807647199</v>
      </c>
      <c r="J15" s="14">
        <f t="shared" si="6"/>
        <v>3.8378418807647199</v>
      </c>
      <c r="K15" s="14">
        <f t="shared" si="6"/>
        <v>3.8378418807647199</v>
      </c>
      <c r="L15" s="14">
        <f t="shared" si="6"/>
        <v>3.8378418807647199</v>
      </c>
      <c r="M15" s="14"/>
      <c r="N15" s="14"/>
      <c r="O15" s="14"/>
      <c r="P15" s="14"/>
      <c r="Q15" s="14"/>
    </row>
    <row r="16" spans="1:17" x14ac:dyDescent="0.35">
      <c r="A16" t="s">
        <v>21</v>
      </c>
      <c r="B16" s="8" t="s">
        <v>11</v>
      </c>
      <c r="C16" s="14">
        <f t="shared" ref="C16:L16" si="7">95*C11*10^-3/C5</f>
        <v>3.9229040647382916</v>
      </c>
      <c r="D16" s="14">
        <f t="shared" si="7"/>
        <v>3.9229040647382916</v>
      </c>
      <c r="E16" s="14">
        <f t="shared" si="7"/>
        <v>3.9229040647382916</v>
      </c>
      <c r="F16" s="14">
        <f t="shared" si="7"/>
        <v>3.9229040647382916</v>
      </c>
      <c r="G16" s="14">
        <f t="shared" si="7"/>
        <v>3.9229040647382916</v>
      </c>
      <c r="H16" s="14">
        <f t="shared" si="7"/>
        <v>3.9229040647382916</v>
      </c>
      <c r="I16" s="14">
        <f t="shared" si="7"/>
        <v>3.9229040647382916</v>
      </c>
      <c r="J16" s="14">
        <f t="shared" si="7"/>
        <v>3.9229040647382916</v>
      </c>
      <c r="K16" s="14">
        <f t="shared" si="7"/>
        <v>3.9229040647382916</v>
      </c>
      <c r="L16" s="14">
        <f t="shared" si="7"/>
        <v>3.9229040647382916</v>
      </c>
      <c r="M16" s="14"/>
      <c r="N16" s="14"/>
      <c r="O16" s="14"/>
      <c r="P16" s="14"/>
      <c r="Q16" s="14"/>
    </row>
    <row r="17" spans="1:12" x14ac:dyDescent="0.35">
      <c r="A17" s="1" t="s">
        <v>25</v>
      </c>
      <c r="B17" s="8" t="s">
        <v>11</v>
      </c>
      <c r="C17" s="14">
        <f t="shared" ref="C17:L17" si="8">10^(34/25)</f>
        <v>22.908676527677738</v>
      </c>
      <c r="D17" s="14">
        <f t="shared" si="8"/>
        <v>22.908676527677738</v>
      </c>
      <c r="E17" s="14">
        <f t="shared" si="8"/>
        <v>22.908676527677738</v>
      </c>
      <c r="F17" s="14">
        <f t="shared" si="8"/>
        <v>22.908676527677738</v>
      </c>
      <c r="G17" s="14">
        <f t="shared" si="8"/>
        <v>22.908676527677738</v>
      </c>
      <c r="H17" s="14">
        <f t="shared" si="8"/>
        <v>22.908676527677738</v>
      </c>
      <c r="I17" s="14">
        <f t="shared" si="8"/>
        <v>22.908676527677738</v>
      </c>
      <c r="J17" s="14">
        <f t="shared" si="8"/>
        <v>22.908676527677738</v>
      </c>
      <c r="K17" s="14">
        <f t="shared" si="8"/>
        <v>22.908676527677738</v>
      </c>
      <c r="L17" s="14">
        <f t="shared" si="8"/>
        <v>22.908676527677738</v>
      </c>
    </row>
    <row r="19" spans="1:12" x14ac:dyDescent="0.35">
      <c r="A19" s="1" t="s">
        <v>29</v>
      </c>
      <c r="B19" s="8" t="s">
        <v>11</v>
      </c>
      <c r="C19" s="14">
        <f t="shared" ref="C19:L19" si="9">0.25*C21</f>
        <v>0.71522833193107271</v>
      </c>
      <c r="D19" s="14">
        <f t="shared" si="9"/>
        <v>0.71522833193107271</v>
      </c>
      <c r="E19" s="14">
        <f t="shared" si="9"/>
        <v>0.71522833193107271</v>
      </c>
      <c r="F19" s="14">
        <f t="shared" si="9"/>
        <v>0.71522833193107271</v>
      </c>
      <c r="G19" s="14">
        <f t="shared" si="9"/>
        <v>0.71522833193107271</v>
      </c>
      <c r="H19" s="14">
        <f t="shared" si="9"/>
        <v>0.71522833193107271</v>
      </c>
      <c r="I19" s="14">
        <f t="shared" si="9"/>
        <v>0.71522833193107271</v>
      </c>
      <c r="J19" s="14">
        <f t="shared" si="9"/>
        <v>0.71522833193107271</v>
      </c>
      <c r="K19" s="14">
        <f t="shared" si="9"/>
        <v>0.71522833193107271</v>
      </c>
      <c r="L19" s="14">
        <f t="shared" si="9"/>
        <v>0.71522833193107271</v>
      </c>
    </row>
    <row r="20" spans="1:12" x14ac:dyDescent="0.35">
      <c r="A20" s="1" t="s">
        <v>30</v>
      </c>
      <c r="B20" s="8" t="s">
        <v>11</v>
      </c>
      <c r="C20" s="14">
        <f t="shared" ref="C20:L20" si="10">0.44*C21</f>
        <v>1.258801864198688</v>
      </c>
      <c r="D20" s="14">
        <f t="shared" si="10"/>
        <v>1.258801864198688</v>
      </c>
      <c r="E20" s="14">
        <f t="shared" si="10"/>
        <v>1.258801864198688</v>
      </c>
      <c r="F20" s="14">
        <f t="shared" si="10"/>
        <v>1.258801864198688</v>
      </c>
      <c r="G20" s="14">
        <f t="shared" si="10"/>
        <v>1.258801864198688</v>
      </c>
      <c r="H20" s="14">
        <f t="shared" si="10"/>
        <v>1.258801864198688</v>
      </c>
      <c r="I20" s="14">
        <f t="shared" si="10"/>
        <v>1.258801864198688</v>
      </c>
      <c r="J20" s="14">
        <f t="shared" si="10"/>
        <v>1.258801864198688</v>
      </c>
      <c r="K20" s="14">
        <f t="shared" si="10"/>
        <v>1.258801864198688</v>
      </c>
      <c r="L20" s="14">
        <f t="shared" si="10"/>
        <v>1.258801864198688</v>
      </c>
    </row>
    <row r="21" spans="1:12" x14ac:dyDescent="0.35">
      <c r="A21" s="1" t="s">
        <v>26</v>
      </c>
      <c r="B21" s="8" t="s">
        <v>11</v>
      </c>
      <c r="C21" s="14">
        <f t="shared" ref="C21:L21" si="11">2*(C11*10^-3/C5)*SQRT(3/0.0025)</f>
        <v>2.8609133277242909</v>
      </c>
      <c r="D21" s="14">
        <f t="shared" si="11"/>
        <v>2.8609133277242909</v>
      </c>
      <c r="E21" s="14">
        <f t="shared" si="11"/>
        <v>2.8609133277242909</v>
      </c>
      <c r="F21" s="14">
        <f t="shared" si="11"/>
        <v>2.8609133277242909</v>
      </c>
      <c r="G21" s="14">
        <f t="shared" si="11"/>
        <v>2.8609133277242909</v>
      </c>
      <c r="H21" s="14">
        <f t="shared" si="11"/>
        <v>2.8609133277242909</v>
      </c>
      <c r="I21" s="14">
        <f t="shared" si="11"/>
        <v>2.8609133277242909</v>
      </c>
      <c r="J21" s="14">
        <f t="shared" si="11"/>
        <v>2.8609133277242909</v>
      </c>
      <c r="K21" s="14">
        <f t="shared" si="11"/>
        <v>2.8609133277242909</v>
      </c>
      <c r="L21" s="14">
        <f t="shared" si="11"/>
        <v>2.8609133277242909</v>
      </c>
    </row>
    <row r="22" spans="1:12" x14ac:dyDescent="0.35">
      <c r="A22" s="1" t="s">
        <v>27</v>
      </c>
      <c r="B22" s="8" t="s">
        <v>11</v>
      </c>
      <c r="C22" s="14">
        <f t="shared" ref="C22:L22" si="12">(C21/2)*SQRT(10.1875)</f>
        <v>4.5657120306666155</v>
      </c>
      <c r="D22" s="14">
        <f t="shared" si="12"/>
        <v>4.5657120306666155</v>
      </c>
      <c r="E22" s="14">
        <f t="shared" si="12"/>
        <v>4.5657120306666155</v>
      </c>
      <c r="F22" s="14">
        <f t="shared" si="12"/>
        <v>4.5657120306666155</v>
      </c>
      <c r="G22" s="14">
        <f t="shared" si="12"/>
        <v>4.5657120306666155</v>
      </c>
      <c r="H22" s="14">
        <f t="shared" si="12"/>
        <v>4.5657120306666155</v>
      </c>
      <c r="I22" s="14">
        <f t="shared" si="12"/>
        <v>4.5657120306666155</v>
      </c>
      <c r="J22" s="14">
        <f t="shared" si="12"/>
        <v>4.5657120306666155</v>
      </c>
      <c r="K22" s="14">
        <f t="shared" si="12"/>
        <v>4.5657120306666155</v>
      </c>
      <c r="L22" s="14">
        <f t="shared" si="12"/>
        <v>4.5657120306666155</v>
      </c>
    </row>
    <row r="23" spans="1:12" x14ac:dyDescent="0.35">
      <c r="A23" s="1" t="s">
        <v>28</v>
      </c>
      <c r="B23" s="8" t="s">
        <v>11</v>
      </c>
      <c r="C23" s="14">
        <f t="shared" ref="C23:L23" si="13">10^(26/25)</f>
        <v>10.964781961431854</v>
      </c>
      <c r="D23" s="14">
        <f t="shared" si="13"/>
        <v>10.964781961431854</v>
      </c>
      <c r="E23" s="14">
        <f t="shared" si="13"/>
        <v>10.964781961431854</v>
      </c>
      <c r="F23" s="14">
        <f t="shared" si="13"/>
        <v>10.964781961431854</v>
      </c>
      <c r="G23" s="14">
        <f t="shared" si="13"/>
        <v>10.964781961431854</v>
      </c>
      <c r="H23" s="14">
        <f t="shared" si="13"/>
        <v>10.964781961431854</v>
      </c>
      <c r="I23" s="14">
        <f t="shared" si="13"/>
        <v>10.964781961431854</v>
      </c>
      <c r="J23" s="14">
        <f t="shared" si="13"/>
        <v>10.964781961431854</v>
      </c>
      <c r="K23" s="14">
        <f t="shared" si="13"/>
        <v>10.964781961431854</v>
      </c>
      <c r="L23" s="14">
        <f t="shared" si="13"/>
        <v>10.964781961431854</v>
      </c>
    </row>
    <row r="24" spans="1:12" x14ac:dyDescent="0.35">
      <c r="A24" s="1" t="s">
        <v>1</v>
      </c>
      <c r="B24" s="8" t="s">
        <v>13</v>
      </c>
      <c r="C24" s="14">
        <f t="shared" ref="C24:L24" si="14">21-25*LOG(C22)-(C13-17)</f>
        <v>-14.242162278896124</v>
      </c>
      <c r="D24" s="14">
        <f t="shared" si="14"/>
        <v>-14.242162278896124</v>
      </c>
      <c r="E24" s="14">
        <f t="shared" si="14"/>
        <v>-14.242162278896124</v>
      </c>
      <c r="F24" s="14">
        <f t="shared" si="14"/>
        <v>-14.242162278896124</v>
      </c>
      <c r="G24" s="14">
        <f t="shared" si="14"/>
        <v>-14.242162278896124</v>
      </c>
      <c r="H24" s="14">
        <f t="shared" si="14"/>
        <v>-14.242162278896124</v>
      </c>
      <c r="I24" s="14">
        <f t="shared" si="14"/>
        <v>-14.242162278896124</v>
      </c>
      <c r="J24" s="14">
        <f t="shared" si="14"/>
        <v>-14.242162278896124</v>
      </c>
      <c r="K24" s="14">
        <f t="shared" si="14"/>
        <v>-14.242162278896124</v>
      </c>
      <c r="L24" s="14">
        <f t="shared" si="14"/>
        <v>-14.242162278896124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B62F4-E692-416F-AEE3-FFDACB2C05C3}">
  <dimension ref="A1:K14"/>
  <sheetViews>
    <sheetView tabSelected="1" workbookViewId="0">
      <pane xSplit="2" topLeftCell="F1" activePane="topRight" state="frozen"/>
      <selection pane="topRight" activeCell="J8" sqref="J8"/>
    </sheetView>
  </sheetViews>
  <sheetFormatPr defaultRowHeight="14.5" x14ac:dyDescent="0.35"/>
  <cols>
    <col min="3" max="11" width="9.81640625" bestFit="1" customWidth="1"/>
  </cols>
  <sheetData>
    <row r="1" spans="1:11" x14ac:dyDescent="0.35">
      <c r="A1" s="2" t="s">
        <v>32</v>
      </c>
      <c r="B1" s="7" t="s">
        <v>8</v>
      </c>
      <c r="C1" s="4">
        <v>299792458</v>
      </c>
      <c r="D1" s="4">
        <v>299792458</v>
      </c>
      <c r="E1" s="4">
        <v>299792458</v>
      </c>
      <c r="F1" s="4">
        <v>299792458</v>
      </c>
      <c r="G1" s="4">
        <v>299792458</v>
      </c>
      <c r="H1" s="4">
        <v>299792458</v>
      </c>
      <c r="I1" s="4">
        <v>299792458</v>
      </c>
      <c r="J1" s="4">
        <v>299792458</v>
      </c>
      <c r="K1" s="4">
        <v>299792458</v>
      </c>
    </row>
    <row r="2" spans="1:11" x14ac:dyDescent="0.35">
      <c r="A2" s="12" t="s">
        <v>22</v>
      </c>
      <c r="B2" s="7"/>
      <c r="C2" s="4"/>
      <c r="D2" s="4"/>
      <c r="E2" s="4"/>
      <c r="F2" s="4"/>
      <c r="G2" s="4"/>
      <c r="H2" s="4"/>
      <c r="I2" s="4"/>
      <c r="J2" s="4"/>
      <c r="K2" s="4"/>
    </row>
    <row r="3" spans="1:11" x14ac:dyDescent="0.35">
      <c r="A3" t="s">
        <v>3</v>
      </c>
      <c r="B3" s="8" t="s">
        <v>11</v>
      </c>
      <c r="C3" s="14">
        <v>-1</v>
      </c>
      <c r="D3" s="14">
        <v>0</v>
      </c>
      <c r="E3" s="14">
        <v>0.3</v>
      </c>
      <c r="F3" s="14">
        <v>0.8</v>
      </c>
      <c r="G3" s="14">
        <v>10</v>
      </c>
      <c r="H3" s="14">
        <v>20</v>
      </c>
      <c r="I3" s="14">
        <v>40</v>
      </c>
      <c r="J3" s="14">
        <v>100</v>
      </c>
      <c r="K3" s="14">
        <v>200</v>
      </c>
    </row>
    <row r="4" spans="1:11" x14ac:dyDescent="0.35">
      <c r="A4" t="s">
        <v>2</v>
      </c>
      <c r="B4" s="8" t="s">
        <v>10</v>
      </c>
      <c r="C4" s="14">
        <v>13</v>
      </c>
      <c r="D4" s="14">
        <v>13</v>
      </c>
      <c r="E4" s="14">
        <v>13</v>
      </c>
      <c r="F4" s="14">
        <v>13</v>
      </c>
      <c r="G4" s="14">
        <v>13</v>
      </c>
      <c r="H4" s="14">
        <v>13</v>
      </c>
      <c r="I4" s="14">
        <v>13</v>
      </c>
      <c r="J4" s="14">
        <v>13</v>
      </c>
      <c r="K4" s="14">
        <v>13</v>
      </c>
    </row>
    <row r="5" spans="1:11" x14ac:dyDescent="0.35">
      <c r="A5" t="s">
        <v>5</v>
      </c>
      <c r="B5" s="8" t="s">
        <v>9</v>
      </c>
      <c r="C5" s="14">
        <v>2.7</v>
      </c>
      <c r="D5" s="14">
        <v>2.7</v>
      </c>
      <c r="E5" s="14">
        <v>2.7</v>
      </c>
      <c r="F5" s="14">
        <v>2.7</v>
      </c>
      <c r="G5" s="14">
        <v>2.7</v>
      </c>
      <c r="H5" s="14">
        <v>2.7</v>
      </c>
      <c r="I5" s="14">
        <v>2.7</v>
      </c>
      <c r="J5" s="14">
        <v>2.7</v>
      </c>
      <c r="K5" s="14">
        <v>2.7</v>
      </c>
    </row>
    <row r="6" spans="1:11" x14ac:dyDescent="0.35">
      <c r="A6" s="16" t="s">
        <v>31</v>
      </c>
      <c r="B6" s="8"/>
      <c r="C6" s="14">
        <v>0.7</v>
      </c>
      <c r="D6" s="14">
        <v>0.7</v>
      </c>
      <c r="E6" s="14">
        <v>0.7</v>
      </c>
      <c r="F6" s="14">
        <v>0.7</v>
      </c>
      <c r="G6" s="14">
        <v>0.7</v>
      </c>
      <c r="H6" s="14">
        <v>0.7</v>
      </c>
      <c r="I6" s="14">
        <v>0.7</v>
      </c>
      <c r="J6" s="14">
        <v>0.7</v>
      </c>
      <c r="K6" s="14">
        <v>0.7</v>
      </c>
    </row>
    <row r="7" spans="1:11" x14ac:dyDescent="0.35">
      <c r="A7" s="13" t="s">
        <v>23</v>
      </c>
      <c r="B7" s="8"/>
      <c r="C7" s="14"/>
      <c r="D7" s="14"/>
      <c r="E7" s="14"/>
      <c r="F7" s="14"/>
      <c r="G7" s="14"/>
      <c r="H7" s="14"/>
      <c r="I7" s="14"/>
      <c r="J7" s="14"/>
      <c r="K7" s="14"/>
    </row>
    <row r="8" spans="1:11" x14ac:dyDescent="0.35">
      <c r="A8" t="s">
        <v>7</v>
      </c>
      <c r="B8" s="8" t="s">
        <v>13</v>
      </c>
      <c r="C8" s="14" t="str">
        <f t="shared" ref="C8:K8" si="0">IF(C3&lt;0,"φ &lt; 0 !",IF(C3&gt;180,"φ &gt; 180 !",IF(AND(0&lt;=C3,C3&lt;C14),C12-2.5*(10^-3)*(C11*C3)^2,IF(AND(C14&lt;=C3,C3&lt;=19.95),MIN(C13,29-25*LOG(C3)),MAX(MIN(-3.5,32-25*LOG(C3)),-10)))))</f>
        <v>φ &lt; 0 !</v>
      </c>
      <c r="D8" s="14">
        <f t="shared" si="0"/>
        <v>49.76370612478317</v>
      </c>
      <c r="E8" s="14">
        <f t="shared" si="0"/>
        <v>46.679415134776278</v>
      </c>
      <c r="F8" s="14">
        <f t="shared" si="0"/>
        <v>30.027296203068445</v>
      </c>
      <c r="G8" s="14">
        <f t="shared" si="0"/>
        <v>4</v>
      </c>
      <c r="H8" s="14">
        <f t="shared" si="0"/>
        <v>-3.5</v>
      </c>
      <c r="I8" s="14">
        <f t="shared" si="0"/>
        <v>-8.0514997831990556</v>
      </c>
      <c r="J8" s="14">
        <f t="shared" si="0"/>
        <v>-10</v>
      </c>
      <c r="K8" s="14" t="str">
        <f t="shared" si="0"/>
        <v>φ &gt; 180 !</v>
      </c>
    </row>
    <row r="9" spans="1:11" x14ac:dyDescent="0.35">
      <c r="B9" s="8"/>
      <c r="C9" s="14"/>
      <c r="D9" s="14"/>
      <c r="E9" s="14"/>
      <c r="F9" s="14"/>
      <c r="G9" s="14"/>
      <c r="H9" s="14"/>
      <c r="I9" s="14"/>
      <c r="J9" s="14"/>
      <c r="K9" s="14"/>
    </row>
    <row r="10" spans="1:11" x14ac:dyDescent="0.35">
      <c r="A10" s="3" t="s">
        <v>16</v>
      </c>
      <c r="B10" s="6" t="s">
        <v>12</v>
      </c>
      <c r="C10" s="14">
        <f t="shared" ref="C10:K10" si="1">10^3*C1/(C4*10^9)</f>
        <v>23.060958307692307</v>
      </c>
      <c r="D10" s="14">
        <f t="shared" si="1"/>
        <v>23.060958307692307</v>
      </c>
      <c r="E10" s="14">
        <f t="shared" si="1"/>
        <v>23.060958307692307</v>
      </c>
      <c r="F10" s="14">
        <f t="shared" si="1"/>
        <v>23.060958307692307</v>
      </c>
      <c r="G10" s="14">
        <f t="shared" si="1"/>
        <v>23.060958307692307</v>
      </c>
      <c r="H10" s="14">
        <f t="shared" si="1"/>
        <v>23.060958307692307</v>
      </c>
      <c r="I10" s="14">
        <f t="shared" si="1"/>
        <v>23.060958307692307</v>
      </c>
      <c r="J10" s="14">
        <f t="shared" si="1"/>
        <v>23.060958307692307</v>
      </c>
      <c r="K10" s="14">
        <f t="shared" si="1"/>
        <v>23.060958307692307</v>
      </c>
    </row>
    <row r="11" spans="1:11" x14ac:dyDescent="0.35">
      <c r="A11" s="1" t="s">
        <v>17</v>
      </c>
      <c r="B11" s="5"/>
      <c r="C11" s="14">
        <f t="shared" ref="C11:K11" si="2">C5/(C10*10^-3)</f>
        <v>117.08099741455138</v>
      </c>
      <c r="D11" s="14">
        <f t="shared" si="2"/>
        <v>117.08099741455138</v>
      </c>
      <c r="E11" s="14">
        <f t="shared" si="2"/>
        <v>117.08099741455138</v>
      </c>
      <c r="F11" s="14">
        <f t="shared" si="2"/>
        <v>117.08099741455138</v>
      </c>
      <c r="G11" s="14">
        <f t="shared" si="2"/>
        <v>117.08099741455138</v>
      </c>
      <c r="H11" s="14">
        <f t="shared" si="2"/>
        <v>117.08099741455138</v>
      </c>
      <c r="I11" s="14">
        <f t="shared" si="2"/>
        <v>117.08099741455138</v>
      </c>
      <c r="J11" s="14">
        <f t="shared" si="2"/>
        <v>117.08099741455138</v>
      </c>
      <c r="K11" s="14">
        <f t="shared" si="2"/>
        <v>117.08099741455138</v>
      </c>
    </row>
    <row r="12" spans="1:11" x14ac:dyDescent="0.35">
      <c r="A12" s="1" t="s">
        <v>18</v>
      </c>
      <c r="B12" s="8" t="s">
        <v>13</v>
      </c>
      <c r="C12" s="14">
        <f t="shared" ref="C12:K12" si="3">10*LOG(C6*(PI()*C11)^2)</f>
        <v>49.76370612478317</v>
      </c>
      <c r="D12" s="14">
        <f t="shared" si="3"/>
        <v>49.76370612478317</v>
      </c>
      <c r="E12" s="14">
        <f t="shared" si="3"/>
        <v>49.76370612478317</v>
      </c>
      <c r="F12" s="14">
        <f t="shared" si="3"/>
        <v>49.76370612478317</v>
      </c>
      <c r="G12" s="14">
        <f t="shared" si="3"/>
        <v>49.76370612478317</v>
      </c>
      <c r="H12" s="14">
        <f t="shared" si="3"/>
        <v>49.76370612478317</v>
      </c>
      <c r="I12" s="14">
        <f t="shared" si="3"/>
        <v>49.76370612478317</v>
      </c>
      <c r="J12" s="14">
        <f t="shared" si="3"/>
        <v>49.76370612478317</v>
      </c>
      <c r="K12" s="14">
        <f t="shared" si="3"/>
        <v>49.76370612478317</v>
      </c>
    </row>
    <row r="13" spans="1:11" x14ac:dyDescent="0.35">
      <c r="A13" s="1" t="s">
        <v>19</v>
      </c>
      <c r="B13" s="8" t="s">
        <v>13</v>
      </c>
      <c r="C13" s="14">
        <f t="shared" ref="C13:K13" si="4">-1+15*LOG(C11)</f>
        <v>30.027296203068445</v>
      </c>
      <c r="D13" s="14">
        <f t="shared" si="4"/>
        <v>30.027296203068445</v>
      </c>
      <c r="E13" s="14">
        <f t="shared" si="4"/>
        <v>30.027296203068445</v>
      </c>
      <c r="F13" s="14">
        <f t="shared" si="4"/>
        <v>30.027296203068445</v>
      </c>
      <c r="G13" s="14">
        <f t="shared" si="4"/>
        <v>30.027296203068445</v>
      </c>
      <c r="H13" s="14">
        <f t="shared" si="4"/>
        <v>30.027296203068445</v>
      </c>
      <c r="I13" s="14">
        <f t="shared" si="4"/>
        <v>30.027296203068445</v>
      </c>
      <c r="J13" s="14">
        <f t="shared" si="4"/>
        <v>30.027296203068445</v>
      </c>
      <c r="K13" s="14">
        <f t="shared" si="4"/>
        <v>30.027296203068445</v>
      </c>
    </row>
    <row r="14" spans="1:11" x14ac:dyDescent="0.35">
      <c r="A14" t="s">
        <v>20</v>
      </c>
      <c r="B14" s="8" t="s">
        <v>11</v>
      </c>
      <c r="C14" s="14">
        <f t="shared" ref="C14:K14" si="5">(20*C10*10^-3/C5)*SQRT(C12-C13)</f>
        <v>0.75888795626559802</v>
      </c>
      <c r="D14" s="14">
        <f t="shared" si="5"/>
        <v>0.75888795626559802</v>
      </c>
      <c r="E14" s="14">
        <f t="shared" si="5"/>
        <v>0.75888795626559802</v>
      </c>
      <c r="F14" s="14">
        <f t="shared" si="5"/>
        <v>0.75888795626559802</v>
      </c>
      <c r="G14" s="14">
        <f t="shared" si="5"/>
        <v>0.75888795626559802</v>
      </c>
      <c r="H14" s="14">
        <f t="shared" si="5"/>
        <v>0.75888795626559802</v>
      </c>
      <c r="I14" s="14">
        <f t="shared" si="5"/>
        <v>0.75888795626559802</v>
      </c>
      <c r="J14" s="14">
        <f t="shared" si="5"/>
        <v>0.75888795626559802</v>
      </c>
      <c r="K14" s="14">
        <f t="shared" si="5"/>
        <v>0.75888795626559802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6300D-2D99-4DA2-9DE5-53AAD14AD8E9}">
  <dimension ref="A1:S17"/>
  <sheetViews>
    <sheetView workbookViewId="0">
      <pane xSplit="2" topLeftCell="C1" activePane="topRight" state="frozen"/>
      <selection pane="topRight" activeCell="C7" sqref="C7"/>
    </sheetView>
  </sheetViews>
  <sheetFormatPr defaultRowHeight="14.5" x14ac:dyDescent="0.35"/>
  <cols>
    <col min="1" max="1" width="10" bestFit="1" customWidth="1"/>
    <col min="3" max="3" width="9.81640625" bestFit="1" customWidth="1"/>
    <col min="4" max="4" width="4.26953125" customWidth="1"/>
    <col min="5" max="11" width="9.81640625" bestFit="1" customWidth="1"/>
    <col min="12" max="12" width="4.26953125" customWidth="1"/>
    <col min="13" max="19" width="9.81640625" customWidth="1"/>
  </cols>
  <sheetData>
    <row r="1" spans="1:19" x14ac:dyDescent="0.35">
      <c r="A1" s="2" t="s">
        <v>32</v>
      </c>
      <c r="B1" s="7" t="s">
        <v>8</v>
      </c>
      <c r="C1" s="4">
        <v>299792458</v>
      </c>
      <c r="D1" s="4"/>
      <c r="E1" s="4">
        <v>299792458</v>
      </c>
      <c r="F1" s="4">
        <v>299792458</v>
      </c>
      <c r="G1" s="4">
        <v>299792458</v>
      </c>
      <c r="H1" s="4">
        <v>299792458</v>
      </c>
      <c r="I1" s="4">
        <v>299792458</v>
      </c>
      <c r="J1" s="4">
        <v>299792458</v>
      </c>
      <c r="K1" s="4">
        <v>299792458</v>
      </c>
      <c r="L1" s="4"/>
      <c r="M1" s="4">
        <v>299792458</v>
      </c>
      <c r="N1" s="4">
        <v>299792458</v>
      </c>
      <c r="O1" s="4">
        <v>299792458</v>
      </c>
      <c r="P1" s="4">
        <v>299792458</v>
      </c>
      <c r="Q1" s="4">
        <v>299792458</v>
      </c>
      <c r="R1" s="4">
        <v>299792458</v>
      </c>
      <c r="S1" s="4">
        <v>299792458</v>
      </c>
    </row>
    <row r="2" spans="1:19" x14ac:dyDescent="0.35">
      <c r="A2" s="12" t="s">
        <v>22</v>
      </c>
      <c r="B2" s="7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x14ac:dyDescent="0.35">
      <c r="A3" t="s">
        <v>3</v>
      </c>
      <c r="B3" s="8" t="s">
        <v>11</v>
      </c>
      <c r="C3" s="14">
        <v>0</v>
      </c>
      <c r="D3" s="14"/>
      <c r="E3" s="14">
        <v>-1</v>
      </c>
      <c r="F3" s="14">
        <v>0</v>
      </c>
      <c r="G3" s="14">
        <v>0.3</v>
      </c>
      <c r="H3" s="14">
        <v>0.7</v>
      </c>
      <c r="I3" s="14">
        <v>20</v>
      </c>
      <c r="J3" s="14">
        <v>100</v>
      </c>
      <c r="K3" s="14">
        <v>200</v>
      </c>
      <c r="L3" s="14"/>
      <c r="M3" s="14">
        <v>-1</v>
      </c>
      <c r="N3" s="14">
        <v>0</v>
      </c>
      <c r="O3" s="14">
        <v>1</v>
      </c>
      <c r="P3" s="14">
        <v>2</v>
      </c>
      <c r="Q3" s="14">
        <v>20</v>
      </c>
      <c r="R3" s="14">
        <v>100</v>
      </c>
      <c r="S3" s="14">
        <v>200</v>
      </c>
    </row>
    <row r="4" spans="1:19" x14ac:dyDescent="0.35">
      <c r="A4" t="s">
        <v>2</v>
      </c>
      <c r="B4" s="8" t="s">
        <v>10</v>
      </c>
      <c r="C4" s="14">
        <v>14</v>
      </c>
      <c r="D4" s="14"/>
      <c r="E4" s="14">
        <v>14</v>
      </c>
      <c r="F4" s="14">
        <v>14</v>
      </c>
      <c r="G4" s="14">
        <v>14</v>
      </c>
      <c r="H4" s="14">
        <v>14</v>
      </c>
      <c r="I4" s="14">
        <v>14</v>
      </c>
      <c r="J4" s="14">
        <v>14</v>
      </c>
      <c r="K4" s="14">
        <v>14</v>
      </c>
      <c r="L4" s="14"/>
      <c r="M4" s="14">
        <v>14</v>
      </c>
      <c r="N4" s="14">
        <v>14</v>
      </c>
      <c r="O4" s="14">
        <v>14</v>
      </c>
      <c r="P4" s="14">
        <v>14</v>
      </c>
      <c r="Q4" s="14">
        <v>14</v>
      </c>
      <c r="R4" s="14">
        <v>14</v>
      </c>
      <c r="S4" s="14">
        <v>14</v>
      </c>
    </row>
    <row r="5" spans="1:19" x14ac:dyDescent="0.35">
      <c r="A5" t="s">
        <v>5</v>
      </c>
      <c r="B5" s="8" t="s">
        <v>9</v>
      </c>
      <c r="C5" s="14">
        <v>0.6</v>
      </c>
      <c r="D5" s="14"/>
      <c r="E5" s="14">
        <v>3</v>
      </c>
      <c r="F5" s="14">
        <v>3</v>
      </c>
      <c r="G5" s="14">
        <v>3</v>
      </c>
      <c r="H5" s="14">
        <v>3</v>
      </c>
      <c r="I5" s="14">
        <v>3</v>
      </c>
      <c r="J5" s="14">
        <v>3</v>
      </c>
      <c r="K5" s="14">
        <v>3</v>
      </c>
      <c r="L5" s="14"/>
      <c r="M5" s="14">
        <v>1</v>
      </c>
      <c r="N5" s="14">
        <v>1</v>
      </c>
      <c r="O5" s="14">
        <v>1</v>
      </c>
      <c r="P5" s="14">
        <v>1</v>
      </c>
      <c r="Q5" s="14">
        <v>1</v>
      </c>
      <c r="R5" s="14">
        <v>1</v>
      </c>
      <c r="S5" s="14">
        <v>1</v>
      </c>
    </row>
    <row r="6" spans="1:19" x14ac:dyDescent="0.35">
      <c r="A6" s="13" t="s">
        <v>23</v>
      </c>
      <c r="B6" s="8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</row>
    <row r="7" spans="1:19" x14ac:dyDescent="0.35">
      <c r="A7" t="s">
        <v>7</v>
      </c>
      <c r="B7" s="8" t="s">
        <v>13</v>
      </c>
      <c r="C7" s="14" t="str">
        <f>IF(C10&lt;35,"D/λ &lt; 35 !",IF(C3&lt;0,"φ &lt; 0 !",IF(C3=0,C11,IF(C3&gt;180,"φ &gt; 180 !",IF(AND(0&lt;C3,C3&lt;C13),C11-2.5*(10^-3)*(C10*C3)^2,IF(AND(C13&lt;=C3,C3&lt;C14),C12,IF(AND(C14&lt;=C3,C3&lt;36),29-25*LOG(C3),-10)))))))</f>
        <v>D/λ &lt; 35 !</v>
      </c>
      <c r="D7" s="14"/>
      <c r="E7" s="14" t="str">
        <f t="shared" ref="E7:K7" si="0">IF(E10&lt;35,"D/λ &lt; 35 !",IF(E3&lt;0,"φ &lt; 0 !",IF(E3=0,E11,IF(E3&gt;180,"φ &gt; 180 !",IF(AND(0&lt;E3,E3&lt;E13),E11-2.5*(10^-3)*(E10*E3)^2,IF(AND(E13&lt;=E3,E3&lt;E14),E12,IF(AND(E14&lt;=E3,E3&lt;36),29-25*LOG(E3),-10)))))))</f>
        <v>φ &lt; 0 !</v>
      </c>
      <c r="F7" s="14">
        <f t="shared" si="0"/>
        <v>50.628571749399462</v>
      </c>
      <c r="G7" s="14">
        <f t="shared" si="0"/>
        <v>46.212463676922653</v>
      </c>
      <c r="H7" s="14">
        <f t="shared" si="0"/>
        <v>31.196428812049597</v>
      </c>
      <c r="I7" s="14">
        <f t="shared" si="0"/>
        <v>-3.5257498915995313</v>
      </c>
      <c r="J7" s="14">
        <f t="shared" si="0"/>
        <v>-10</v>
      </c>
      <c r="K7" s="14" t="str">
        <f t="shared" si="0"/>
        <v>φ &gt; 180 !</v>
      </c>
      <c r="L7" s="14"/>
      <c r="M7" s="14" t="str">
        <f t="shared" ref="M7:S7" si="1">IF(M10&lt;35,"D/λ &lt; 35 !",IF(M3&lt;0,"φ &lt; 0 !",IF(M3=0,M11,IF(M3&gt;180,"φ &gt; 180 !",IF(AND(0&lt;M3,M3&lt;M13),M11-2.5*(10^-3)*(M10*M3)^2,IF(AND(M13&lt;=M3,M3&lt;M14),M12,IF(AND(M14&lt;=M3,M3&lt;36),29-25*LOG(M3),-10)))))))</f>
        <v>φ &lt; 0 !</v>
      </c>
      <c r="N7" s="14">
        <f t="shared" si="1"/>
        <v>41.08614665500621</v>
      </c>
      <c r="O7" s="14">
        <f t="shared" si="1"/>
        <v>35.634161380343478</v>
      </c>
      <c r="P7" s="14">
        <f t="shared" si="1"/>
        <v>20.732683318757765</v>
      </c>
      <c r="Q7" s="14">
        <f t="shared" si="1"/>
        <v>-3.5257498915995313</v>
      </c>
      <c r="R7" s="14">
        <f t="shared" si="1"/>
        <v>-10</v>
      </c>
      <c r="S7" s="14" t="str">
        <f t="shared" si="1"/>
        <v>φ &gt; 180 !</v>
      </c>
    </row>
    <row r="8" spans="1:19" x14ac:dyDescent="0.35">
      <c r="B8" s="8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</row>
    <row r="9" spans="1:19" x14ac:dyDescent="0.35">
      <c r="A9" s="3" t="s">
        <v>16</v>
      </c>
      <c r="B9" s="6" t="s">
        <v>12</v>
      </c>
      <c r="C9" s="14">
        <f t="shared" ref="C9" si="2">10^3*C1/(C4*10^9)</f>
        <v>21.413747000000001</v>
      </c>
      <c r="D9" s="14"/>
      <c r="E9" s="14">
        <f t="shared" ref="E9:K9" si="3">10^3*E1/(E4*10^9)</f>
        <v>21.413747000000001</v>
      </c>
      <c r="F9" s="14">
        <f t="shared" si="3"/>
        <v>21.413747000000001</v>
      </c>
      <c r="G9" s="14">
        <f t="shared" si="3"/>
        <v>21.413747000000001</v>
      </c>
      <c r="H9" s="14">
        <f t="shared" si="3"/>
        <v>21.413747000000001</v>
      </c>
      <c r="I9" s="14">
        <f t="shared" si="3"/>
        <v>21.413747000000001</v>
      </c>
      <c r="J9" s="14">
        <f t="shared" si="3"/>
        <v>21.413747000000001</v>
      </c>
      <c r="K9" s="14">
        <f t="shared" si="3"/>
        <v>21.413747000000001</v>
      </c>
      <c r="L9" s="14"/>
      <c r="M9" s="14">
        <f t="shared" ref="M9:S9" si="4">10^3*M1/(M4*10^9)</f>
        <v>21.413747000000001</v>
      </c>
      <c r="N9" s="14">
        <f t="shared" si="4"/>
        <v>21.413747000000001</v>
      </c>
      <c r="O9" s="14">
        <f t="shared" si="4"/>
        <v>21.413747000000001</v>
      </c>
      <c r="P9" s="14">
        <f t="shared" si="4"/>
        <v>21.413747000000001</v>
      </c>
      <c r="Q9" s="14">
        <f t="shared" si="4"/>
        <v>21.413747000000001</v>
      </c>
      <c r="R9" s="14">
        <f t="shared" si="4"/>
        <v>21.413747000000001</v>
      </c>
      <c r="S9" s="14">
        <f t="shared" si="4"/>
        <v>21.413747000000001</v>
      </c>
    </row>
    <row r="10" spans="1:19" x14ac:dyDescent="0.35">
      <c r="A10" s="1" t="s">
        <v>17</v>
      </c>
      <c r="B10" s="5"/>
      <c r="C10" s="14">
        <f t="shared" ref="C10" si="5">C5/(C9*10^-3)</f>
        <v>28.01938399664477</v>
      </c>
      <c r="D10" s="14"/>
      <c r="E10" s="14">
        <f t="shared" ref="E10" si="6">E5/(E9*10^-3)</f>
        <v>140.09691998322387</v>
      </c>
      <c r="F10" s="14">
        <f t="shared" ref="F10" si="7">F5/(F9*10^-3)</f>
        <v>140.09691998322387</v>
      </c>
      <c r="G10" s="14">
        <f t="shared" ref="G10" si="8">G5/(G9*10^-3)</f>
        <v>140.09691998322387</v>
      </c>
      <c r="H10" s="14">
        <f t="shared" ref="H10" si="9">H5/(H9*10^-3)</f>
        <v>140.09691998322387</v>
      </c>
      <c r="I10" s="14">
        <f t="shared" ref="I10" si="10">I5/(I9*10^-3)</f>
        <v>140.09691998322387</v>
      </c>
      <c r="J10" s="14">
        <f t="shared" ref="J10" si="11">J5/(J9*10^-3)</f>
        <v>140.09691998322387</v>
      </c>
      <c r="K10" s="14">
        <f t="shared" ref="K10" si="12">K5/(K9*10^-3)</f>
        <v>140.09691998322387</v>
      </c>
      <c r="L10" s="14"/>
      <c r="M10" s="14">
        <f t="shared" ref="M10" si="13">M5/(M9*10^-3)</f>
        <v>46.698973327741285</v>
      </c>
      <c r="N10" s="14">
        <f t="shared" ref="N10" si="14">N5/(N9*10^-3)</f>
        <v>46.698973327741285</v>
      </c>
      <c r="O10" s="14">
        <f t="shared" ref="O10" si="15">O5/(O9*10^-3)</f>
        <v>46.698973327741285</v>
      </c>
      <c r="P10" s="14">
        <f t="shared" ref="P10" si="16">P5/(P9*10^-3)</f>
        <v>46.698973327741285</v>
      </c>
      <c r="Q10" s="14">
        <f t="shared" ref="Q10" si="17">Q5/(Q9*10^-3)</f>
        <v>46.698973327741285</v>
      </c>
      <c r="R10" s="14">
        <f t="shared" ref="R10" si="18">R5/(R9*10^-3)</f>
        <v>46.698973327741285</v>
      </c>
      <c r="S10" s="14">
        <f t="shared" ref="S10" si="19">S5/(S9*10^-3)</f>
        <v>46.698973327741285</v>
      </c>
    </row>
    <row r="11" spans="1:19" x14ac:dyDescent="0.35">
      <c r="A11" s="1" t="s">
        <v>18</v>
      </c>
      <c r="B11" s="8" t="s">
        <v>13</v>
      </c>
      <c r="C11" s="14" t="str">
        <f>IF(C10&lt;35,"D/λ &lt; 35 !",20*LOG(C10)+7.7)</f>
        <v>D/λ &lt; 35 !</v>
      </c>
      <c r="D11" s="14"/>
      <c r="E11" s="14">
        <f t="shared" ref="E11:K11" si="20">IF(E10&lt;35,"D/λ &lt; 35 !",20*LOG(E10)+7.7)</f>
        <v>50.628571749399462</v>
      </c>
      <c r="F11" s="14">
        <f t="shared" si="20"/>
        <v>50.628571749399462</v>
      </c>
      <c r="G11" s="14">
        <f t="shared" si="20"/>
        <v>50.628571749399462</v>
      </c>
      <c r="H11" s="14">
        <f t="shared" si="20"/>
        <v>50.628571749399462</v>
      </c>
      <c r="I11" s="14">
        <f t="shared" si="20"/>
        <v>50.628571749399462</v>
      </c>
      <c r="J11" s="14">
        <f t="shared" si="20"/>
        <v>50.628571749399462</v>
      </c>
      <c r="K11" s="14">
        <f t="shared" si="20"/>
        <v>50.628571749399462</v>
      </c>
      <c r="L11" s="14"/>
      <c r="M11" s="14">
        <f t="shared" ref="M11" si="21">IF(M10&lt;35,"D/λ &lt; 35 !",20*LOG(M10)+7.7)</f>
        <v>41.08614665500621</v>
      </c>
      <c r="N11" s="14">
        <f t="shared" ref="N11" si="22">IF(N10&lt;35,"D/λ &lt; 35 !",20*LOG(N10)+7.7)</f>
        <v>41.08614665500621</v>
      </c>
      <c r="O11" s="14">
        <f t="shared" ref="O11" si="23">IF(O10&lt;35,"D/λ &lt; 35 !",20*LOG(O10)+7.7)</f>
        <v>41.08614665500621</v>
      </c>
      <c r="P11" s="14">
        <f t="shared" ref="P11" si="24">IF(P10&lt;35,"D/λ &lt; 35 !",20*LOG(P10)+7.7)</f>
        <v>41.08614665500621</v>
      </c>
      <c r="Q11" s="14">
        <f t="shared" ref="Q11" si="25">IF(Q10&lt;35,"D/λ &lt; 35 !",20*LOG(Q10)+7.7)</f>
        <v>41.08614665500621</v>
      </c>
      <c r="R11" s="14">
        <f t="shared" ref="R11" si="26">IF(R10&lt;35,"D/λ &lt; 35 !",20*LOG(R10)+7.7)</f>
        <v>41.08614665500621</v>
      </c>
      <c r="S11" s="14">
        <f t="shared" ref="S11" si="27">IF(S10&lt;35,"D/λ &lt; 35 !",20*LOG(S10)+7.7)</f>
        <v>41.08614665500621</v>
      </c>
    </row>
    <row r="12" spans="1:19" x14ac:dyDescent="0.35">
      <c r="A12" s="1" t="s">
        <v>19</v>
      </c>
      <c r="B12" s="8" t="s">
        <v>13</v>
      </c>
      <c r="C12" s="14" t="str">
        <f>IF(C10&lt;35,"D/λ &lt; 35 !",IF(C10&gt;=100,-1+15*LOG(C10),-21+25*LOG(C10)))</f>
        <v>D/λ &lt; 35 !</v>
      </c>
      <c r="D12" s="14"/>
      <c r="E12" s="14">
        <f t="shared" ref="E12:K12" si="28">IF(E10&lt;35,"D/λ &lt; 35 !",IF(E10&gt;=100,-1+15*LOG(E10),-21+25*LOG(E10)))</f>
        <v>31.196428812049597</v>
      </c>
      <c r="F12" s="14">
        <f t="shared" si="28"/>
        <v>31.196428812049597</v>
      </c>
      <c r="G12" s="14">
        <f t="shared" si="28"/>
        <v>31.196428812049597</v>
      </c>
      <c r="H12" s="14">
        <f t="shared" si="28"/>
        <v>31.196428812049597</v>
      </c>
      <c r="I12" s="14">
        <f t="shared" si="28"/>
        <v>31.196428812049597</v>
      </c>
      <c r="J12" s="14">
        <f t="shared" si="28"/>
        <v>31.196428812049597</v>
      </c>
      <c r="K12" s="14">
        <f t="shared" si="28"/>
        <v>31.196428812049597</v>
      </c>
      <c r="L12" s="14"/>
      <c r="M12" s="14">
        <f t="shared" ref="M12:S12" si="29">IF(M10&lt;35,"D/λ &lt; 35 !",IF(M10&gt;=100,-1+15*LOG(M10),-21+25*LOG(M10)))</f>
        <v>20.732683318757765</v>
      </c>
      <c r="N12" s="14">
        <f t="shared" si="29"/>
        <v>20.732683318757765</v>
      </c>
      <c r="O12" s="14">
        <f t="shared" si="29"/>
        <v>20.732683318757765</v>
      </c>
      <c r="P12" s="14">
        <f t="shared" si="29"/>
        <v>20.732683318757765</v>
      </c>
      <c r="Q12" s="14">
        <f t="shared" si="29"/>
        <v>20.732683318757765</v>
      </c>
      <c r="R12" s="14">
        <f t="shared" si="29"/>
        <v>20.732683318757765</v>
      </c>
      <c r="S12" s="14">
        <f t="shared" si="29"/>
        <v>20.732683318757765</v>
      </c>
    </row>
    <row r="13" spans="1:19" x14ac:dyDescent="0.35">
      <c r="A13" t="s">
        <v>20</v>
      </c>
      <c r="B13" s="8" t="s">
        <v>11</v>
      </c>
      <c r="C13" s="14" t="str">
        <f>IF(C10&lt;35,"D/λ &lt; 35 !",(20*C9*10^-3/C5)*SQRT(C11-C12))</f>
        <v>D/λ &lt; 35 !</v>
      </c>
      <c r="D13" s="14"/>
      <c r="E13" s="14">
        <f t="shared" ref="E13:K13" si="30">IF(E10&lt;35,"D/λ &lt; 35 !",(20*E9*10^-3/E5)*SQRT(E11-E12))</f>
        <v>0.62930583177574939</v>
      </c>
      <c r="F13" s="14">
        <f t="shared" si="30"/>
        <v>0.62930583177574939</v>
      </c>
      <c r="G13" s="14">
        <f t="shared" si="30"/>
        <v>0.62930583177574939</v>
      </c>
      <c r="H13" s="14">
        <f t="shared" si="30"/>
        <v>0.62930583177574939</v>
      </c>
      <c r="I13" s="14">
        <f t="shared" si="30"/>
        <v>0.62930583177574939</v>
      </c>
      <c r="J13" s="14">
        <f t="shared" si="30"/>
        <v>0.62930583177574939</v>
      </c>
      <c r="K13" s="14">
        <f t="shared" si="30"/>
        <v>0.62930583177574939</v>
      </c>
      <c r="L13" s="14"/>
      <c r="M13" s="14">
        <f t="shared" ref="M13" si="31">IF(M10&lt;35,"D/λ &lt; 35 !",(20*M9*10^-3/M5)*SQRT(M11-M12))</f>
        <v>1.9321543743350025</v>
      </c>
      <c r="N13" s="14">
        <f t="shared" ref="N13" si="32">IF(N10&lt;35,"D/λ &lt; 35 !",(20*N9*10^-3/N5)*SQRT(N11-N12))</f>
        <v>1.9321543743350025</v>
      </c>
      <c r="O13" s="14">
        <f t="shared" ref="O13" si="33">IF(O10&lt;35,"D/λ &lt; 35 !",(20*O9*10^-3/O5)*SQRT(O11-O12))</f>
        <v>1.9321543743350025</v>
      </c>
      <c r="P13" s="14">
        <f t="shared" ref="P13" si="34">IF(P10&lt;35,"D/λ &lt; 35 !",(20*P9*10^-3/P5)*SQRT(P11-P12))</f>
        <v>1.9321543743350025</v>
      </c>
      <c r="Q13" s="14">
        <f t="shared" ref="Q13" si="35">IF(Q10&lt;35,"D/λ &lt; 35 !",(20*Q9*10^-3/Q5)*SQRT(Q11-Q12))</f>
        <v>1.9321543743350025</v>
      </c>
      <c r="R13" s="14">
        <f t="shared" ref="R13" si="36">IF(R10&lt;35,"D/λ &lt; 35 !",(20*R9*10^-3/R5)*SQRT(R11-R12))</f>
        <v>1.9321543743350025</v>
      </c>
      <c r="S13" s="14">
        <f t="shared" ref="S13" si="37">IF(S10&lt;35,"D/λ &lt; 35 !",(20*S9*10^-3/S5)*SQRT(S11-S12))</f>
        <v>1.9321543743350025</v>
      </c>
    </row>
    <row r="14" spans="1:19" x14ac:dyDescent="0.35">
      <c r="A14" t="s">
        <v>21</v>
      </c>
      <c r="B14" s="8" t="s">
        <v>11</v>
      </c>
      <c r="C14" s="14" t="str">
        <f>IF(C10&lt;35,"D/λ &lt; 35 !",IF(C10&gt;=100,15.85*C10^-0.6,100*(C9*10^-3)/C5))</f>
        <v>D/λ &lt; 35 !</v>
      </c>
      <c r="D14" s="14"/>
      <c r="E14" s="14">
        <f t="shared" ref="E14:K14" si="38">IF(E10&lt;35,"D/λ &lt; 35 !",IF(E10&gt;=100,15.85*E10^-0.6,100*(E9*10^-3)/E5))</f>
        <v>0.81690605304460906</v>
      </c>
      <c r="F14" s="14">
        <f t="shared" si="38"/>
        <v>0.81690605304460906</v>
      </c>
      <c r="G14" s="14">
        <f t="shared" si="38"/>
        <v>0.81690605304460906</v>
      </c>
      <c r="H14" s="14">
        <f t="shared" si="38"/>
        <v>0.81690605304460906</v>
      </c>
      <c r="I14" s="14">
        <f t="shared" si="38"/>
        <v>0.81690605304460906</v>
      </c>
      <c r="J14" s="14">
        <f t="shared" si="38"/>
        <v>0.81690605304460906</v>
      </c>
      <c r="K14" s="14">
        <f t="shared" si="38"/>
        <v>0.81690605304460906</v>
      </c>
      <c r="L14" s="14"/>
      <c r="M14" s="14">
        <f t="shared" ref="M14:S14" si="39">IF(M10&lt;35,"D/λ &lt; 35 !",IF(M10&gt;=100,15.85*M10^-0.6,100*(M9*10^-3)/M5))</f>
        <v>2.1413747000000001</v>
      </c>
      <c r="N14" s="14">
        <f t="shared" si="39"/>
        <v>2.1413747000000001</v>
      </c>
      <c r="O14" s="14">
        <f t="shared" si="39"/>
        <v>2.1413747000000001</v>
      </c>
      <c r="P14" s="14">
        <f t="shared" si="39"/>
        <v>2.1413747000000001</v>
      </c>
      <c r="Q14" s="14">
        <f t="shared" si="39"/>
        <v>2.1413747000000001</v>
      </c>
      <c r="R14" s="14">
        <f t="shared" si="39"/>
        <v>2.1413747000000001</v>
      </c>
      <c r="S14" s="14">
        <f t="shared" si="39"/>
        <v>2.1413747000000001</v>
      </c>
    </row>
    <row r="17" spans="7:7" x14ac:dyDescent="0.35">
      <c r="G17" s="1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7C3EA-5A6E-43F9-9190-EC552A1D65E0}">
  <dimension ref="A1:Q17"/>
  <sheetViews>
    <sheetView workbookViewId="0">
      <pane xSplit="2" topLeftCell="C1" activePane="topRight" state="frozen"/>
      <selection pane="topRight" activeCell="A14" sqref="A14"/>
    </sheetView>
  </sheetViews>
  <sheetFormatPr defaultRowHeight="14.5" x14ac:dyDescent="0.35"/>
  <cols>
    <col min="1" max="1" width="10" bestFit="1" customWidth="1"/>
    <col min="3" max="9" width="9.81640625" bestFit="1" customWidth="1"/>
    <col min="10" max="10" width="4" customWidth="1"/>
    <col min="11" max="17" width="9.81640625" customWidth="1"/>
  </cols>
  <sheetData>
    <row r="1" spans="1:17" x14ac:dyDescent="0.35">
      <c r="A1" s="2" t="s">
        <v>32</v>
      </c>
      <c r="B1" s="7" t="s">
        <v>8</v>
      </c>
      <c r="C1" s="4">
        <v>299792458</v>
      </c>
      <c r="D1" s="4">
        <v>299792458</v>
      </c>
      <c r="E1" s="4">
        <v>299792458</v>
      </c>
      <c r="F1" s="4">
        <v>299792458</v>
      </c>
      <c r="G1" s="4">
        <v>299792458</v>
      </c>
      <c r="H1" s="4">
        <v>299792458</v>
      </c>
      <c r="I1" s="4">
        <v>299792458</v>
      </c>
      <c r="K1" s="4">
        <v>299792458</v>
      </c>
      <c r="L1" s="4">
        <v>299792458</v>
      </c>
      <c r="M1" s="4">
        <v>299792458</v>
      </c>
      <c r="N1" s="4">
        <v>299792458</v>
      </c>
      <c r="O1" s="4">
        <v>299792458</v>
      </c>
      <c r="P1" s="4">
        <v>299792458</v>
      </c>
      <c r="Q1" s="4">
        <v>299792458</v>
      </c>
    </row>
    <row r="2" spans="1:17" x14ac:dyDescent="0.35">
      <c r="A2" s="12" t="s">
        <v>22</v>
      </c>
      <c r="B2" s="7"/>
      <c r="C2" s="4"/>
      <c r="D2" s="4"/>
      <c r="E2" s="4"/>
      <c r="F2" s="4"/>
      <c r="G2" s="4"/>
      <c r="H2" s="4"/>
      <c r="I2" s="4"/>
      <c r="K2" s="4"/>
      <c r="L2" s="4"/>
      <c r="M2" s="4"/>
      <c r="N2" s="4"/>
      <c r="O2" s="4"/>
      <c r="P2" s="4"/>
      <c r="Q2" s="4"/>
    </row>
    <row r="3" spans="1:17" x14ac:dyDescent="0.35">
      <c r="A3" t="s">
        <v>3</v>
      </c>
      <c r="B3" s="8" t="s">
        <v>11</v>
      </c>
      <c r="C3" s="14">
        <v>-1</v>
      </c>
      <c r="D3" s="14">
        <v>0</v>
      </c>
      <c r="E3" s="14">
        <v>0.3</v>
      </c>
      <c r="F3" s="14">
        <v>0.7</v>
      </c>
      <c r="G3" s="14">
        <v>20</v>
      </c>
      <c r="H3" s="14">
        <v>100</v>
      </c>
      <c r="I3" s="14">
        <v>200</v>
      </c>
      <c r="J3" s="14"/>
      <c r="K3" s="14">
        <v>-1</v>
      </c>
      <c r="L3" s="14">
        <v>0</v>
      </c>
      <c r="M3" s="14">
        <v>0.8</v>
      </c>
      <c r="N3" s="14">
        <v>2</v>
      </c>
      <c r="O3" s="14">
        <v>20</v>
      </c>
      <c r="P3" s="14">
        <v>100</v>
      </c>
      <c r="Q3" s="14">
        <v>200</v>
      </c>
    </row>
    <row r="4" spans="1:17" x14ac:dyDescent="0.35">
      <c r="A4" t="s">
        <v>2</v>
      </c>
      <c r="B4" s="8" t="s">
        <v>10</v>
      </c>
      <c r="C4" s="14">
        <v>14</v>
      </c>
      <c r="D4" s="14">
        <v>14</v>
      </c>
      <c r="E4" s="14">
        <v>14</v>
      </c>
      <c r="F4" s="14">
        <v>14</v>
      </c>
      <c r="G4" s="14">
        <v>14</v>
      </c>
      <c r="H4" s="14">
        <v>14</v>
      </c>
      <c r="I4" s="14">
        <v>14</v>
      </c>
      <c r="J4" s="14"/>
      <c r="K4" s="14">
        <v>14</v>
      </c>
      <c r="L4" s="14">
        <v>14</v>
      </c>
      <c r="M4" s="14">
        <v>14</v>
      </c>
      <c r="N4" s="14">
        <v>14</v>
      </c>
      <c r="O4" s="14">
        <v>14</v>
      </c>
      <c r="P4" s="14">
        <v>14</v>
      </c>
      <c r="Q4" s="14">
        <v>14</v>
      </c>
    </row>
    <row r="5" spans="1:17" x14ac:dyDescent="0.35">
      <c r="A5" t="s">
        <v>5</v>
      </c>
      <c r="B5" s="8" t="s">
        <v>9</v>
      </c>
      <c r="C5" s="14">
        <v>3</v>
      </c>
      <c r="D5" s="14">
        <v>3</v>
      </c>
      <c r="E5" s="14">
        <v>3</v>
      </c>
      <c r="F5" s="14">
        <v>3</v>
      </c>
      <c r="G5" s="14">
        <v>3</v>
      </c>
      <c r="H5" s="14">
        <v>3</v>
      </c>
      <c r="I5" s="14">
        <v>3</v>
      </c>
      <c r="J5" s="14"/>
      <c r="K5" s="14">
        <v>1</v>
      </c>
      <c r="L5" s="14">
        <v>1</v>
      </c>
      <c r="M5" s="14">
        <v>1</v>
      </c>
      <c r="N5" s="14">
        <v>1</v>
      </c>
      <c r="O5" s="14">
        <v>1</v>
      </c>
      <c r="P5" s="14">
        <v>1</v>
      </c>
      <c r="Q5" s="14">
        <v>1</v>
      </c>
    </row>
    <row r="6" spans="1:17" x14ac:dyDescent="0.35">
      <c r="A6" s="13" t="s">
        <v>23</v>
      </c>
      <c r="B6" s="8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</row>
    <row r="7" spans="1:17" x14ac:dyDescent="0.35">
      <c r="A7" t="s">
        <v>7</v>
      </c>
      <c r="B7" s="8" t="s">
        <v>13</v>
      </c>
      <c r="C7" s="14" t="str">
        <f t="shared" ref="C7:I7" si="0">IF(C3&lt;0,"φ &lt; 0 !",IF(C3=0,C11,IF(C3&gt;180,"φ &gt; 180 !",IF(AND(0&lt;C3,C3&lt;C13),C11-2.5*(10^-3)*(C10*C3)^2,IF(AND(C13&lt;=C3,C3&lt;C14),C12,IF(C10&gt;=100,IF(AND(C14&lt;=C3,C3&lt;48),32-25*LOG(C3),-10),IF(AND(C14&lt;=C3,C3&lt;48),52-10*LOG(C10)-25*LOG(C3),10-10*LOG(C10))))))))</f>
        <v>φ &lt; 0 !</v>
      </c>
      <c r="D7" s="14">
        <f t="shared" si="0"/>
        <v>50.628571749399462</v>
      </c>
      <c r="E7" s="14">
        <f t="shared" si="0"/>
        <v>46.212463676922653</v>
      </c>
      <c r="F7" s="14">
        <f t="shared" si="0"/>
        <v>34.196428812049597</v>
      </c>
      <c r="G7" s="14">
        <f t="shared" si="0"/>
        <v>-0.52574989159953134</v>
      </c>
      <c r="H7" s="14">
        <f t="shared" si="0"/>
        <v>-10</v>
      </c>
      <c r="I7" s="14" t="str">
        <f t="shared" si="0"/>
        <v>φ &gt; 180 !</v>
      </c>
      <c r="J7" s="14"/>
      <c r="K7" s="14" t="str">
        <f t="shared" ref="K7:Q7" si="1">IF(K3&lt;0,"φ &lt; 0 !",IF(K3=0,K11,IF(K3&gt;180,"φ &gt; 180 !",IF(AND(0&lt;K3,K3&lt;K13),K11-2.5*(10^-3)*(K10*K3)^2,IF(AND(K13&lt;=K3,K3&lt;K14),K12,IF(K10&gt;=100,IF(AND(K14&lt;=K3,K3&lt;48),32-25*LOG(K3),-10),IF(AND(K14&lt;=K3,K3&lt;48),52-10*LOG(K10)-25*LOG(K3),10-10*LOG(K10))))))))</f>
        <v>φ &lt; 0 !</v>
      </c>
      <c r="L7" s="14">
        <f t="shared" si="1"/>
        <v>41.08614665500621</v>
      </c>
      <c r="M7" s="14">
        <f t="shared" si="1"/>
        <v>37.596876079222064</v>
      </c>
      <c r="N7" s="14">
        <f t="shared" si="1"/>
        <v>27.039609991254657</v>
      </c>
      <c r="O7" s="14">
        <f t="shared" si="1"/>
        <v>2.7811767808973684</v>
      </c>
      <c r="P7" s="14">
        <f t="shared" si="1"/>
        <v>-6.6930733275031038</v>
      </c>
      <c r="Q7" s="14" t="str">
        <f t="shared" si="1"/>
        <v>φ &gt; 180 !</v>
      </c>
    </row>
    <row r="8" spans="1:17" x14ac:dyDescent="0.35">
      <c r="B8" s="8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</row>
    <row r="9" spans="1:17" x14ac:dyDescent="0.35">
      <c r="A9" s="3" t="s">
        <v>16</v>
      </c>
      <c r="B9" s="6" t="s">
        <v>12</v>
      </c>
      <c r="C9" s="14">
        <f t="shared" ref="C9:I9" si="2">10^3*C1/(C4*10^9)</f>
        <v>21.413747000000001</v>
      </c>
      <c r="D9" s="14">
        <f t="shared" si="2"/>
        <v>21.413747000000001</v>
      </c>
      <c r="E9" s="14">
        <f t="shared" si="2"/>
        <v>21.413747000000001</v>
      </c>
      <c r="F9" s="14">
        <f t="shared" si="2"/>
        <v>21.413747000000001</v>
      </c>
      <c r="G9" s="14">
        <f t="shared" si="2"/>
        <v>21.413747000000001</v>
      </c>
      <c r="H9" s="14">
        <f t="shared" si="2"/>
        <v>21.413747000000001</v>
      </c>
      <c r="I9" s="14">
        <f t="shared" si="2"/>
        <v>21.413747000000001</v>
      </c>
      <c r="J9" s="14"/>
      <c r="K9" s="14">
        <f t="shared" ref="K9:Q9" si="3">10^3*K1/(K4*10^9)</f>
        <v>21.413747000000001</v>
      </c>
      <c r="L9" s="14">
        <f t="shared" si="3"/>
        <v>21.413747000000001</v>
      </c>
      <c r="M9" s="14">
        <f t="shared" si="3"/>
        <v>21.413747000000001</v>
      </c>
      <c r="N9" s="14">
        <f t="shared" si="3"/>
        <v>21.413747000000001</v>
      </c>
      <c r="O9" s="14">
        <f t="shared" si="3"/>
        <v>21.413747000000001</v>
      </c>
      <c r="P9" s="14">
        <f t="shared" si="3"/>
        <v>21.413747000000001</v>
      </c>
      <c r="Q9" s="14">
        <f t="shared" si="3"/>
        <v>21.413747000000001</v>
      </c>
    </row>
    <row r="10" spans="1:17" x14ac:dyDescent="0.35">
      <c r="A10" s="1" t="s">
        <v>17</v>
      </c>
      <c r="B10" s="5"/>
      <c r="C10" s="14">
        <f t="shared" ref="C10:I10" si="4">C5/(C9*10^-3)</f>
        <v>140.09691998322387</v>
      </c>
      <c r="D10" s="14">
        <f t="shared" si="4"/>
        <v>140.09691998322387</v>
      </c>
      <c r="E10" s="14">
        <f t="shared" si="4"/>
        <v>140.09691998322387</v>
      </c>
      <c r="F10" s="14">
        <f t="shared" si="4"/>
        <v>140.09691998322387</v>
      </c>
      <c r="G10" s="14">
        <f t="shared" si="4"/>
        <v>140.09691998322387</v>
      </c>
      <c r="H10" s="14">
        <f t="shared" si="4"/>
        <v>140.09691998322387</v>
      </c>
      <c r="I10" s="14">
        <f t="shared" si="4"/>
        <v>140.09691998322387</v>
      </c>
      <c r="J10" s="14"/>
      <c r="K10" s="14">
        <f t="shared" ref="K10:Q10" si="5">K5/(K9*10^-3)</f>
        <v>46.698973327741285</v>
      </c>
      <c r="L10" s="14">
        <f t="shared" si="5"/>
        <v>46.698973327741285</v>
      </c>
      <c r="M10" s="14">
        <f t="shared" si="5"/>
        <v>46.698973327741285</v>
      </c>
      <c r="N10" s="14">
        <f t="shared" si="5"/>
        <v>46.698973327741285</v>
      </c>
      <c r="O10" s="14">
        <f t="shared" si="5"/>
        <v>46.698973327741285</v>
      </c>
      <c r="P10" s="14">
        <f t="shared" si="5"/>
        <v>46.698973327741285</v>
      </c>
      <c r="Q10" s="14">
        <f t="shared" si="5"/>
        <v>46.698973327741285</v>
      </c>
    </row>
    <row r="11" spans="1:17" x14ac:dyDescent="0.35">
      <c r="A11" s="1" t="s">
        <v>18</v>
      </c>
      <c r="B11" s="8" t="s">
        <v>13</v>
      </c>
      <c r="C11" s="14">
        <f t="shared" ref="C11:I11" si="6">20*LOG(C10)+7.7</f>
        <v>50.628571749399462</v>
      </c>
      <c r="D11" s="14">
        <f t="shared" si="6"/>
        <v>50.628571749399462</v>
      </c>
      <c r="E11" s="14">
        <f t="shared" si="6"/>
        <v>50.628571749399462</v>
      </c>
      <c r="F11" s="14">
        <f t="shared" si="6"/>
        <v>50.628571749399462</v>
      </c>
      <c r="G11" s="14">
        <f t="shared" si="6"/>
        <v>50.628571749399462</v>
      </c>
      <c r="H11" s="14">
        <f t="shared" si="6"/>
        <v>50.628571749399462</v>
      </c>
      <c r="I11" s="14">
        <f t="shared" si="6"/>
        <v>50.628571749399462</v>
      </c>
      <c r="J11" s="14"/>
      <c r="K11" s="14">
        <f t="shared" ref="K11:Q11" si="7">20*LOG(K10)+7.7</f>
        <v>41.08614665500621</v>
      </c>
      <c r="L11" s="14">
        <f t="shared" si="7"/>
        <v>41.08614665500621</v>
      </c>
      <c r="M11" s="14">
        <f t="shared" si="7"/>
        <v>41.08614665500621</v>
      </c>
      <c r="N11" s="14">
        <f t="shared" si="7"/>
        <v>41.08614665500621</v>
      </c>
      <c r="O11" s="14">
        <f t="shared" si="7"/>
        <v>41.08614665500621</v>
      </c>
      <c r="P11" s="14">
        <f t="shared" si="7"/>
        <v>41.08614665500621</v>
      </c>
      <c r="Q11" s="14">
        <f t="shared" si="7"/>
        <v>41.08614665500621</v>
      </c>
    </row>
    <row r="12" spans="1:17" x14ac:dyDescent="0.35">
      <c r="A12" s="1" t="s">
        <v>19</v>
      </c>
      <c r="B12" s="8" t="s">
        <v>13</v>
      </c>
      <c r="C12" s="14">
        <f t="shared" ref="C12:I12" si="8">2+15*LOG(C10)</f>
        <v>34.196428812049597</v>
      </c>
      <c r="D12" s="14">
        <f t="shared" si="8"/>
        <v>34.196428812049597</v>
      </c>
      <c r="E12" s="14">
        <f t="shared" si="8"/>
        <v>34.196428812049597</v>
      </c>
      <c r="F12" s="14">
        <f t="shared" si="8"/>
        <v>34.196428812049597</v>
      </c>
      <c r="G12" s="14">
        <f t="shared" si="8"/>
        <v>34.196428812049597</v>
      </c>
      <c r="H12" s="14">
        <f t="shared" si="8"/>
        <v>34.196428812049597</v>
      </c>
      <c r="I12" s="14">
        <f t="shared" si="8"/>
        <v>34.196428812049597</v>
      </c>
      <c r="J12" s="14"/>
      <c r="K12" s="14">
        <f t="shared" ref="K12:Q12" si="9">2+15*LOG(K10)</f>
        <v>27.039609991254657</v>
      </c>
      <c r="L12" s="14">
        <f t="shared" si="9"/>
        <v>27.039609991254657</v>
      </c>
      <c r="M12" s="14">
        <f t="shared" si="9"/>
        <v>27.039609991254657</v>
      </c>
      <c r="N12" s="14">
        <f t="shared" si="9"/>
        <v>27.039609991254657</v>
      </c>
      <c r="O12" s="14">
        <f t="shared" si="9"/>
        <v>27.039609991254657</v>
      </c>
      <c r="P12" s="14">
        <f t="shared" si="9"/>
        <v>27.039609991254657</v>
      </c>
      <c r="Q12" s="14">
        <f t="shared" si="9"/>
        <v>27.039609991254657</v>
      </c>
    </row>
    <row r="13" spans="1:17" x14ac:dyDescent="0.35">
      <c r="A13" t="s">
        <v>20</v>
      </c>
      <c r="B13" s="8" t="s">
        <v>11</v>
      </c>
      <c r="C13" s="14">
        <f>(20*C9*10^-3/C5)*SQRT(C11-C12)</f>
        <v>0.57869337462047477</v>
      </c>
      <c r="D13" s="14">
        <f t="shared" ref="D13:I13" si="10">20*(D9*10^-3/D5)*SQRT(D11-D12)</f>
        <v>0.57869337462047465</v>
      </c>
      <c r="E13" s="14">
        <f t="shared" si="10"/>
        <v>0.57869337462047465</v>
      </c>
      <c r="F13" s="14">
        <f t="shared" si="10"/>
        <v>0.57869337462047465</v>
      </c>
      <c r="G13" s="14">
        <f t="shared" si="10"/>
        <v>0.57869337462047465</v>
      </c>
      <c r="H13" s="14">
        <f t="shared" si="10"/>
        <v>0.57869337462047465</v>
      </c>
      <c r="I13" s="14">
        <f t="shared" si="10"/>
        <v>0.57869337462047465</v>
      </c>
      <c r="J13" s="14"/>
      <c r="K13" s="14">
        <f t="shared" ref="K13:Q13" si="11">20*(K9*10^-3/K5)*SQRT(K11-K12)</f>
        <v>1.6051192065759599</v>
      </c>
      <c r="L13" s="14">
        <f t="shared" si="11"/>
        <v>1.6051192065759599</v>
      </c>
      <c r="M13" s="14">
        <f t="shared" si="11"/>
        <v>1.6051192065759599</v>
      </c>
      <c r="N13" s="14">
        <f t="shared" si="11"/>
        <v>1.6051192065759599</v>
      </c>
      <c r="O13" s="14">
        <f t="shared" si="11"/>
        <v>1.6051192065759599</v>
      </c>
      <c r="P13" s="14">
        <f t="shared" si="11"/>
        <v>1.6051192065759599</v>
      </c>
      <c r="Q13" s="14">
        <f t="shared" si="11"/>
        <v>1.6051192065759599</v>
      </c>
    </row>
    <row r="14" spans="1:17" x14ac:dyDescent="0.35">
      <c r="A14" t="s">
        <v>21</v>
      </c>
      <c r="B14" s="8" t="s">
        <v>11</v>
      </c>
      <c r="C14" s="14">
        <f t="shared" ref="C14:I14" si="12">IF(C10&gt;=100,15.85*C10^-0.6,100*(C9*10^-3)/C5)</f>
        <v>0.81690605304460906</v>
      </c>
      <c r="D14" s="14">
        <f t="shared" si="12"/>
        <v>0.81690605304460906</v>
      </c>
      <c r="E14" s="14">
        <f t="shared" si="12"/>
        <v>0.81690605304460906</v>
      </c>
      <c r="F14" s="14">
        <f t="shared" si="12"/>
        <v>0.81690605304460906</v>
      </c>
      <c r="G14" s="14">
        <f t="shared" si="12"/>
        <v>0.81690605304460906</v>
      </c>
      <c r="H14" s="14">
        <f t="shared" si="12"/>
        <v>0.81690605304460906</v>
      </c>
      <c r="I14" s="14">
        <f t="shared" si="12"/>
        <v>0.81690605304460906</v>
      </c>
      <c r="J14" s="14"/>
      <c r="K14" s="14">
        <f t="shared" ref="K14:Q14" si="13">IF(K10&gt;=100,15.85*K10^-0.6,100*(K9*10^-3)/K5)</f>
        <v>2.1413747000000001</v>
      </c>
      <c r="L14" s="14">
        <f t="shared" si="13"/>
        <v>2.1413747000000001</v>
      </c>
      <c r="M14" s="14">
        <f t="shared" si="13"/>
        <v>2.1413747000000001</v>
      </c>
      <c r="N14" s="14">
        <f t="shared" si="13"/>
        <v>2.1413747000000001</v>
      </c>
      <c r="O14" s="14">
        <f t="shared" si="13"/>
        <v>2.1413747000000001</v>
      </c>
      <c r="P14" s="14">
        <f t="shared" si="13"/>
        <v>2.1413747000000001</v>
      </c>
      <c r="Q14" s="14">
        <f t="shared" si="13"/>
        <v>2.1413747000000001</v>
      </c>
    </row>
    <row r="17" spans="5:5" x14ac:dyDescent="0.35">
      <c r="E17" s="1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6"/>
  <sheetViews>
    <sheetView zoomScaleNormal="100" workbookViewId="0">
      <pane xSplit="2" topLeftCell="C1" activePane="topRight" state="frozen"/>
      <selection pane="topRight" activeCell="C11" sqref="C11"/>
    </sheetView>
  </sheetViews>
  <sheetFormatPr defaultRowHeight="14.5" x14ac:dyDescent="0.35"/>
  <cols>
    <col min="1" max="1" width="13.7265625" bestFit="1" customWidth="1"/>
    <col min="2" max="2" width="4.7265625" style="8" bestFit="1" customWidth="1"/>
    <col min="3" max="10" width="10.54296875" style="5" bestFit="1" customWidth="1"/>
    <col min="12" max="12" width="10.54296875" bestFit="1" customWidth="1"/>
    <col min="13" max="19" width="9.81640625" bestFit="1" customWidth="1"/>
    <col min="21" max="28" width="9.81640625" customWidth="1"/>
  </cols>
  <sheetData>
    <row r="1" spans="1:28" s="2" customFormat="1" x14ac:dyDescent="0.35">
      <c r="A1" s="2" t="s">
        <v>32</v>
      </c>
      <c r="B1" s="7" t="s">
        <v>8</v>
      </c>
      <c r="C1" s="4">
        <v>299792458</v>
      </c>
      <c r="D1" s="4">
        <v>299792458</v>
      </c>
      <c r="E1" s="4">
        <v>299792458</v>
      </c>
      <c r="F1" s="4">
        <v>299792458</v>
      </c>
      <c r="G1" s="4">
        <v>299792458</v>
      </c>
      <c r="H1" s="4">
        <v>299792458</v>
      </c>
      <c r="I1" s="4">
        <v>299792458</v>
      </c>
      <c r="J1" s="4">
        <v>299792458</v>
      </c>
      <c r="L1" s="4">
        <v>299792458</v>
      </c>
      <c r="M1" s="4">
        <v>299792458</v>
      </c>
      <c r="N1" s="4">
        <v>299792458</v>
      </c>
      <c r="O1" s="4">
        <v>299792458</v>
      </c>
      <c r="P1" s="4">
        <v>299792458</v>
      </c>
      <c r="Q1" s="4">
        <v>299792458</v>
      </c>
      <c r="R1" s="4">
        <v>299792458</v>
      </c>
      <c r="S1" s="4">
        <v>299792458</v>
      </c>
      <c r="U1" s="4">
        <v>299792458</v>
      </c>
      <c r="V1" s="4">
        <v>299792458</v>
      </c>
      <c r="W1" s="4">
        <v>299792458</v>
      </c>
      <c r="X1" s="4">
        <v>299792458</v>
      </c>
      <c r="Y1" s="4">
        <v>299792458</v>
      </c>
      <c r="Z1" s="4">
        <v>299792458</v>
      </c>
      <c r="AA1" s="4">
        <v>299792458</v>
      </c>
      <c r="AB1" s="4">
        <v>299792458</v>
      </c>
    </row>
    <row r="2" spans="1:28" s="9" customFormat="1" x14ac:dyDescent="0.35">
      <c r="A2" s="9" t="s">
        <v>14</v>
      </c>
      <c r="B2" s="10"/>
      <c r="C2" s="11" t="b">
        <v>1</v>
      </c>
      <c r="D2" s="11" t="b">
        <v>1</v>
      </c>
      <c r="E2" s="11" t="b">
        <v>1</v>
      </c>
      <c r="F2" s="11" t="b">
        <v>1</v>
      </c>
      <c r="G2" s="11" t="b">
        <v>1</v>
      </c>
      <c r="H2" s="11" t="b">
        <v>1</v>
      </c>
      <c r="I2" s="11" t="b">
        <v>1</v>
      </c>
      <c r="J2" s="11" t="b">
        <v>1</v>
      </c>
      <c r="L2" s="11" t="b">
        <v>0</v>
      </c>
      <c r="M2" s="11" t="b">
        <v>0</v>
      </c>
      <c r="N2" s="11" t="b">
        <v>0</v>
      </c>
      <c r="O2" s="11" t="b">
        <v>0</v>
      </c>
      <c r="P2" s="11" t="b">
        <v>0</v>
      </c>
      <c r="Q2" s="11" t="b">
        <v>0</v>
      </c>
      <c r="R2" s="11" t="b">
        <v>0</v>
      </c>
      <c r="S2" s="11" t="b">
        <v>0</v>
      </c>
      <c r="U2" s="11" t="b">
        <v>1</v>
      </c>
      <c r="V2" s="11" t="b">
        <v>1</v>
      </c>
      <c r="W2" s="11" t="b">
        <v>1</v>
      </c>
      <c r="X2" s="11" t="b">
        <v>1</v>
      </c>
      <c r="Y2" s="11" t="b">
        <v>1</v>
      </c>
      <c r="Z2" s="11" t="b">
        <v>1</v>
      </c>
      <c r="AA2" s="11" t="b">
        <v>1</v>
      </c>
      <c r="AB2" s="11" t="b">
        <v>1</v>
      </c>
    </row>
    <row r="3" spans="1:28" s="2" customFormat="1" x14ac:dyDescent="0.35">
      <c r="A3" s="2" t="s">
        <v>15</v>
      </c>
      <c r="B3" s="7"/>
      <c r="C3" s="4" t="b">
        <v>1</v>
      </c>
      <c r="D3" s="4" t="b">
        <v>1</v>
      </c>
      <c r="E3" s="4" t="b">
        <v>1</v>
      </c>
      <c r="F3" s="4" t="b">
        <v>1</v>
      </c>
      <c r="G3" s="4" t="b">
        <v>1</v>
      </c>
      <c r="H3" s="4" t="b">
        <v>1</v>
      </c>
      <c r="I3" s="4" t="b">
        <v>1</v>
      </c>
      <c r="J3" s="4" t="b">
        <v>1</v>
      </c>
      <c r="L3" s="4" t="b">
        <v>1</v>
      </c>
      <c r="M3" s="4" t="b">
        <v>1</v>
      </c>
      <c r="N3" s="4" t="b">
        <v>1</v>
      </c>
      <c r="O3" s="4" t="b">
        <v>1</v>
      </c>
      <c r="P3" s="4" t="b">
        <v>1</v>
      </c>
      <c r="Q3" s="4" t="b">
        <v>1</v>
      </c>
      <c r="R3" s="4" t="b">
        <v>1</v>
      </c>
      <c r="S3" s="4" t="b">
        <v>1</v>
      </c>
      <c r="U3" s="4" t="b">
        <v>0</v>
      </c>
      <c r="V3" s="4" t="b">
        <v>0</v>
      </c>
      <c r="W3" s="4" t="b">
        <v>0</v>
      </c>
      <c r="X3" s="4" t="b">
        <v>0</v>
      </c>
      <c r="Y3" s="4" t="b">
        <v>0</v>
      </c>
      <c r="Z3" s="4" t="b">
        <v>0</v>
      </c>
      <c r="AA3" s="4" t="b">
        <v>0</v>
      </c>
      <c r="AB3" s="4" t="b">
        <v>0</v>
      </c>
    </row>
    <row r="4" spans="1:28" x14ac:dyDescent="0.35">
      <c r="A4" t="s">
        <v>5</v>
      </c>
      <c r="B4" s="8" t="s">
        <v>9</v>
      </c>
      <c r="C4" s="5">
        <v>1</v>
      </c>
      <c r="D4" s="5">
        <v>1</v>
      </c>
      <c r="E4" s="5">
        <v>1</v>
      </c>
      <c r="F4" s="5">
        <v>1</v>
      </c>
      <c r="G4" s="5">
        <v>3</v>
      </c>
      <c r="H4" s="5">
        <v>3</v>
      </c>
      <c r="I4" s="5">
        <v>3</v>
      </c>
      <c r="J4" s="5">
        <v>3</v>
      </c>
      <c r="L4" s="5">
        <v>1</v>
      </c>
      <c r="M4" s="5">
        <v>1</v>
      </c>
      <c r="N4" s="5">
        <v>1</v>
      </c>
      <c r="O4" s="5">
        <v>1</v>
      </c>
      <c r="P4" s="5">
        <v>3</v>
      </c>
      <c r="Q4" s="5">
        <v>3</v>
      </c>
      <c r="R4" s="5">
        <v>3</v>
      </c>
      <c r="S4" s="5">
        <v>3</v>
      </c>
      <c r="U4" s="5">
        <v>1</v>
      </c>
      <c r="V4" s="5">
        <v>1</v>
      </c>
      <c r="W4" s="5">
        <v>1</v>
      </c>
      <c r="X4" s="5">
        <v>1</v>
      </c>
      <c r="Y4" s="5">
        <v>3</v>
      </c>
      <c r="Z4" s="5">
        <v>3</v>
      </c>
      <c r="AA4" s="5">
        <v>3</v>
      </c>
      <c r="AB4" s="5">
        <v>3</v>
      </c>
    </row>
    <row r="5" spans="1:28" x14ac:dyDescent="0.35">
      <c r="A5" t="s">
        <v>2</v>
      </c>
      <c r="B5" s="8" t="s">
        <v>10</v>
      </c>
      <c r="C5" s="5">
        <v>14</v>
      </c>
      <c r="D5" s="5">
        <v>14</v>
      </c>
      <c r="E5" s="5">
        <v>14</v>
      </c>
      <c r="F5" s="5">
        <v>14</v>
      </c>
      <c r="G5" s="5">
        <v>14</v>
      </c>
      <c r="H5" s="5">
        <v>14</v>
      </c>
      <c r="I5" s="5">
        <v>14</v>
      </c>
      <c r="J5" s="5">
        <v>14</v>
      </c>
      <c r="L5" s="5">
        <v>14</v>
      </c>
      <c r="M5" s="5">
        <v>14</v>
      </c>
      <c r="N5" s="5">
        <v>14</v>
      </c>
      <c r="O5" s="5">
        <v>14</v>
      </c>
      <c r="P5" s="5">
        <v>14</v>
      </c>
      <c r="Q5" s="5">
        <v>14</v>
      </c>
      <c r="R5" s="5">
        <v>14</v>
      </c>
      <c r="S5" s="5">
        <v>14</v>
      </c>
      <c r="U5" s="5">
        <v>3.4</v>
      </c>
      <c r="V5" s="5">
        <v>3.4</v>
      </c>
      <c r="W5" s="5">
        <v>3.4</v>
      </c>
      <c r="X5" s="5">
        <v>3.4</v>
      </c>
      <c r="Y5" s="5">
        <v>3.4</v>
      </c>
      <c r="Z5" s="5">
        <v>3.4</v>
      </c>
      <c r="AA5" s="5">
        <v>3.4</v>
      </c>
      <c r="AB5" s="5">
        <v>3.4</v>
      </c>
    </row>
    <row r="6" spans="1:28" x14ac:dyDescent="0.35">
      <c r="A6" t="s">
        <v>3</v>
      </c>
      <c r="B6" s="8" t="s">
        <v>11</v>
      </c>
      <c r="C6" s="5">
        <v>1</v>
      </c>
      <c r="D6" s="5">
        <v>3</v>
      </c>
      <c r="E6" s="5">
        <v>49</v>
      </c>
      <c r="F6" s="5">
        <v>181</v>
      </c>
      <c r="G6" s="5">
        <v>1</v>
      </c>
      <c r="H6" s="5">
        <v>3</v>
      </c>
      <c r="I6" s="5">
        <v>49</v>
      </c>
      <c r="J6" s="5">
        <v>181</v>
      </c>
      <c r="L6" s="5">
        <v>1</v>
      </c>
      <c r="M6" s="5">
        <v>3</v>
      </c>
      <c r="N6" s="5">
        <v>49</v>
      </c>
      <c r="O6" s="5">
        <v>181</v>
      </c>
      <c r="P6" s="5">
        <v>1</v>
      </c>
      <c r="Q6" s="5">
        <v>3</v>
      </c>
      <c r="R6" s="5">
        <v>49</v>
      </c>
      <c r="S6" s="5">
        <v>181</v>
      </c>
      <c r="U6" s="5">
        <v>1</v>
      </c>
      <c r="V6" s="5">
        <v>3</v>
      </c>
      <c r="W6" s="5">
        <v>49</v>
      </c>
      <c r="X6" s="5">
        <v>181</v>
      </c>
      <c r="Y6" s="5">
        <v>1</v>
      </c>
      <c r="Z6" s="5">
        <v>3</v>
      </c>
      <c r="AA6" s="5">
        <v>49</v>
      </c>
      <c r="AB6" s="5">
        <v>181</v>
      </c>
    </row>
    <row r="7" spans="1:28" x14ac:dyDescent="0.35">
      <c r="L7" s="5"/>
      <c r="M7" s="5"/>
      <c r="N7" s="5"/>
      <c r="O7" s="5"/>
      <c r="P7" s="5"/>
      <c r="Q7" s="5"/>
      <c r="R7" s="5"/>
      <c r="S7" s="5"/>
      <c r="U7" s="5"/>
      <c r="V7" s="5"/>
      <c r="W7" s="5"/>
      <c r="X7" s="5"/>
      <c r="Y7" s="5"/>
      <c r="Z7" s="5"/>
      <c r="AA7" s="5"/>
      <c r="AB7" s="5"/>
    </row>
    <row r="8" spans="1:28" s="3" customFormat="1" x14ac:dyDescent="0.35">
      <c r="A8" s="3" t="s">
        <v>0</v>
      </c>
      <c r="B8" s="6" t="s">
        <v>12</v>
      </c>
      <c r="C8" s="5">
        <f>10^3*C1/(C5*10^9)</f>
        <v>21.413747000000001</v>
      </c>
      <c r="D8" s="5">
        <f t="shared" ref="D8:J8" si="0">10^3*D1/(D5*10^9)</f>
        <v>21.413747000000001</v>
      </c>
      <c r="E8" s="5">
        <f t="shared" si="0"/>
        <v>21.413747000000001</v>
      </c>
      <c r="F8" s="5">
        <f t="shared" si="0"/>
        <v>21.413747000000001</v>
      </c>
      <c r="G8" s="5">
        <f t="shared" si="0"/>
        <v>21.413747000000001</v>
      </c>
      <c r="H8" s="5">
        <f t="shared" si="0"/>
        <v>21.413747000000001</v>
      </c>
      <c r="I8" s="5">
        <f t="shared" si="0"/>
        <v>21.413747000000001</v>
      </c>
      <c r="J8" s="5">
        <f t="shared" si="0"/>
        <v>21.413747000000001</v>
      </c>
      <c r="L8" s="5">
        <f>10^3*L1/(L5*10^9)</f>
        <v>21.413747000000001</v>
      </c>
      <c r="M8" s="5">
        <f t="shared" ref="M8:S8" si="1">10^3*M1/(M5*10^9)</f>
        <v>21.413747000000001</v>
      </c>
      <c r="N8" s="5">
        <f t="shared" si="1"/>
        <v>21.413747000000001</v>
      </c>
      <c r="O8" s="5">
        <f t="shared" si="1"/>
        <v>21.413747000000001</v>
      </c>
      <c r="P8" s="5">
        <f t="shared" si="1"/>
        <v>21.413747000000001</v>
      </c>
      <c r="Q8" s="5">
        <f t="shared" si="1"/>
        <v>21.413747000000001</v>
      </c>
      <c r="R8" s="5">
        <f t="shared" si="1"/>
        <v>21.413747000000001</v>
      </c>
      <c r="S8" s="5">
        <f t="shared" si="1"/>
        <v>21.413747000000001</v>
      </c>
      <c r="U8" s="5">
        <f>10^3*U1/(U5*10^9)</f>
        <v>88.174252352941181</v>
      </c>
      <c r="V8" s="5">
        <f t="shared" ref="V8:AB8" si="2">10^3*V1/(V5*10^9)</f>
        <v>88.174252352941181</v>
      </c>
      <c r="W8" s="5">
        <f t="shared" si="2"/>
        <v>88.174252352941181</v>
      </c>
      <c r="X8" s="5">
        <f t="shared" si="2"/>
        <v>88.174252352941181</v>
      </c>
      <c r="Y8" s="5">
        <f t="shared" si="2"/>
        <v>88.174252352941181</v>
      </c>
      <c r="Z8" s="5">
        <f t="shared" si="2"/>
        <v>88.174252352941181</v>
      </c>
      <c r="AA8" s="5">
        <f t="shared" si="2"/>
        <v>88.174252352941181</v>
      </c>
      <c r="AB8" s="5">
        <f t="shared" si="2"/>
        <v>88.174252352941181</v>
      </c>
    </row>
    <row r="9" spans="1:28" s="1" customFormat="1" x14ac:dyDescent="0.35">
      <c r="A9" s="1" t="s">
        <v>6</v>
      </c>
      <c r="B9" s="5"/>
      <c r="C9" s="5">
        <f>C4/(C8*10^-3)</f>
        <v>46.698973327741285</v>
      </c>
      <c r="D9" s="5">
        <f t="shared" ref="D9:J9" si="3">D4/(D8*10^-3)</f>
        <v>46.698973327741285</v>
      </c>
      <c r="E9" s="5">
        <f t="shared" si="3"/>
        <v>46.698973327741285</v>
      </c>
      <c r="F9" s="5">
        <f t="shared" si="3"/>
        <v>46.698973327741285</v>
      </c>
      <c r="G9" s="5">
        <f t="shared" si="3"/>
        <v>140.09691998322387</v>
      </c>
      <c r="H9" s="5">
        <f t="shared" si="3"/>
        <v>140.09691998322387</v>
      </c>
      <c r="I9" s="5">
        <f t="shared" si="3"/>
        <v>140.09691998322387</v>
      </c>
      <c r="J9" s="5">
        <f t="shared" si="3"/>
        <v>140.09691998322387</v>
      </c>
      <c r="L9" s="5">
        <f>L4/(L8*10^-3)</f>
        <v>46.698973327741285</v>
      </c>
      <c r="M9" s="5">
        <f t="shared" ref="M9:S9" si="4">M4/(M8*10^-3)</f>
        <v>46.698973327741285</v>
      </c>
      <c r="N9" s="5">
        <f t="shared" si="4"/>
        <v>46.698973327741285</v>
      </c>
      <c r="O9" s="5">
        <f t="shared" si="4"/>
        <v>46.698973327741285</v>
      </c>
      <c r="P9" s="5">
        <f t="shared" si="4"/>
        <v>140.09691998322387</v>
      </c>
      <c r="Q9" s="5">
        <f t="shared" si="4"/>
        <v>140.09691998322387</v>
      </c>
      <c r="R9" s="5">
        <f t="shared" si="4"/>
        <v>140.09691998322387</v>
      </c>
      <c r="S9" s="5">
        <f t="shared" si="4"/>
        <v>140.09691998322387</v>
      </c>
      <c r="U9" s="5">
        <f>U4/(U8*10^-3)</f>
        <v>11.341179236737169</v>
      </c>
      <c r="V9" s="5">
        <f t="shared" ref="V9:AB9" si="5">V4/(V8*10^-3)</f>
        <v>11.341179236737169</v>
      </c>
      <c r="W9" s="5">
        <f t="shared" si="5"/>
        <v>11.341179236737169</v>
      </c>
      <c r="X9" s="5">
        <f t="shared" si="5"/>
        <v>11.341179236737169</v>
      </c>
      <c r="Y9" s="5">
        <f t="shared" si="5"/>
        <v>34.023537710211507</v>
      </c>
      <c r="Z9" s="5">
        <f t="shared" si="5"/>
        <v>34.023537710211507</v>
      </c>
      <c r="AA9" s="5">
        <f t="shared" si="5"/>
        <v>34.023537710211507</v>
      </c>
      <c r="AB9" s="5">
        <f t="shared" si="5"/>
        <v>34.023537710211507</v>
      </c>
    </row>
    <row r="10" spans="1:28" x14ac:dyDescent="0.35">
      <c r="A10" t="s">
        <v>4</v>
      </c>
      <c r="B10" s="8" t="s">
        <v>11</v>
      </c>
      <c r="C10" s="5">
        <f>IF(OR(C2=TRUE,C9&gt;100),IF(OR(C3=TRUE,C9&gt;=33.3),IF(C9&gt;=50,MAX(1,100*(C8*10^-3)/C4),MAX(2,114*(C4/(C8*10^-3))^(-1.09))),2.5),100*(C8*10^-3)/C4)</f>
        <v>2</v>
      </c>
      <c r="D10" s="5">
        <f t="shared" ref="D10:J10" si="6">IF(OR(D2=TRUE,D9&gt;100),IF(OR(D3=TRUE,D9&gt;=33.3),IF(D9&gt;=50,MAX(1,100*(D8*10^-3)/D4),MAX(2,114*(D4/(D8*10^-3))^(-1.09))),2.5),100*(D8*10^-3)/D4)</f>
        <v>2</v>
      </c>
      <c r="E10" s="5">
        <f t="shared" si="6"/>
        <v>2</v>
      </c>
      <c r="F10" s="5">
        <f t="shared" si="6"/>
        <v>2</v>
      </c>
      <c r="G10" s="5">
        <f t="shared" si="6"/>
        <v>1</v>
      </c>
      <c r="H10" s="5">
        <f t="shared" si="6"/>
        <v>1</v>
      </c>
      <c r="I10" s="5">
        <f t="shared" si="6"/>
        <v>1</v>
      </c>
      <c r="J10" s="5">
        <f t="shared" si="6"/>
        <v>1</v>
      </c>
      <c r="L10" s="5">
        <f>IF(OR(L2=TRUE,L9&gt;100),IF(OR(L3=TRUE,L9&gt;=33.3),IF(L9&gt;=50,MAX(1,100*(L8*10^-3)/L4),MAX(2,114*(L4/(L8*10^-3))^(-1.09))),2.5),100*(L8*10^-3)/L4)</f>
        <v>2.1413747000000001</v>
      </c>
      <c r="M10" s="5">
        <f t="shared" ref="M10:S10" si="7">IF(OR(M2=TRUE,M9&gt;100),IF(OR(M3=TRUE,M9&gt;=33.3),IF(M9&gt;=50,MAX(1,100*(M8*10^-3)/M4),MAX(2,114*(M4/(M8*10^-3))^(-1.09))),2.5),100*(M8*10^-3)/M4)</f>
        <v>2.1413747000000001</v>
      </c>
      <c r="N10" s="5">
        <f t="shared" si="7"/>
        <v>2.1413747000000001</v>
      </c>
      <c r="O10" s="5">
        <f t="shared" si="7"/>
        <v>2.1413747000000001</v>
      </c>
      <c r="P10" s="5">
        <f t="shared" si="7"/>
        <v>1</v>
      </c>
      <c r="Q10" s="5">
        <f t="shared" si="7"/>
        <v>1</v>
      </c>
      <c r="R10" s="5">
        <f t="shared" si="7"/>
        <v>1</v>
      </c>
      <c r="S10" s="5">
        <f t="shared" si="7"/>
        <v>1</v>
      </c>
      <c r="U10" s="5">
        <f>IF(OR(U2=TRUE,U9&gt;100),IF(OR(U3=TRUE,U9&gt;=33.3),IF(U9&gt;=50,MAX(1,100*(U8*10^-3)/U4),MAX(2,114*(U4/(U8*10^-3))^(-1.09))),2.5),100*(U8*10^-3)/U4)</f>
        <v>2.5</v>
      </c>
      <c r="V10" s="5">
        <f t="shared" ref="V10:AB10" si="8">IF(OR(V2=TRUE,V9&gt;100),IF(OR(V3=TRUE,V9&gt;=33.3),IF(V9&gt;=50,MAX(1,100*(V8*10^-3)/V4),MAX(2,114*(V4/(V8*10^-3))^(-1.09))),2.5),100*(V8*10^-3)/V4)</f>
        <v>2.5</v>
      </c>
      <c r="W10" s="5">
        <f t="shared" si="8"/>
        <v>2.5</v>
      </c>
      <c r="X10" s="5">
        <f t="shared" si="8"/>
        <v>2.5</v>
      </c>
      <c r="Y10" s="5">
        <f t="shared" si="8"/>
        <v>2.4393000815726675</v>
      </c>
      <c r="Z10" s="5">
        <f t="shared" si="8"/>
        <v>2.4393000815726675</v>
      </c>
      <c r="AA10" s="5">
        <f t="shared" si="8"/>
        <v>2.4393000815726675</v>
      </c>
      <c r="AB10" s="5">
        <f t="shared" si="8"/>
        <v>2.4393000815726675</v>
      </c>
    </row>
    <row r="11" spans="1:28" x14ac:dyDescent="0.35">
      <c r="A11" t="s">
        <v>7</v>
      </c>
      <c r="B11" s="8" t="s">
        <v>13</v>
      </c>
      <c r="C11" s="5" t="str">
        <f>IF(OR(C2=TRUE,C9&gt;100),IF(C6&lt;C10,"φ &lt; φ_min !",IF(AND(C6&gt;=C10,C6&lt;48),32-25*LOG(C6),IF(AND(C6&gt;=48,C6&lt;180),-10,"φ &gt; 180 !"))),IF(C6&lt;C10,"φ &lt; φ_min !",IF(AND(C6&gt;=C10,C6&lt;48),52-10*LOG(C9)-25*LOG(C6),IF(AND(C6&gt;=48,C6&lt;180),10-10*LOG(C9),"φ &gt; 180 !"))))</f>
        <v>φ &lt; φ_min !</v>
      </c>
      <c r="D11" s="5">
        <f t="shared" ref="D11:J11" si="9">IF(OR(D2=TRUE,D9&gt;100),IF(D6&lt;D10,"φ &lt; φ_min !",IF(AND(D6&gt;=D10,D6&lt;48),32-25*LOG(D6),IF(AND(D6&gt;=48,D6&lt;180),-10,"φ &gt; 180 !"))),IF(D6&lt;D10,"φ &lt; φ_min !",IF(AND(D6&gt;=D10,D6&lt;48),52-10*LOG(D9)-25*LOG(D6),IF(AND(D6&gt;=48,D6&lt;180),10-10*LOG(D9),"φ &gt; 180 !"))))</f>
        <v>20.071968632008439</v>
      </c>
      <c r="E11" s="5">
        <f t="shared" si="9"/>
        <v>-10</v>
      </c>
      <c r="F11" s="5" t="str">
        <f t="shared" si="9"/>
        <v>φ &gt; 180 !</v>
      </c>
      <c r="G11" s="5">
        <f t="shared" si="9"/>
        <v>32</v>
      </c>
      <c r="H11" s="5">
        <f t="shared" si="9"/>
        <v>20.071968632008439</v>
      </c>
      <c r="I11" s="5">
        <f t="shared" si="9"/>
        <v>-10</v>
      </c>
      <c r="J11" s="5" t="str">
        <f t="shared" si="9"/>
        <v>φ &gt; 180 !</v>
      </c>
      <c r="L11" s="5" t="str">
        <f>IF(OR(L2=TRUE,L9&gt;100),IF(L6&lt;L10,"φ &lt; φ_min !",IF(AND(L6&gt;=L10,L6&lt;48),32-25*LOG(L6),IF(AND(L6&gt;=48,L6&lt;180),-10,"φ &gt; 180 !"))),IF(L6&lt;L10,"φ &lt; φ_min !",IF(AND(L6&gt;=L10,L6&lt;48),52-10*LOG(L9)-25*LOG(L6),IF(AND(L6&gt;=48,L6&lt;180),10-10*LOG(L9),"φ &gt; 180 !"))))</f>
        <v>φ &lt; φ_min !</v>
      </c>
      <c r="M11" s="5">
        <f t="shared" ref="M11:U11" si="10">IF(OR(M2=TRUE,M9&gt;100),IF(M6&lt;M10,"φ &lt; φ_min !",IF(AND(M6&gt;=M10,M6&lt;48),32-25*LOG(M6),IF(AND(M6&gt;=48,M6&lt;180),-10,"φ &gt; 180 !"))),IF(M6&lt;M10,"φ &lt; φ_min !",IF(AND(M6&gt;=M10,M6&lt;48),52-10*LOG(M9)-25*LOG(M6),IF(AND(M6&gt;=48,M6&lt;180),10-10*LOG(M9),"φ &gt; 180 !"))))</f>
        <v>23.378895304505338</v>
      </c>
      <c r="N11" s="5">
        <f t="shared" si="10"/>
        <v>-6.6930733275031038</v>
      </c>
      <c r="O11" s="5" t="str">
        <f t="shared" si="10"/>
        <v>φ &gt; 180 !</v>
      </c>
      <c r="P11" s="5">
        <f t="shared" si="10"/>
        <v>32</v>
      </c>
      <c r="Q11" s="5">
        <f t="shared" si="10"/>
        <v>20.071968632008439</v>
      </c>
      <c r="R11" s="5">
        <f t="shared" si="10"/>
        <v>-10</v>
      </c>
      <c r="S11" s="5" t="str">
        <f t="shared" si="10"/>
        <v>φ &gt; 180 !</v>
      </c>
      <c r="U11" s="5" t="str">
        <f t="shared" si="10"/>
        <v>φ &lt; φ_min !</v>
      </c>
      <c r="V11" s="5">
        <f t="shared" ref="V11" si="11">IF(OR(V2=TRUE,V9&gt;100),IF(V6&lt;V10,"φ &lt; φ_min !",IF(AND(V6&gt;=V10,V6&lt;48),32-25*LOG(V6),IF(AND(V6&gt;=48,V6&lt;180),-10,"φ &gt; 180 !"))),IF(V6&lt;V10,"φ &lt; φ_min !",IF(AND(V6&gt;=V10,V6&lt;48),52-10*LOG(V9)-25*LOG(V6),IF(AND(V6&gt;=48,V6&lt;180),10-10*LOG(V9),"φ &gt; 180 !"))))</f>
        <v>20.071968632008439</v>
      </c>
      <c r="W11" s="5">
        <f t="shared" ref="W11" si="12">IF(OR(W2=TRUE,W9&gt;100),IF(W6&lt;W10,"φ &lt; φ_min !",IF(AND(W6&gt;=W10,W6&lt;48),32-25*LOG(W6),IF(AND(W6&gt;=48,W6&lt;180),-10,"φ &gt; 180 !"))),IF(W6&lt;W10,"φ &lt; φ_min !",IF(AND(W6&gt;=W10,W6&lt;48),52-10*LOG(W9)-25*LOG(W6),IF(AND(W6&gt;=48,W6&lt;180),10-10*LOG(W9),"φ &gt; 180 !"))))</f>
        <v>-10</v>
      </c>
      <c r="X11" s="5" t="str">
        <f t="shared" ref="X11" si="13">IF(OR(X2=TRUE,X9&gt;100),IF(X6&lt;X10,"φ &lt; φ_min !",IF(AND(X6&gt;=X10,X6&lt;48),32-25*LOG(X6),IF(AND(X6&gt;=48,X6&lt;180),-10,"φ &gt; 180 !"))),IF(X6&lt;X10,"φ &lt; φ_min !",IF(AND(X6&gt;=X10,X6&lt;48),52-10*LOG(X9)-25*LOG(X6),IF(AND(X6&gt;=48,X6&lt;180),10-10*LOG(X9),"φ &gt; 180 !"))))</f>
        <v>φ &gt; 180 !</v>
      </c>
      <c r="Y11" s="5" t="str">
        <f t="shared" ref="Y11" si="14">IF(OR(Y2=TRUE,Y9&gt;100),IF(Y6&lt;Y10,"φ &lt; φ_min !",IF(AND(Y6&gt;=Y10,Y6&lt;48),32-25*LOG(Y6),IF(AND(Y6&gt;=48,Y6&lt;180),-10,"φ &gt; 180 !"))),IF(Y6&lt;Y10,"φ &lt; φ_min !",IF(AND(Y6&gt;=Y10,Y6&lt;48),52-10*LOG(Y9)-25*LOG(Y6),IF(AND(Y6&gt;=48,Y6&lt;180),10-10*LOG(Y9),"φ &gt; 180 !"))))</f>
        <v>φ &lt; φ_min !</v>
      </c>
      <c r="Z11" s="5">
        <f t="shared" ref="Z11" si="15">IF(OR(Z2=TRUE,Z9&gt;100),IF(Z6&lt;Z10,"φ &lt; φ_min !",IF(AND(Z6&gt;=Z10,Z6&lt;48),32-25*LOG(Z6),IF(AND(Z6&gt;=48,Z6&lt;180),-10,"φ &gt; 180 !"))),IF(Z6&lt;Z10,"φ &lt; φ_min !",IF(AND(Z6&gt;=Z10,Z6&lt;48),52-10*LOG(Z9)-25*LOG(Z6),IF(AND(Z6&gt;=48,Z6&lt;180),10-10*LOG(Z9),"φ &gt; 180 !"))))</f>
        <v>20.071968632008439</v>
      </c>
      <c r="AA11" s="5">
        <f t="shared" ref="AA11" si="16">IF(OR(AA2=TRUE,AA9&gt;100),IF(AA6&lt;AA10,"φ &lt; φ_min !",IF(AND(AA6&gt;=AA10,AA6&lt;48),32-25*LOG(AA6),IF(AND(AA6&gt;=48,AA6&lt;180),-10,"φ &gt; 180 !"))),IF(AA6&lt;AA10,"φ &lt; φ_min !",IF(AND(AA6&gt;=AA10,AA6&lt;48),52-10*LOG(AA9)-25*LOG(AA6),IF(AND(AA6&gt;=48,AA6&lt;180),10-10*LOG(AA9),"φ &gt; 180 !"))))</f>
        <v>-10</v>
      </c>
      <c r="AB11" s="5" t="str">
        <f t="shared" ref="AB11" si="17">IF(OR(AB2=TRUE,AB9&gt;100),IF(AB6&lt;AB10,"φ &lt; φ_min !",IF(AND(AB6&gt;=AB10,AB6&lt;48),32-25*LOG(AB6),IF(AND(AB6&gt;=48,AB6&lt;180),-10,"φ &gt; 180 !"))),IF(AB6&lt;AB10,"φ &lt; φ_min !",IF(AND(AB6&gt;=AB10,AB6&lt;48),52-10*LOG(AB9)-25*LOG(AB6),IF(AND(AB6&gt;=48,AB6&lt;180),10-10*LOG(AB9),"φ &gt; 180 !"))))</f>
        <v>φ &gt; 180 !</v>
      </c>
    </row>
    <row r="13" spans="1:28" x14ac:dyDescent="0.35">
      <c r="A13" t="b">
        <v>1</v>
      </c>
    </row>
    <row r="14" spans="1:28" x14ac:dyDescent="0.35">
      <c r="A14" t="b">
        <v>0</v>
      </c>
    </row>
    <row r="15" spans="1:28" x14ac:dyDescent="0.35">
      <c r="A15" s="8"/>
    </row>
    <row r="16" spans="1:28" x14ac:dyDescent="0.35">
      <c r="A16" s="4"/>
      <c r="B16" s="7"/>
    </row>
  </sheetData>
  <dataValidations count="1">
    <dataValidation type="list" allowBlank="1" showInputMessage="1" showErrorMessage="1" sqref="C2:J3 L2:S3 U2:AB3" xr:uid="{F938450E-EA62-4897-B961-5B6817D32C34}">
      <formula1>$A$13:$A$14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"/>
  <sheetViews>
    <sheetView workbookViewId="0">
      <selection activeCell="C9" sqref="C9"/>
    </sheetView>
  </sheetViews>
  <sheetFormatPr defaultRowHeight="14.5" x14ac:dyDescent="0.35"/>
  <cols>
    <col min="1" max="1" width="10" bestFit="1" customWidth="1"/>
    <col min="2" max="2" width="4.7265625" style="8" bestFit="1" customWidth="1"/>
    <col min="3" max="9" width="10.54296875" style="5" bestFit="1" customWidth="1"/>
  </cols>
  <sheetData>
    <row r="1" spans="1:9" s="2" customFormat="1" x14ac:dyDescent="0.35">
      <c r="A1" s="2" t="s">
        <v>32</v>
      </c>
      <c r="B1" s="7" t="s">
        <v>8</v>
      </c>
      <c r="C1" s="4">
        <v>299792458</v>
      </c>
      <c r="D1" s="4">
        <v>299792458</v>
      </c>
      <c r="E1" s="4">
        <v>299792458</v>
      </c>
      <c r="F1" s="4">
        <v>299792458</v>
      </c>
      <c r="G1" s="4">
        <v>299792458</v>
      </c>
      <c r="H1" s="4">
        <v>299792458</v>
      </c>
      <c r="I1" s="4">
        <v>299792458</v>
      </c>
    </row>
    <row r="2" spans="1:9" x14ac:dyDescent="0.35">
      <c r="A2" t="s">
        <v>5</v>
      </c>
      <c r="B2" s="8" t="s">
        <v>9</v>
      </c>
      <c r="C2" s="5">
        <v>1</v>
      </c>
      <c r="D2" s="5">
        <v>1.1000000000000001</v>
      </c>
      <c r="E2" s="5">
        <v>1.1000000000000001</v>
      </c>
      <c r="F2" s="5">
        <v>1.1000000000000001</v>
      </c>
      <c r="G2" s="5">
        <v>1.1000000000000001</v>
      </c>
      <c r="H2" s="5">
        <v>1.1000000000000001</v>
      </c>
      <c r="I2" s="5">
        <v>1.1000000000000001</v>
      </c>
    </row>
    <row r="3" spans="1:9" x14ac:dyDescent="0.35">
      <c r="A3" t="s">
        <v>2</v>
      </c>
      <c r="B3" s="8" t="s">
        <v>10</v>
      </c>
      <c r="C3" s="5">
        <v>14</v>
      </c>
      <c r="D3" s="5">
        <v>14</v>
      </c>
      <c r="E3" s="5">
        <v>14</v>
      </c>
      <c r="F3" s="5">
        <v>14</v>
      </c>
      <c r="G3" s="5">
        <v>14</v>
      </c>
      <c r="H3" s="5">
        <v>14</v>
      </c>
      <c r="I3" s="5">
        <v>14</v>
      </c>
    </row>
    <row r="4" spans="1:9" x14ac:dyDescent="0.35">
      <c r="A4" t="s">
        <v>3</v>
      </c>
      <c r="B4" s="8" t="s">
        <v>11</v>
      </c>
      <c r="C4" s="5">
        <v>1</v>
      </c>
      <c r="D4" s="5">
        <v>1</v>
      </c>
      <c r="E4" s="5">
        <v>3</v>
      </c>
      <c r="F4" s="5">
        <v>21</v>
      </c>
      <c r="G4" s="5">
        <v>27</v>
      </c>
      <c r="H4" s="5">
        <v>49</v>
      </c>
      <c r="I4" s="5">
        <v>181</v>
      </c>
    </row>
    <row r="6" spans="1:9" s="3" customFormat="1" x14ac:dyDescent="0.35">
      <c r="A6" s="3" t="s">
        <v>0</v>
      </c>
      <c r="B6" s="6" t="s">
        <v>12</v>
      </c>
      <c r="C6" s="5">
        <f>10^3*C1/(C3*10^9)</f>
        <v>21.413747000000001</v>
      </c>
      <c r="D6" s="5">
        <f>10^3*D1/(D3*10^9)</f>
        <v>21.413747000000001</v>
      </c>
      <c r="E6" s="5">
        <f t="shared" ref="E6:I6" si="0">10^3*E1/(E3*10^9)</f>
        <v>21.413747000000001</v>
      </c>
      <c r="F6" s="5">
        <f t="shared" si="0"/>
        <v>21.413747000000001</v>
      </c>
      <c r="G6" s="5">
        <f t="shared" si="0"/>
        <v>21.413747000000001</v>
      </c>
      <c r="H6" s="5">
        <f t="shared" si="0"/>
        <v>21.413747000000001</v>
      </c>
      <c r="I6" s="5">
        <f t="shared" si="0"/>
        <v>21.413747000000001</v>
      </c>
    </row>
    <row r="7" spans="1:9" s="1" customFormat="1" x14ac:dyDescent="0.35">
      <c r="A7" s="1" t="s">
        <v>6</v>
      </c>
      <c r="B7" s="5"/>
      <c r="C7" s="5">
        <f>C2/(C6*10^-3)</f>
        <v>46.698973327741285</v>
      </c>
      <c r="D7" s="5">
        <f>D2/(D6*10^-3)</f>
        <v>51.36887066051542</v>
      </c>
      <c r="E7" s="5">
        <f t="shared" ref="E7:I7" si="1">E2/(E6*10^-3)</f>
        <v>51.36887066051542</v>
      </c>
      <c r="F7" s="5">
        <f t="shared" si="1"/>
        <v>51.36887066051542</v>
      </c>
      <c r="G7" s="5">
        <f t="shared" si="1"/>
        <v>51.36887066051542</v>
      </c>
      <c r="H7" s="5">
        <f t="shared" si="1"/>
        <v>51.36887066051542</v>
      </c>
      <c r="I7" s="5">
        <f t="shared" si="1"/>
        <v>51.36887066051542</v>
      </c>
    </row>
    <row r="8" spans="1:9" x14ac:dyDescent="0.35">
      <c r="A8" t="s">
        <v>4</v>
      </c>
      <c r="B8" s="8" t="s">
        <v>11</v>
      </c>
      <c r="C8" s="5">
        <f>MAX(1,100*(C6*10^-3)/C2)</f>
        <v>2.1413747000000001</v>
      </c>
      <c r="D8" s="5">
        <f>MAX(1,100*(D6*10^-3)/D2)</f>
        <v>1.9467042727272725</v>
      </c>
      <c r="E8" s="5">
        <f t="shared" ref="E8:I8" si="2">MAX(1,100*(E6*10^-3)/E2)</f>
        <v>1.9467042727272725</v>
      </c>
      <c r="F8" s="5">
        <f t="shared" si="2"/>
        <v>1.9467042727272725</v>
      </c>
      <c r="G8" s="5">
        <f t="shared" si="2"/>
        <v>1.9467042727272725</v>
      </c>
      <c r="H8" s="5">
        <f t="shared" si="2"/>
        <v>1.9467042727272725</v>
      </c>
      <c r="I8" s="5">
        <f t="shared" si="2"/>
        <v>1.9467042727272725</v>
      </c>
    </row>
    <row r="9" spans="1:9" x14ac:dyDescent="0.35">
      <c r="A9" t="s">
        <v>7</v>
      </c>
      <c r="B9" s="8" t="s">
        <v>13</v>
      </c>
      <c r="C9" s="5" t="str">
        <f t="shared" ref="C9:E9" si="3">IF(C7&gt;=50,IF(C4&lt;C8,"φ &lt; φ_min !",IF(AND(C4&gt;=C8,C4&lt;=20),29-25*LOG(C4),IF(AND(C4&gt;20,C4&lt;48),32-25*LOG(C4),IF(AND(C4&gt;=48,C4&lt;180),-10,"φ &gt; 180 !")))),"D/λ &lt; 50 !")</f>
        <v>D/λ &lt; 50 !</v>
      </c>
      <c r="D9" s="5" t="str">
        <f t="shared" si="3"/>
        <v>φ &lt; φ_min !</v>
      </c>
      <c r="E9" s="5">
        <f t="shared" si="3"/>
        <v>17.071968632008439</v>
      </c>
      <c r="F9" s="5">
        <f>IF(F7&gt;=50,IF(F4&lt;F8,"φ &lt; φ_min !",IF(AND(F4&gt;=F8,F4&lt;=20),29-25*LOG(F4),IF(AND(F4&gt;20,F4&lt;48),32-25*LOG(F4),IF(AND(F4&gt;=48,F4&lt;180),-10,"φ &gt; 180 !")))),"D/λ &lt; 50 !")</f>
        <v>-1.055482368347981</v>
      </c>
      <c r="G9" s="5">
        <f t="shared" ref="G9:I9" si="4">IF(G7&gt;=50,IF(G4&lt;G8,"φ &lt; φ_min !",IF(AND(G4&gt;=G8,G4&lt;=20),29-25*LOG(G4),IF(AND(G4&gt;20,G4&lt;48),32-25*LOG(G4),IF(AND(G4&gt;=48,G4&lt;180),-10,"φ &gt; 180 !")))),"D/λ &lt; 50 !")</f>
        <v>-3.7840941039746809</v>
      </c>
      <c r="H9" s="5">
        <f t="shared" si="4"/>
        <v>-10</v>
      </c>
      <c r="I9" s="5" t="str">
        <f t="shared" si="4"/>
        <v>φ &gt; 180 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AP30-97</vt:lpstr>
      <vt:lpstr>AP30B</vt:lpstr>
      <vt:lpstr>AP7</vt:lpstr>
      <vt:lpstr>AP8</vt:lpstr>
      <vt:lpstr>S465</vt:lpstr>
      <vt:lpstr>S580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2020-04-28T12:07:32Z</dcterms:modified>
</cp:coreProperties>
</file>