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B\Desktop\"/>
    </mc:Choice>
  </mc:AlternateContent>
  <xr:revisionPtr revIDLastSave="0" documentId="13_ncr:1_{F43450A4-98A7-40F9-A751-57498DA6F282}" xr6:coauthVersionLast="45" xr6:coauthVersionMax="45" xr10:uidLastSave="{00000000-0000-0000-0000-000000000000}"/>
  <bookViews>
    <workbookView xWindow="-120" yWindow="-120" windowWidth="20730" windowHeight="11160" activeTab="11" xr2:uid="{00000000-000D-0000-FFFF-FFFF00000000}"/>
  </bookViews>
  <sheets>
    <sheet name="Problem Statement" sheetId="11" r:id="rId1"/>
    <sheet name="Assumptions" sheetId="1" r:id="rId2"/>
    <sheet name="Converter" sheetId="2" r:id="rId3"/>
    <sheet name="Monthly Revenue" sheetId="3" r:id="rId4"/>
    <sheet name="Monthly P&amp;L" sheetId="4" r:id="rId5"/>
    <sheet name="Capital Structure" sheetId="5" r:id="rId6"/>
    <sheet name="Fixed Assets Schedule" sheetId="6" r:id="rId7"/>
    <sheet name="Working Capital" sheetId="7" r:id="rId8"/>
    <sheet name="Annual P&amp;L" sheetId="8" r:id="rId9"/>
    <sheet name="Balance Sheet" sheetId="9" r:id="rId10"/>
    <sheet name="Cash Flow Statement" sheetId="10" r:id="rId11"/>
    <sheet name="Findings" sheetId="12" r:id="rId12"/>
  </sheets>
  <definedNames>
    <definedName name="Den">Converter!$D$1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2" l="1"/>
  <c r="B6" i="12"/>
  <c r="A30" i="9" l="1"/>
  <c r="A31" i="9"/>
  <c r="A32" i="9"/>
  <c r="A33" i="9"/>
  <c r="A29" i="9"/>
  <c r="F16" i="9"/>
  <c r="G16" i="9"/>
  <c r="E16" i="9"/>
  <c r="F19" i="10"/>
  <c r="G19" i="10"/>
  <c r="F15" i="10"/>
  <c r="G15" i="10"/>
  <c r="D3" i="8"/>
  <c r="A29" i="8"/>
  <c r="A28" i="8"/>
  <c r="A27" i="8"/>
  <c r="A26" i="8"/>
  <c r="A25" i="8"/>
  <c r="A24" i="8"/>
  <c r="A23" i="8"/>
  <c r="A22" i="8"/>
  <c r="A21" i="8"/>
  <c r="A15" i="8"/>
  <c r="A14" i="8"/>
  <c r="A13" i="8"/>
  <c r="A10" i="8"/>
  <c r="A9" i="8"/>
  <c r="A8" i="8"/>
  <c r="A7" i="8"/>
  <c r="B20" i="5" l="1"/>
  <c r="B19" i="5"/>
  <c r="C14" i="5"/>
  <c r="C12" i="5"/>
  <c r="C10" i="5"/>
  <c r="E27" i="6" s="1"/>
  <c r="C9" i="5"/>
  <c r="E20" i="6" s="1"/>
  <c r="C8" i="5"/>
  <c r="E13" i="6" s="1"/>
  <c r="C7" i="5"/>
  <c r="A12" i="5"/>
  <c r="A8" i="5"/>
  <c r="A11" i="6" s="1"/>
  <c r="A23" i="9" s="1"/>
  <c r="A9" i="5"/>
  <c r="A18" i="6" s="1"/>
  <c r="A24" i="9" s="1"/>
  <c r="A10" i="5"/>
  <c r="A25" i="6" s="1"/>
  <c r="A25" i="9" s="1"/>
  <c r="A7" i="5"/>
  <c r="A4" i="6" s="1"/>
  <c r="A22" i="9" s="1"/>
  <c r="C11" i="5" l="1"/>
  <c r="E14" i="10"/>
  <c r="E27" i="9"/>
  <c r="E6" i="6"/>
  <c r="I26" i="4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H26" i="4"/>
  <c r="I27" i="4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H27" i="4"/>
  <c r="H25" i="4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H24" i="4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H23" i="4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22" i="4"/>
  <c r="A23" i="4"/>
  <c r="A24" i="4"/>
  <c r="A25" i="4"/>
  <c r="A26" i="4"/>
  <c r="A27" i="4"/>
  <c r="A28" i="4"/>
  <c r="A29" i="4"/>
  <c r="A21" i="4"/>
  <c r="A14" i="4"/>
  <c r="A15" i="4"/>
  <c r="A13" i="4"/>
  <c r="A8" i="4"/>
  <c r="A9" i="4"/>
  <c r="A10" i="4"/>
  <c r="A7" i="4"/>
  <c r="C13" i="5" l="1"/>
  <c r="C16" i="5" s="1"/>
  <c r="E13" i="10"/>
  <c r="E15" i="10" s="1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E44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E38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E31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E25" i="3"/>
  <c r="E18" i="10" l="1"/>
  <c r="E19" i="10" s="1"/>
  <c r="C20" i="5"/>
  <c r="C19" i="5"/>
  <c r="T42" i="3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T43" i="3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T41" i="3"/>
  <c r="T36" i="3"/>
  <c r="T37" i="3"/>
  <c r="T35" i="3"/>
  <c r="T29" i="3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T30" i="3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T28" i="3"/>
  <c r="T23" i="3"/>
  <c r="T24" i="3"/>
  <c r="T22" i="3"/>
  <c r="U24" i="3" l="1"/>
  <c r="U41" i="3"/>
  <c r="T44" i="3"/>
  <c r="U23" i="3"/>
  <c r="U35" i="3"/>
  <c r="T38" i="3"/>
  <c r="U37" i="3"/>
  <c r="E5" i="9"/>
  <c r="C22" i="5"/>
  <c r="U36" i="3"/>
  <c r="U28" i="3"/>
  <c r="T31" i="3"/>
  <c r="U22" i="3"/>
  <c r="T25" i="3"/>
  <c r="E3" i="7"/>
  <c r="E3" i="8"/>
  <c r="E3" i="9"/>
  <c r="F3" i="9" s="1"/>
  <c r="G3" i="9" s="1"/>
  <c r="E3" i="10"/>
  <c r="F3" i="10" s="1"/>
  <c r="G3" i="10" s="1"/>
  <c r="E3" i="6"/>
  <c r="C4" i="5"/>
  <c r="B1" i="10"/>
  <c r="B1" i="9"/>
  <c r="B1" i="8"/>
  <c r="B1" i="7"/>
  <c r="B1" i="6"/>
  <c r="B1" i="5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E4" i="3"/>
  <c r="E5" i="3" s="1"/>
  <c r="B1" i="4"/>
  <c r="B1" i="3"/>
  <c r="E29" i="6" l="1"/>
  <c r="E30" i="6" s="1"/>
  <c r="E15" i="6"/>
  <c r="E16" i="6" s="1"/>
  <c r="E22" i="6"/>
  <c r="E23" i="6" s="1"/>
  <c r="E8" i="6"/>
  <c r="F3" i="7"/>
  <c r="V35" i="3"/>
  <c r="U38" i="3"/>
  <c r="V41" i="3"/>
  <c r="U44" i="3"/>
  <c r="F3" i="6"/>
  <c r="G3" i="6" s="1"/>
  <c r="V36" i="3"/>
  <c r="V37" i="3"/>
  <c r="V23" i="3"/>
  <c r="V24" i="3"/>
  <c r="E12" i="8"/>
  <c r="E24" i="8"/>
  <c r="E18" i="8"/>
  <c r="E26" i="8"/>
  <c r="E25" i="8"/>
  <c r="E19" i="8"/>
  <c r="E31" i="8"/>
  <c r="E27" i="8"/>
  <c r="E11" i="8"/>
  <c r="E23" i="8"/>
  <c r="F3" i="8"/>
  <c r="V28" i="3"/>
  <c r="U31" i="3"/>
  <c r="V22" i="3"/>
  <c r="U25" i="3"/>
  <c r="E6" i="3"/>
  <c r="E7" i="3" s="1"/>
  <c r="F4" i="3"/>
  <c r="D1" i="2"/>
  <c r="G44" i="1"/>
  <c r="G45" i="1"/>
  <c r="G46" i="1"/>
  <c r="G47" i="1"/>
  <c r="G48" i="1"/>
  <c r="G43" i="1"/>
  <c r="G31" i="1"/>
  <c r="G32" i="1"/>
  <c r="G33" i="1"/>
  <c r="G34" i="1"/>
  <c r="G35" i="1"/>
  <c r="G36" i="1"/>
  <c r="G37" i="1"/>
  <c r="G38" i="1"/>
  <c r="G30" i="1"/>
  <c r="W23" i="3" l="1"/>
  <c r="W41" i="3"/>
  <c r="V44" i="3"/>
  <c r="G3" i="7"/>
  <c r="E9" i="6"/>
  <c r="E33" i="8"/>
  <c r="E6" i="10" s="1"/>
  <c r="F18" i="8"/>
  <c r="F27" i="8"/>
  <c r="F19" i="8"/>
  <c r="F11" i="8"/>
  <c r="F24" i="8"/>
  <c r="W36" i="3"/>
  <c r="F19" i="6"/>
  <c r="F22" i="6" s="1"/>
  <c r="F23" i="6" s="1"/>
  <c r="E24" i="9"/>
  <c r="G39" i="1"/>
  <c r="W24" i="3"/>
  <c r="F12" i="6"/>
  <c r="F15" i="6" s="1"/>
  <c r="F16" i="6" s="1"/>
  <c r="E23" i="9"/>
  <c r="G3" i="8"/>
  <c r="F12" i="8"/>
  <c r="G49" i="1"/>
  <c r="H20" i="4" s="1"/>
  <c r="F31" i="8"/>
  <c r="F23" i="8"/>
  <c r="F26" i="8"/>
  <c r="F25" i="8"/>
  <c r="W37" i="3"/>
  <c r="W35" i="3"/>
  <c r="V38" i="3"/>
  <c r="F26" i="6"/>
  <c r="F29" i="6" s="1"/>
  <c r="F30" i="6" s="1"/>
  <c r="E25" i="9"/>
  <c r="W28" i="3"/>
  <c r="V31" i="3"/>
  <c r="W22" i="3"/>
  <c r="V25" i="3"/>
  <c r="E16" i="3"/>
  <c r="E15" i="3"/>
  <c r="F5" i="3"/>
  <c r="G4" i="3"/>
  <c r="E12" i="3"/>
  <c r="E11" i="3"/>
  <c r="E56" i="3" l="1"/>
  <c r="E59" i="3" s="1"/>
  <c r="E58" i="3"/>
  <c r="E57" i="3"/>
  <c r="G26" i="6"/>
  <c r="G29" i="6" s="1"/>
  <c r="G30" i="6" s="1"/>
  <c r="G25" i="9" s="1"/>
  <c r="F25" i="9"/>
  <c r="G27" i="8"/>
  <c r="G24" i="8"/>
  <c r="G18" i="8"/>
  <c r="G12" i="6"/>
  <c r="G15" i="6" s="1"/>
  <c r="G16" i="6" s="1"/>
  <c r="G23" i="9" s="1"/>
  <c r="F23" i="9"/>
  <c r="I16" i="4"/>
  <c r="M16" i="4"/>
  <c r="Q16" i="4"/>
  <c r="F16" i="8" s="1"/>
  <c r="J16" i="4"/>
  <c r="O16" i="4"/>
  <c r="H16" i="4"/>
  <c r="L16" i="4"/>
  <c r="R16" i="4"/>
  <c r="K16" i="4"/>
  <c r="N16" i="4"/>
  <c r="P16" i="4"/>
  <c r="S16" i="4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X36" i="3"/>
  <c r="X41" i="3"/>
  <c r="W44" i="3"/>
  <c r="E51" i="3"/>
  <c r="E52" i="3"/>
  <c r="E50" i="3"/>
  <c r="E64" i="3"/>
  <c r="E63" i="3"/>
  <c r="E65" i="3"/>
  <c r="X37" i="3"/>
  <c r="I20" i="4"/>
  <c r="G19" i="8"/>
  <c r="G23" i="8"/>
  <c r="G16" i="8"/>
  <c r="G25" i="8"/>
  <c r="G26" i="8"/>
  <c r="X24" i="3"/>
  <c r="G19" i="6"/>
  <c r="G22" i="6" s="1"/>
  <c r="G23" i="6" s="1"/>
  <c r="G24" i="9" s="1"/>
  <c r="F24" i="9"/>
  <c r="F5" i="6"/>
  <c r="E22" i="9"/>
  <c r="X23" i="3"/>
  <c r="E71" i="3"/>
  <c r="E70" i="3"/>
  <c r="E69" i="3"/>
  <c r="X35" i="3"/>
  <c r="W38" i="3"/>
  <c r="G11" i="8"/>
  <c r="G12" i="8"/>
  <c r="G31" i="8"/>
  <c r="E53" i="3"/>
  <c r="X28" i="3"/>
  <c r="W31" i="3"/>
  <c r="X22" i="3"/>
  <c r="W25" i="3"/>
  <c r="H4" i="3"/>
  <c r="G5" i="3"/>
  <c r="F6" i="3"/>
  <c r="F7" i="3" s="1"/>
  <c r="Y35" i="3" l="1"/>
  <c r="X38" i="3"/>
  <c r="E66" i="3"/>
  <c r="E76" i="3"/>
  <c r="E8" i="4" s="1"/>
  <c r="Y36" i="3"/>
  <c r="E72" i="3"/>
  <c r="Y23" i="3"/>
  <c r="Y37" i="3"/>
  <c r="E75" i="3"/>
  <c r="Y41" i="3"/>
  <c r="X44" i="3"/>
  <c r="F8" i="6"/>
  <c r="F33" i="8" s="1"/>
  <c r="F6" i="10" s="1"/>
  <c r="F9" i="6"/>
  <c r="Y24" i="3"/>
  <c r="J20" i="4"/>
  <c r="E77" i="3"/>
  <c r="E9" i="4" s="1"/>
  <c r="E16" i="8"/>
  <c r="Y28" i="3"/>
  <c r="X31" i="3"/>
  <c r="Y22" i="3"/>
  <c r="X25" i="3"/>
  <c r="I4" i="3"/>
  <c r="H5" i="3"/>
  <c r="F16" i="3"/>
  <c r="F15" i="3"/>
  <c r="F12" i="3"/>
  <c r="F11" i="3"/>
  <c r="G6" i="3"/>
  <c r="G7" i="3" s="1"/>
  <c r="K20" i="4" l="1"/>
  <c r="G5" i="6"/>
  <c r="F22" i="9"/>
  <c r="E7" i="4"/>
  <c r="E78" i="3"/>
  <c r="E10" i="4" s="1"/>
  <c r="F63" i="3"/>
  <c r="F66" i="3" s="1"/>
  <c r="F65" i="3"/>
  <c r="F64" i="3"/>
  <c r="F52" i="3"/>
  <c r="F51" i="3"/>
  <c r="F50" i="3"/>
  <c r="F56" i="3"/>
  <c r="F58" i="3"/>
  <c r="F57" i="3"/>
  <c r="Z23" i="3"/>
  <c r="Z36" i="3"/>
  <c r="Z37" i="3"/>
  <c r="E14" i="4"/>
  <c r="Z35" i="3"/>
  <c r="Y38" i="3"/>
  <c r="F69" i="3"/>
  <c r="F70" i="3"/>
  <c r="F71" i="3"/>
  <c r="E15" i="4"/>
  <c r="Z24" i="3"/>
  <c r="Z41" i="3"/>
  <c r="Y44" i="3"/>
  <c r="Z28" i="3"/>
  <c r="Y31" i="3"/>
  <c r="Z22" i="3"/>
  <c r="Y25" i="3"/>
  <c r="G16" i="3"/>
  <c r="G15" i="3"/>
  <c r="J4" i="3"/>
  <c r="I5" i="3"/>
  <c r="G12" i="3"/>
  <c r="G11" i="3"/>
  <c r="H6" i="3"/>
  <c r="AA35" i="3" l="1"/>
  <c r="Z38" i="3"/>
  <c r="AA37" i="3"/>
  <c r="AA23" i="3"/>
  <c r="F75" i="3"/>
  <c r="F53" i="3"/>
  <c r="F72" i="3"/>
  <c r="F76" i="3"/>
  <c r="F8" i="4" s="1"/>
  <c r="G8" i="6"/>
  <c r="G33" i="8" s="1"/>
  <c r="G6" i="10" s="1"/>
  <c r="G9" i="6"/>
  <c r="G22" i="9" s="1"/>
  <c r="AA24" i="3"/>
  <c r="G52" i="3"/>
  <c r="G77" i="3" s="1"/>
  <c r="G9" i="4" s="1"/>
  <c r="G15" i="4" s="1"/>
  <c r="G51" i="3"/>
  <c r="G50" i="3"/>
  <c r="G65" i="3"/>
  <c r="G64" i="3"/>
  <c r="G63" i="3"/>
  <c r="AA41" i="3"/>
  <c r="Z44" i="3"/>
  <c r="G57" i="3"/>
  <c r="G56" i="3"/>
  <c r="G59" i="3" s="1"/>
  <c r="G58" i="3"/>
  <c r="G71" i="3"/>
  <c r="G69" i="3"/>
  <c r="G70" i="3"/>
  <c r="G72" i="3" s="1"/>
  <c r="AA36" i="3"/>
  <c r="F77" i="3"/>
  <c r="F9" i="4" s="1"/>
  <c r="E29" i="4"/>
  <c r="F59" i="3"/>
  <c r="E13" i="4"/>
  <c r="L20" i="4"/>
  <c r="AA28" i="3"/>
  <c r="Z31" i="3"/>
  <c r="AA22" i="3"/>
  <c r="Z25" i="3"/>
  <c r="H12" i="3"/>
  <c r="H11" i="3"/>
  <c r="H7" i="3"/>
  <c r="H16" i="3" s="1"/>
  <c r="I6" i="3"/>
  <c r="I7" i="3" s="1"/>
  <c r="K4" i="3"/>
  <c r="J5" i="3"/>
  <c r="F15" i="4" l="1"/>
  <c r="G76" i="3"/>
  <c r="G8" i="4" s="1"/>
  <c r="G14" i="4" s="1"/>
  <c r="G66" i="3"/>
  <c r="AB23" i="3"/>
  <c r="H70" i="3"/>
  <c r="H71" i="3"/>
  <c r="H69" i="3"/>
  <c r="M20" i="4"/>
  <c r="H50" i="3"/>
  <c r="H52" i="3"/>
  <c r="H51" i="3"/>
  <c r="E30" i="4"/>
  <c r="AB36" i="3"/>
  <c r="F14" i="4"/>
  <c r="AB35" i="3"/>
  <c r="AA38" i="3"/>
  <c r="H58" i="3"/>
  <c r="H56" i="3"/>
  <c r="H57" i="3"/>
  <c r="E17" i="4"/>
  <c r="AB41" i="3"/>
  <c r="AA44" i="3"/>
  <c r="G75" i="3"/>
  <c r="G53" i="3"/>
  <c r="AB24" i="3"/>
  <c r="F7" i="4"/>
  <c r="F78" i="3"/>
  <c r="F10" i="4" s="1"/>
  <c r="AB37" i="3"/>
  <c r="AB28" i="3"/>
  <c r="AA31" i="3"/>
  <c r="AB22" i="3"/>
  <c r="AA25" i="3"/>
  <c r="J6" i="3"/>
  <c r="J7" i="3" s="1"/>
  <c r="I12" i="3"/>
  <c r="H15" i="3"/>
  <c r="I16" i="3"/>
  <c r="L4" i="3"/>
  <c r="K5" i="3"/>
  <c r="I11" i="3"/>
  <c r="F13" i="4" l="1"/>
  <c r="E32" i="4"/>
  <c r="I69" i="3"/>
  <c r="I70" i="3"/>
  <c r="I71" i="3"/>
  <c r="H76" i="3"/>
  <c r="H8" i="4" s="1"/>
  <c r="N20" i="4"/>
  <c r="F29" i="4"/>
  <c r="G78" i="3"/>
  <c r="G10" i="4" s="1"/>
  <c r="G7" i="4"/>
  <c r="G13" i="4" s="1"/>
  <c r="G17" i="4" s="1"/>
  <c r="J11" i="3"/>
  <c r="I51" i="3"/>
  <c r="I50" i="3"/>
  <c r="I52" i="3"/>
  <c r="I15" i="3"/>
  <c r="H65" i="3"/>
  <c r="H63" i="3"/>
  <c r="H66" i="3" s="1"/>
  <c r="H64" i="3"/>
  <c r="AC37" i="3"/>
  <c r="AC24" i="3"/>
  <c r="AC41" i="3"/>
  <c r="AB44" i="3"/>
  <c r="H59" i="3"/>
  <c r="AC35" i="3"/>
  <c r="AB38" i="3"/>
  <c r="AC36" i="3"/>
  <c r="H77" i="3"/>
  <c r="H9" i="4" s="1"/>
  <c r="I57" i="3"/>
  <c r="I56" i="3"/>
  <c r="I58" i="3"/>
  <c r="H75" i="3"/>
  <c r="H53" i="3"/>
  <c r="H72" i="3"/>
  <c r="AC23" i="3"/>
  <c r="AC28" i="3"/>
  <c r="AB31" i="3"/>
  <c r="AC22" i="3"/>
  <c r="AB25" i="3"/>
  <c r="J12" i="3"/>
  <c r="J16" i="3"/>
  <c r="J15" i="3"/>
  <c r="K6" i="3"/>
  <c r="K11" i="3" s="1"/>
  <c r="M4" i="3"/>
  <c r="L5" i="3"/>
  <c r="K52" i="3" l="1"/>
  <c r="K51" i="3"/>
  <c r="K50" i="3"/>
  <c r="I59" i="3"/>
  <c r="AD36" i="3"/>
  <c r="AD24" i="3"/>
  <c r="I72" i="3"/>
  <c r="E34" i="4"/>
  <c r="I53" i="3"/>
  <c r="G29" i="4"/>
  <c r="G30" i="4" s="1"/>
  <c r="G32" i="4" s="1"/>
  <c r="G34" i="4" s="1"/>
  <c r="J69" i="3"/>
  <c r="J70" i="3"/>
  <c r="J71" i="3"/>
  <c r="H7" i="4"/>
  <c r="H78" i="3"/>
  <c r="H10" i="4" s="1"/>
  <c r="H15" i="4"/>
  <c r="AD41" i="3"/>
  <c r="AC44" i="3"/>
  <c r="AD37" i="3"/>
  <c r="O20" i="4"/>
  <c r="J63" i="3"/>
  <c r="J65" i="3"/>
  <c r="J64" i="3"/>
  <c r="J56" i="3"/>
  <c r="J59" i="3" s="1"/>
  <c r="J58" i="3"/>
  <c r="J57" i="3"/>
  <c r="AD23" i="3"/>
  <c r="AD35" i="3"/>
  <c r="AC38" i="3"/>
  <c r="I64" i="3"/>
  <c r="I76" i="3" s="1"/>
  <c r="I8" i="4" s="1"/>
  <c r="I65" i="3"/>
  <c r="I77" i="3" s="1"/>
  <c r="I9" i="4" s="1"/>
  <c r="I63" i="3"/>
  <c r="J52" i="3"/>
  <c r="J51" i="3"/>
  <c r="J76" i="3" s="1"/>
  <c r="J8" i="4" s="1"/>
  <c r="J14" i="4" s="1"/>
  <c r="J50" i="3"/>
  <c r="F30" i="4"/>
  <c r="H14" i="4"/>
  <c r="F17" i="4"/>
  <c r="AD28" i="3"/>
  <c r="AC31" i="3"/>
  <c r="AD22" i="3"/>
  <c r="AC25" i="3"/>
  <c r="L6" i="3"/>
  <c r="L7" i="3" s="1"/>
  <c r="K7" i="3"/>
  <c r="K16" i="3" s="1"/>
  <c r="N4" i="3"/>
  <c r="M5" i="3"/>
  <c r="K12" i="3"/>
  <c r="I15" i="4" l="1"/>
  <c r="I14" i="4"/>
  <c r="J77" i="3"/>
  <c r="J9" i="4" s="1"/>
  <c r="J15" i="4" s="1"/>
  <c r="AE23" i="3"/>
  <c r="P20" i="4"/>
  <c r="AE37" i="3"/>
  <c r="AE24" i="3"/>
  <c r="K53" i="3"/>
  <c r="K57" i="3"/>
  <c r="K56" i="3"/>
  <c r="K58" i="3"/>
  <c r="I66" i="3"/>
  <c r="H29" i="4"/>
  <c r="H28" i="4"/>
  <c r="H22" i="4"/>
  <c r="H21" i="4"/>
  <c r="J72" i="3"/>
  <c r="F32" i="4"/>
  <c r="K71" i="3"/>
  <c r="K69" i="3"/>
  <c r="K70" i="3"/>
  <c r="J75" i="3"/>
  <c r="J53" i="3"/>
  <c r="AE35" i="3"/>
  <c r="AD38" i="3"/>
  <c r="J66" i="3"/>
  <c r="AE41" i="3"/>
  <c r="AD44" i="3"/>
  <c r="H13" i="4"/>
  <c r="I75" i="3"/>
  <c r="AE36" i="3"/>
  <c r="AE28" i="3"/>
  <c r="AD31" i="3"/>
  <c r="AE22" i="3"/>
  <c r="AD25" i="3"/>
  <c r="K15" i="3"/>
  <c r="O4" i="3"/>
  <c r="N5" i="3"/>
  <c r="L11" i="3"/>
  <c r="L12" i="3"/>
  <c r="L16" i="3"/>
  <c r="M6" i="3"/>
  <c r="M7" i="3" s="1"/>
  <c r="L58" i="3" l="1"/>
  <c r="L56" i="3"/>
  <c r="L59" i="3" s="1"/>
  <c r="L57" i="3"/>
  <c r="L15" i="3"/>
  <c r="K65" i="3"/>
  <c r="K77" i="3" s="1"/>
  <c r="K9" i="4" s="1"/>
  <c r="K15" i="4" s="1"/>
  <c r="K64" i="3"/>
  <c r="K63" i="3"/>
  <c r="K75" i="3" s="1"/>
  <c r="I7" i="4"/>
  <c r="I13" i="4" s="1"/>
  <c r="I17" i="4" s="1"/>
  <c r="I78" i="3"/>
  <c r="I10" i="4" s="1"/>
  <c r="AF41" i="3"/>
  <c r="AE44" i="3"/>
  <c r="AF35" i="3"/>
  <c r="AE38" i="3"/>
  <c r="AF24" i="3"/>
  <c r="Q20" i="4"/>
  <c r="L50" i="3"/>
  <c r="L52" i="3"/>
  <c r="L51" i="3"/>
  <c r="F34" i="4"/>
  <c r="AF37" i="3"/>
  <c r="AF23" i="3"/>
  <c r="H17" i="4"/>
  <c r="J7" i="4"/>
  <c r="J13" i="4" s="1"/>
  <c r="J17" i="4" s="1"/>
  <c r="J78" i="3"/>
  <c r="J10" i="4" s="1"/>
  <c r="L70" i="3"/>
  <c r="L71" i="3"/>
  <c r="L69" i="3"/>
  <c r="L72" i="3" s="1"/>
  <c r="AF36" i="3"/>
  <c r="K72" i="3"/>
  <c r="H30" i="4"/>
  <c r="K59" i="3"/>
  <c r="AF28" i="3"/>
  <c r="AE31" i="3"/>
  <c r="AF22" i="3"/>
  <c r="AE25" i="3"/>
  <c r="M11" i="3"/>
  <c r="M16" i="3"/>
  <c r="P4" i="3"/>
  <c r="O5" i="3"/>
  <c r="M12" i="3"/>
  <c r="M15" i="3"/>
  <c r="N6" i="3"/>
  <c r="N7" i="3" s="1"/>
  <c r="M64" i="3" l="1"/>
  <c r="M63" i="3"/>
  <c r="M66" i="3" s="1"/>
  <c r="M65" i="3"/>
  <c r="M69" i="3"/>
  <c r="M70" i="3"/>
  <c r="M71" i="3"/>
  <c r="M72" i="3" s="1"/>
  <c r="M57" i="3"/>
  <c r="M58" i="3"/>
  <c r="M56" i="3"/>
  <c r="M59" i="3" s="1"/>
  <c r="M51" i="3"/>
  <c r="M76" i="3" s="1"/>
  <c r="M8" i="4" s="1"/>
  <c r="M14" i="4" s="1"/>
  <c r="M50" i="3"/>
  <c r="M52" i="3"/>
  <c r="AG23" i="3"/>
  <c r="H32" i="4"/>
  <c r="L53" i="3"/>
  <c r="AG24" i="3"/>
  <c r="AG35" i="3"/>
  <c r="AF38" i="3"/>
  <c r="L65" i="3"/>
  <c r="L77" i="3" s="1"/>
  <c r="L9" i="4" s="1"/>
  <c r="L15" i="4" s="1"/>
  <c r="L63" i="3"/>
  <c r="L64" i="3"/>
  <c r="L76" i="3" s="1"/>
  <c r="L8" i="4" s="1"/>
  <c r="L14" i="4" s="1"/>
  <c r="AG36" i="3"/>
  <c r="J28" i="4"/>
  <c r="J22" i="4"/>
  <c r="J21" i="4"/>
  <c r="J30" i="4" s="1"/>
  <c r="J32" i="4" s="1"/>
  <c r="J34" i="4" s="1"/>
  <c r="J29" i="4"/>
  <c r="AG37" i="3"/>
  <c r="K7" i="4"/>
  <c r="K13" i="4" s="1"/>
  <c r="R20" i="4"/>
  <c r="AG41" i="3"/>
  <c r="AF44" i="3"/>
  <c r="K66" i="3"/>
  <c r="K76" i="3"/>
  <c r="K8" i="4" s="1"/>
  <c r="K14" i="4" s="1"/>
  <c r="I29" i="4"/>
  <c r="I28" i="4"/>
  <c r="I22" i="4"/>
  <c r="I21" i="4"/>
  <c r="AG28" i="3"/>
  <c r="AF31" i="3"/>
  <c r="AG22" i="3"/>
  <c r="AF25" i="3"/>
  <c r="N16" i="3"/>
  <c r="O6" i="3"/>
  <c r="O7" i="3" s="1"/>
  <c r="N15" i="3"/>
  <c r="N11" i="3"/>
  <c r="N12" i="3"/>
  <c r="Q4" i="3"/>
  <c r="P5" i="3"/>
  <c r="N56" i="3" l="1"/>
  <c r="N58" i="3"/>
  <c r="N57" i="3"/>
  <c r="N63" i="3"/>
  <c r="N65" i="3"/>
  <c r="N64" i="3"/>
  <c r="I30" i="4"/>
  <c r="I32" i="4" s="1"/>
  <c r="I34" i="4" s="1"/>
  <c r="S20" i="4"/>
  <c r="AH36" i="3"/>
  <c r="M77" i="3"/>
  <c r="M9" i="4" s="1"/>
  <c r="M15" i="4" s="1"/>
  <c r="N52" i="3"/>
  <c r="N51" i="3"/>
  <c r="N50" i="3"/>
  <c r="AH41" i="3"/>
  <c r="AG44" i="3"/>
  <c r="AH37" i="3"/>
  <c r="AH24" i="3"/>
  <c r="H34" i="4"/>
  <c r="M75" i="3"/>
  <c r="M53" i="3"/>
  <c r="K17" i="4"/>
  <c r="N69" i="3"/>
  <c r="N70" i="3"/>
  <c r="N71" i="3"/>
  <c r="K78" i="3"/>
  <c r="K10" i="4" s="1"/>
  <c r="L66" i="3"/>
  <c r="AH35" i="3"/>
  <c r="AG38" i="3"/>
  <c r="L75" i="3"/>
  <c r="AH23" i="3"/>
  <c r="AH28" i="3"/>
  <c r="AG31" i="3"/>
  <c r="AH22" i="3"/>
  <c r="AG25" i="3"/>
  <c r="O16" i="3"/>
  <c r="O11" i="3"/>
  <c r="P6" i="3"/>
  <c r="O15" i="3"/>
  <c r="R4" i="3"/>
  <c r="Q5" i="3"/>
  <c r="O12" i="3"/>
  <c r="O57" i="3" l="1"/>
  <c r="O56" i="3"/>
  <c r="O58" i="3"/>
  <c r="O52" i="3"/>
  <c r="O51" i="3"/>
  <c r="O50" i="3"/>
  <c r="L7" i="4"/>
  <c r="L13" i="4" s="1"/>
  <c r="L17" i="4" s="1"/>
  <c r="L78" i="3"/>
  <c r="L10" i="4" s="1"/>
  <c r="N72" i="3"/>
  <c r="M78" i="3"/>
  <c r="M10" i="4" s="1"/>
  <c r="M7" i="4"/>
  <c r="M13" i="4" s="1"/>
  <c r="M17" i="4" s="1"/>
  <c r="AI24" i="3"/>
  <c r="AI41" i="3"/>
  <c r="AH44" i="3"/>
  <c r="N77" i="3"/>
  <c r="N9" i="4" s="1"/>
  <c r="N15" i="4" s="1"/>
  <c r="AI36" i="3"/>
  <c r="N66" i="3"/>
  <c r="K29" i="4"/>
  <c r="K28" i="4"/>
  <c r="K22" i="4"/>
  <c r="K21" i="4"/>
  <c r="AI37" i="3"/>
  <c r="N75" i="3"/>
  <c r="N53" i="3"/>
  <c r="T20" i="4"/>
  <c r="O71" i="3"/>
  <c r="O69" i="3"/>
  <c r="O70" i="3"/>
  <c r="O64" i="3"/>
  <c r="O63" i="3"/>
  <c r="O65" i="3"/>
  <c r="AI23" i="3"/>
  <c r="AI35" i="3"/>
  <c r="AH38" i="3"/>
  <c r="N76" i="3"/>
  <c r="N8" i="4" s="1"/>
  <c r="N14" i="4" s="1"/>
  <c r="N59" i="3"/>
  <c r="AI28" i="3"/>
  <c r="AH31" i="3"/>
  <c r="AI22" i="3"/>
  <c r="AH25" i="3"/>
  <c r="P12" i="3"/>
  <c r="P11" i="3"/>
  <c r="P7" i="3"/>
  <c r="P16" i="3" s="1"/>
  <c r="Q6" i="3"/>
  <c r="S4" i="3"/>
  <c r="R5" i="3"/>
  <c r="AJ23" i="3" l="1"/>
  <c r="O66" i="3"/>
  <c r="N7" i="4"/>
  <c r="N13" i="4" s="1"/>
  <c r="N17" i="4" s="1"/>
  <c r="N78" i="3"/>
  <c r="N10" i="4" s="1"/>
  <c r="K30" i="4"/>
  <c r="K32" i="4" s="1"/>
  <c r="AJ24" i="3"/>
  <c r="L29" i="4"/>
  <c r="L28" i="4"/>
  <c r="L21" i="4"/>
  <c r="L22" i="4"/>
  <c r="O77" i="3"/>
  <c r="O9" i="4" s="1"/>
  <c r="O15" i="4" s="1"/>
  <c r="P58" i="3"/>
  <c r="P56" i="3"/>
  <c r="P57" i="3"/>
  <c r="P50" i="3"/>
  <c r="P52" i="3"/>
  <c r="P51" i="3"/>
  <c r="O72" i="3"/>
  <c r="U20" i="4"/>
  <c r="AJ35" i="3"/>
  <c r="AI38" i="3"/>
  <c r="AJ37" i="3"/>
  <c r="AJ41" i="3"/>
  <c r="AI44" i="3"/>
  <c r="M29" i="4"/>
  <c r="M28" i="4"/>
  <c r="M22" i="4"/>
  <c r="M21" i="4"/>
  <c r="O75" i="3"/>
  <c r="O53" i="3"/>
  <c r="O59" i="3"/>
  <c r="P70" i="3"/>
  <c r="P71" i="3"/>
  <c r="P69" i="3"/>
  <c r="P72" i="3" s="1"/>
  <c r="AJ36" i="3"/>
  <c r="O76" i="3"/>
  <c r="O8" i="4" s="1"/>
  <c r="O14" i="4" s="1"/>
  <c r="AJ28" i="3"/>
  <c r="AI31" i="3"/>
  <c r="AJ22" i="3"/>
  <c r="AI25" i="3"/>
  <c r="Q11" i="3"/>
  <c r="Q12" i="3"/>
  <c r="P15" i="3"/>
  <c r="Q7" i="3"/>
  <c r="Q16" i="3" s="1"/>
  <c r="T4" i="3"/>
  <c r="S5" i="3"/>
  <c r="R6" i="3"/>
  <c r="AK24" i="3" l="1"/>
  <c r="Q51" i="3"/>
  <c r="Q50" i="3"/>
  <c r="Q52" i="3"/>
  <c r="AK41" i="3"/>
  <c r="AJ44" i="3"/>
  <c r="Q57" i="3"/>
  <c r="Q58" i="3"/>
  <c r="Q56" i="3"/>
  <c r="P53" i="3"/>
  <c r="O7" i="4"/>
  <c r="O13" i="4" s="1"/>
  <c r="O17" i="4" s="1"/>
  <c r="O78" i="3"/>
  <c r="O10" i="4" s="1"/>
  <c r="AK35" i="3"/>
  <c r="AJ38" i="3"/>
  <c r="K34" i="4"/>
  <c r="AK36" i="3"/>
  <c r="Q69" i="3"/>
  <c r="Q70" i="3"/>
  <c r="Q71" i="3"/>
  <c r="P65" i="3"/>
  <c r="P63" i="3"/>
  <c r="P75" i="3" s="1"/>
  <c r="P64" i="3"/>
  <c r="P76" i="3" s="1"/>
  <c r="P8" i="4" s="1"/>
  <c r="P14" i="4" s="1"/>
  <c r="M30" i="4"/>
  <c r="M32" i="4" s="1"/>
  <c r="M34" i="4" s="1"/>
  <c r="AK37" i="3"/>
  <c r="V20" i="4"/>
  <c r="P77" i="3"/>
  <c r="P9" i="4" s="1"/>
  <c r="P15" i="4" s="1"/>
  <c r="P59" i="3"/>
  <c r="L30" i="4"/>
  <c r="L32" i="4" s="1"/>
  <c r="L34" i="4" s="1"/>
  <c r="N28" i="4"/>
  <c r="N21" i="4"/>
  <c r="N29" i="4"/>
  <c r="N22" i="4"/>
  <c r="AK23" i="3"/>
  <c r="AK28" i="3"/>
  <c r="AJ31" i="3"/>
  <c r="AK22" i="3"/>
  <c r="AJ25" i="3"/>
  <c r="Q15" i="3"/>
  <c r="R12" i="3"/>
  <c r="R7" i="3"/>
  <c r="R16" i="3" s="1"/>
  <c r="R11" i="3"/>
  <c r="S6" i="3"/>
  <c r="U4" i="3"/>
  <c r="T5" i="3"/>
  <c r="E7" i="7" l="1"/>
  <c r="E17" i="7"/>
  <c r="P7" i="4"/>
  <c r="P13" i="4" s="1"/>
  <c r="P78" i="3"/>
  <c r="P10" i="4" s="1"/>
  <c r="R52" i="3"/>
  <c r="R51" i="3"/>
  <c r="R50" i="3"/>
  <c r="Q75" i="3"/>
  <c r="Q53" i="3"/>
  <c r="R69" i="3"/>
  <c r="R70" i="3"/>
  <c r="R71" i="3"/>
  <c r="AL23" i="3"/>
  <c r="N30" i="4"/>
  <c r="N32" i="4" s="1"/>
  <c r="N34" i="4" s="1"/>
  <c r="E18" i="7"/>
  <c r="E8" i="7"/>
  <c r="AL37" i="3"/>
  <c r="AL35" i="3"/>
  <c r="AK38" i="3"/>
  <c r="R58" i="3"/>
  <c r="R57" i="3"/>
  <c r="R56" i="3"/>
  <c r="R59" i="3" s="1"/>
  <c r="W20" i="4"/>
  <c r="P66" i="3"/>
  <c r="O29" i="4"/>
  <c r="O28" i="4"/>
  <c r="O22" i="4"/>
  <c r="O21" i="4"/>
  <c r="O30" i="4" s="1"/>
  <c r="O32" i="4" s="1"/>
  <c r="O34" i="4" s="1"/>
  <c r="Q59" i="3"/>
  <c r="AL41" i="3"/>
  <c r="AK44" i="3"/>
  <c r="Q64" i="3"/>
  <c r="Q76" i="3" s="1"/>
  <c r="Q8" i="4" s="1"/>
  <c r="Q65" i="3"/>
  <c r="Q77" i="3" s="1"/>
  <c r="Q9" i="4" s="1"/>
  <c r="Q63" i="3"/>
  <c r="Q72" i="3"/>
  <c r="AL36" i="3"/>
  <c r="AL24" i="3"/>
  <c r="AL28" i="3"/>
  <c r="AK31" i="3"/>
  <c r="AL22" i="3"/>
  <c r="AK25" i="3"/>
  <c r="S12" i="3"/>
  <c r="R15" i="3"/>
  <c r="T6" i="3"/>
  <c r="T7" i="3" s="1"/>
  <c r="S7" i="3"/>
  <c r="V4" i="3"/>
  <c r="U5" i="3"/>
  <c r="S11" i="3"/>
  <c r="Q14" i="4" l="1"/>
  <c r="Q15" i="4"/>
  <c r="S57" i="3"/>
  <c r="S56" i="3"/>
  <c r="S58" i="3"/>
  <c r="Q7" i="4"/>
  <c r="Q78" i="3"/>
  <c r="Q10" i="4" s="1"/>
  <c r="P29" i="4"/>
  <c r="P28" i="4"/>
  <c r="P21" i="4"/>
  <c r="P22" i="4"/>
  <c r="T11" i="3"/>
  <c r="S52" i="3"/>
  <c r="S51" i="3"/>
  <c r="S50" i="3"/>
  <c r="AM24" i="3"/>
  <c r="R53" i="3"/>
  <c r="P17" i="4"/>
  <c r="E16" i="7"/>
  <c r="E6" i="7"/>
  <c r="E9" i="7" s="1"/>
  <c r="AM36" i="3"/>
  <c r="AM37" i="3"/>
  <c r="R63" i="3"/>
  <c r="R75" i="3" s="1"/>
  <c r="R65" i="3"/>
  <c r="R66" i="3" s="1"/>
  <c r="R64" i="3"/>
  <c r="R76" i="3" s="1"/>
  <c r="R8" i="4" s="1"/>
  <c r="Q66" i="3"/>
  <c r="AM41" i="3"/>
  <c r="AL44" i="3"/>
  <c r="AM35" i="3"/>
  <c r="AL38" i="3"/>
  <c r="AM23" i="3"/>
  <c r="R72" i="3"/>
  <c r="X20" i="4"/>
  <c r="AM28" i="3"/>
  <c r="AL31" i="3"/>
  <c r="AM22" i="3"/>
  <c r="AL25" i="3"/>
  <c r="W4" i="3"/>
  <c r="V5" i="3"/>
  <c r="T12" i="3"/>
  <c r="S15" i="3"/>
  <c r="S16" i="3"/>
  <c r="U6" i="3"/>
  <c r="U11" i="3" s="1"/>
  <c r="R7" i="4" l="1"/>
  <c r="R13" i="4" s="1"/>
  <c r="R14" i="4"/>
  <c r="Y20" i="4"/>
  <c r="T16" i="3"/>
  <c r="S71" i="3"/>
  <c r="S69" i="3"/>
  <c r="S70" i="3"/>
  <c r="AN41" i="3"/>
  <c r="AN44" i="3" s="1"/>
  <c r="AM44" i="3"/>
  <c r="AN36" i="3"/>
  <c r="T50" i="3"/>
  <c r="T52" i="3"/>
  <c r="T51" i="3"/>
  <c r="U51" i="3"/>
  <c r="U50" i="3"/>
  <c r="U52" i="3"/>
  <c r="T15" i="3"/>
  <c r="S64" i="3"/>
  <c r="S66" i="3" s="1"/>
  <c r="S63" i="3"/>
  <c r="S65" i="3"/>
  <c r="S77" i="3" s="1"/>
  <c r="S9" i="4" s="1"/>
  <c r="S15" i="4" s="1"/>
  <c r="R77" i="3"/>
  <c r="R9" i="4" s="1"/>
  <c r="S75" i="3"/>
  <c r="S53" i="3"/>
  <c r="S59" i="3"/>
  <c r="AN23" i="3"/>
  <c r="AN24" i="3"/>
  <c r="Q13" i="4"/>
  <c r="T58" i="3"/>
  <c r="T57" i="3"/>
  <c r="T56" i="3"/>
  <c r="AN35" i="3"/>
  <c r="AM38" i="3"/>
  <c r="AN37" i="3"/>
  <c r="S76" i="3"/>
  <c r="S8" i="4" s="1"/>
  <c r="S14" i="4" s="1"/>
  <c r="P30" i="4"/>
  <c r="E14" i="7" s="1"/>
  <c r="E19" i="7" s="1"/>
  <c r="E21" i="7" s="1"/>
  <c r="E22" i="7" s="1"/>
  <c r="E8" i="10" s="1"/>
  <c r="Q29" i="4"/>
  <c r="Q28" i="4"/>
  <c r="Q22" i="4"/>
  <c r="Q21" i="4"/>
  <c r="AN28" i="3"/>
  <c r="AN31" i="3" s="1"/>
  <c r="AM31" i="3"/>
  <c r="AN22" i="3"/>
  <c r="AM25" i="3"/>
  <c r="X4" i="3"/>
  <c r="W5" i="3"/>
  <c r="U12" i="3"/>
  <c r="U7" i="3"/>
  <c r="U15" i="3" s="1"/>
  <c r="V6" i="3"/>
  <c r="V11" i="3" s="1"/>
  <c r="V50" i="3" l="1"/>
  <c r="V51" i="3"/>
  <c r="V52" i="3"/>
  <c r="U63" i="3"/>
  <c r="U66" i="3" s="1"/>
  <c r="U65" i="3"/>
  <c r="U64" i="3"/>
  <c r="T63" i="3"/>
  <c r="T66" i="3" s="1"/>
  <c r="T65" i="3"/>
  <c r="T64" i="3"/>
  <c r="T53" i="3"/>
  <c r="T70" i="3"/>
  <c r="T71" i="3"/>
  <c r="T69" i="3"/>
  <c r="T72" i="3" s="1"/>
  <c r="U57" i="3"/>
  <c r="U58" i="3"/>
  <c r="U56" i="3"/>
  <c r="AN25" i="3"/>
  <c r="AN38" i="3"/>
  <c r="S72" i="3"/>
  <c r="P32" i="4"/>
  <c r="P34" i="4" s="1"/>
  <c r="R15" i="4"/>
  <c r="Q30" i="4"/>
  <c r="S78" i="3"/>
  <c r="S10" i="4" s="1"/>
  <c r="S7" i="4"/>
  <c r="T76" i="3"/>
  <c r="T8" i="4" s="1"/>
  <c r="T14" i="4" s="1"/>
  <c r="Z20" i="4"/>
  <c r="R78" i="3"/>
  <c r="R10" i="4" s="1"/>
  <c r="T59" i="3"/>
  <c r="Q17" i="4"/>
  <c r="U53" i="3"/>
  <c r="T77" i="3"/>
  <c r="T9" i="4" s="1"/>
  <c r="T15" i="4" s="1"/>
  <c r="V12" i="3"/>
  <c r="V7" i="3"/>
  <c r="V15" i="3" s="1"/>
  <c r="U16" i="3"/>
  <c r="W6" i="3"/>
  <c r="W11" i="3" s="1"/>
  <c r="Y4" i="3"/>
  <c r="X5" i="3"/>
  <c r="V64" i="3" l="1"/>
  <c r="V65" i="3"/>
  <c r="V63" i="3"/>
  <c r="V66" i="3" s="1"/>
  <c r="Q32" i="4"/>
  <c r="AA20" i="4"/>
  <c r="S13" i="4"/>
  <c r="T75" i="3"/>
  <c r="V58" i="3"/>
  <c r="V57" i="3"/>
  <c r="V56" i="3"/>
  <c r="W50" i="3"/>
  <c r="W52" i="3"/>
  <c r="W51" i="3"/>
  <c r="R17" i="4"/>
  <c r="S29" i="4"/>
  <c r="S28" i="4"/>
  <c r="S22" i="4"/>
  <c r="S21" i="4"/>
  <c r="U59" i="3"/>
  <c r="U69" i="3"/>
  <c r="U70" i="3"/>
  <c r="U76" i="3" s="1"/>
  <c r="U8" i="4" s="1"/>
  <c r="U14" i="4" s="1"/>
  <c r="U71" i="3"/>
  <c r="U77" i="3" s="1"/>
  <c r="U9" i="4" s="1"/>
  <c r="U15" i="4" s="1"/>
  <c r="R28" i="4"/>
  <c r="R21" i="4"/>
  <c r="R29" i="4"/>
  <c r="R22" i="4"/>
  <c r="V53" i="3"/>
  <c r="V16" i="3"/>
  <c r="W7" i="3"/>
  <c r="Z4" i="3"/>
  <c r="Y5" i="3"/>
  <c r="X6" i="3"/>
  <c r="X11" i="3" s="1"/>
  <c r="W12" i="3"/>
  <c r="V76" i="3" l="1"/>
  <c r="V8" i="4" s="1"/>
  <c r="V14" i="4" s="1"/>
  <c r="T7" i="4"/>
  <c r="T78" i="3"/>
  <c r="T10" i="4" s="1"/>
  <c r="AB20" i="4"/>
  <c r="X50" i="3"/>
  <c r="X52" i="3"/>
  <c r="X51" i="3"/>
  <c r="V69" i="3"/>
  <c r="V70" i="3"/>
  <c r="V71" i="3"/>
  <c r="V77" i="3" s="1"/>
  <c r="V9" i="4" s="1"/>
  <c r="V15" i="4" s="1"/>
  <c r="S30" i="4"/>
  <c r="Q34" i="4"/>
  <c r="W57" i="3"/>
  <c r="W56" i="3"/>
  <c r="W58" i="3"/>
  <c r="R30" i="4"/>
  <c r="U72" i="3"/>
  <c r="U75" i="3"/>
  <c r="W53" i="3"/>
  <c r="S17" i="4"/>
  <c r="V59" i="3"/>
  <c r="X12" i="3"/>
  <c r="W16" i="3"/>
  <c r="W15" i="3"/>
  <c r="X7" i="3"/>
  <c r="Y6" i="3"/>
  <c r="Y11" i="3" s="1"/>
  <c r="AA4" i="3"/>
  <c r="Z5" i="3"/>
  <c r="W64" i="3" l="1"/>
  <c r="W66" i="3" s="1"/>
  <c r="W63" i="3"/>
  <c r="W65" i="3"/>
  <c r="W77" i="3" s="1"/>
  <c r="W9" i="4" s="1"/>
  <c r="W15" i="4" s="1"/>
  <c r="AC20" i="4"/>
  <c r="T29" i="4"/>
  <c r="T28" i="4"/>
  <c r="T21" i="4"/>
  <c r="T22" i="4"/>
  <c r="W71" i="3"/>
  <c r="W69" i="3"/>
  <c r="W70" i="3"/>
  <c r="W72" i="3" s="1"/>
  <c r="R32" i="4"/>
  <c r="Y51" i="3"/>
  <c r="Y50" i="3"/>
  <c r="Y52" i="3"/>
  <c r="X58" i="3"/>
  <c r="X56" i="3"/>
  <c r="X57" i="3"/>
  <c r="U7" i="4"/>
  <c r="U13" i="4" s="1"/>
  <c r="U17" i="4" s="1"/>
  <c r="U78" i="3"/>
  <c r="U10" i="4" s="1"/>
  <c r="X53" i="3"/>
  <c r="T13" i="4"/>
  <c r="S32" i="4"/>
  <c r="S34" i="4" s="1"/>
  <c r="W59" i="3"/>
  <c r="V72" i="3"/>
  <c r="V75" i="3"/>
  <c r="X16" i="3"/>
  <c r="X15" i="3"/>
  <c r="Y7" i="3"/>
  <c r="Z6" i="3"/>
  <c r="Z11" i="3" s="1"/>
  <c r="AB4" i="3"/>
  <c r="AA5" i="3"/>
  <c r="Y12" i="3"/>
  <c r="Z50" i="3" l="1"/>
  <c r="Z52" i="3"/>
  <c r="Z51" i="3"/>
  <c r="U29" i="4"/>
  <c r="U28" i="4"/>
  <c r="U22" i="4"/>
  <c r="U21" i="4"/>
  <c r="U30" i="4" s="1"/>
  <c r="U32" i="4" s="1"/>
  <c r="U34" i="4" s="1"/>
  <c r="R34" i="4"/>
  <c r="W75" i="3"/>
  <c r="V7" i="4"/>
  <c r="V13" i="4" s="1"/>
  <c r="V17" i="4" s="1"/>
  <c r="V78" i="3"/>
  <c r="V10" i="4" s="1"/>
  <c r="T17" i="4"/>
  <c r="AD20" i="4"/>
  <c r="X63" i="3"/>
  <c r="X65" i="3"/>
  <c r="X64" i="3"/>
  <c r="X76" i="3" s="1"/>
  <c r="X8" i="4" s="1"/>
  <c r="X14" i="4" s="1"/>
  <c r="Y53" i="3"/>
  <c r="W76" i="3"/>
  <c r="W8" i="4" s="1"/>
  <c r="W14" i="4" s="1"/>
  <c r="Y57" i="3"/>
  <c r="Y58" i="3"/>
  <c r="Y56" i="3"/>
  <c r="Y59" i="3" s="1"/>
  <c r="X70" i="3"/>
  <c r="X71" i="3"/>
  <c r="X69" i="3"/>
  <c r="X72" i="3" s="1"/>
  <c r="X59" i="3"/>
  <c r="T30" i="4"/>
  <c r="Z12" i="3"/>
  <c r="Y15" i="3"/>
  <c r="Y16" i="3"/>
  <c r="Z7" i="3"/>
  <c r="AA6" i="3"/>
  <c r="AA12" i="3" s="1"/>
  <c r="AC4" i="3"/>
  <c r="AB5" i="3"/>
  <c r="T32" i="4" l="1"/>
  <c r="Y65" i="3"/>
  <c r="Y77" i="3" s="1"/>
  <c r="Y9" i="4" s="1"/>
  <c r="Y15" i="4" s="1"/>
  <c r="Y63" i="3"/>
  <c r="Y66" i="3" s="1"/>
  <c r="Y64" i="3"/>
  <c r="V28" i="4"/>
  <c r="V21" i="4"/>
  <c r="V29" i="4"/>
  <c r="V22" i="4"/>
  <c r="Z53" i="3"/>
  <c r="Y69" i="3"/>
  <c r="Y70" i="3"/>
  <c r="Y71" i="3"/>
  <c r="AA57" i="3"/>
  <c r="AA56" i="3"/>
  <c r="AA59" i="3" s="1"/>
  <c r="AA58" i="3"/>
  <c r="Z58" i="3"/>
  <c r="Z57" i="3"/>
  <c r="Z56" i="3"/>
  <c r="Z59" i="3" s="1"/>
  <c r="X66" i="3"/>
  <c r="AE20" i="4"/>
  <c r="X75" i="3"/>
  <c r="W78" i="3"/>
  <c r="W10" i="4" s="1"/>
  <c r="W7" i="4"/>
  <c r="W13" i="4" s="1"/>
  <c r="W17" i="4" s="1"/>
  <c r="X77" i="3"/>
  <c r="X9" i="4" s="1"/>
  <c r="X15" i="4" s="1"/>
  <c r="Z15" i="3"/>
  <c r="Z16" i="3"/>
  <c r="AA11" i="3"/>
  <c r="AD4" i="3"/>
  <c r="AC5" i="3"/>
  <c r="AA7" i="3"/>
  <c r="AB6" i="3"/>
  <c r="AB11" i="3" s="1"/>
  <c r="Z65" i="3" l="1"/>
  <c r="Z77" i="3" s="1"/>
  <c r="Z9" i="4" s="1"/>
  <c r="Z15" i="4" s="1"/>
  <c r="Z63" i="3"/>
  <c r="Z66" i="3" s="1"/>
  <c r="Z64" i="3"/>
  <c r="W29" i="4"/>
  <c r="W28" i="4"/>
  <c r="W22" i="4"/>
  <c r="W21" i="4"/>
  <c r="X7" i="4"/>
  <c r="X13" i="4" s="1"/>
  <c r="X17" i="4" s="1"/>
  <c r="X78" i="3"/>
  <c r="X10" i="4" s="1"/>
  <c r="Y76" i="3"/>
  <c r="Y8" i="4" s="1"/>
  <c r="Y14" i="4" s="1"/>
  <c r="T34" i="4"/>
  <c r="AB50" i="3"/>
  <c r="AB52" i="3"/>
  <c r="AB51" i="3"/>
  <c r="AA51" i="3"/>
  <c r="AA50" i="3"/>
  <c r="AA52" i="3"/>
  <c r="Y75" i="3"/>
  <c r="Z69" i="3"/>
  <c r="Z72" i="3" s="1"/>
  <c r="Z70" i="3"/>
  <c r="Z71" i="3"/>
  <c r="AF20" i="4"/>
  <c r="Y72" i="3"/>
  <c r="V30" i="4"/>
  <c r="V32" i="4" s="1"/>
  <c r="V34" i="4" s="1"/>
  <c r="AA15" i="3"/>
  <c r="AA16" i="3"/>
  <c r="AE4" i="3"/>
  <c r="AD5" i="3"/>
  <c r="AB7" i="3"/>
  <c r="AB12" i="3"/>
  <c r="AC6" i="3"/>
  <c r="AC11" i="3" s="1"/>
  <c r="AA64" i="3" l="1"/>
  <c r="AA63" i="3"/>
  <c r="AA66" i="3" s="1"/>
  <c r="AA65" i="3"/>
  <c r="AB58" i="3"/>
  <c r="AB57" i="3"/>
  <c r="AB56" i="3"/>
  <c r="AB59" i="3" s="1"/>
  <c r="AA71" i="3"/>
  <c r="AA69" i="3"/>
  <c r="AA70" i="3"/>
  <c r="AA72" i="3" s="1"/>
  <c r="AA77" i="3"/>
  <c r="AA9" i="4" s="1"/>
  <c r="AA15" i="4" s="1"/>
  <c r="Z76" i="3"/>
  <c r="Z8" i="4" s="1"/>
  <c r="Z14" i="4" s="1"/>
  <c r="AA75" i="3"/>
  <c r="AA53" i="3"/>
  <c r="AB53" i="3"/>
  <c r="X29" i="4"/>
  <c r="X28" i="4"/>
  <c r="X21" i="4"/>
  <c r="X30" i="4" s="1"/>
  <c r="X32" i="4" s="1"/>
  <c r="X34" i="4" s="1"/>
  <c r="X22" i="4"/>
  <c r="AG20" i="4"/>
  <c r="AA76" i="3"/>
  <c r="AA8" i="4" s="1"/>
  <c r="AA14" i="4" s="1"/>
  <c r="AC50" i="3"/>
  <c r="AC52" i="3"/>
  <c r="AC51" i="3"/>
  <c r="Z75" i="3"/>
  <c r="Y7" i="4"/>
  <c r="Y13" i="4" s="1"/>
  <c r="Y17" i="4" s="1"/>
  <c r="Y78" i="3"/>
  <c r="Y10" i="4" s="1"/>
  <c r="W30" i="4"/>
  <c r="W32" i="4" s="1"/>
  <c r="W34" i="4" s="1"/>
  <c r="AB15" i="3"/>
  <c r="AB16" i="3"/>
  <c r="AC12" i="3"/>
  <c r="AD6" i="3"/>
  <c r="AD11" i="3" s="1"/>
  <c r="AC7" i="3"/>
  <c r="AF4" i="3"/>
  <c r="AE5" i="3"/>
  <c r="Z7" i="4" l="1"/>
  <c r="Z13" i="4" s="1"/>
  <c r="Z17" i="4" s="1"/>
  <c r="Z78" i="3"/>
  <c r="Z10" i="4" s="1"/>
  <c r="AC57" i="3"/>
  <c r="AC58" i="3"/>
  <c r="AC56" i="3"/>
  <c r="AC59" i="3" s="1"/>
  <c r="AH20" i="4"/>
  <c r="AD52" i="3"/>
  <c r="AD51" i="3"/>
  <c r="AD50" i="3"/>
  <c r="AB70" i="3"/>
  <c r="AB71" i="3"/>
  <c r="AB69" i="3"/>
  <c r="Y29" i="4"/>
  <c r="Y28" i="4"/>
  <c r="Y22" i="4"/>
  <c r="Y21" i="4"/>
  <c r="AB64" i="3"/>
  <c r="AB63" i="3"/>
  <c r="AB75" i="3" s="1"/>
  <c r="AB65" i="3"/>
  <c r="AC53" i="3"/>
  <c r="AA7" i="4"/>
  <c r="AA13" i="4" s="1"/>
  <c r="AA17" i="4" s="1"/>
  <c r="AA78" i="3"/>
  <c r="AA10" i="4" s="1"/>
  <c r="AC16" i="3"/>
  <c r="AE6" i="3"/>
  <c r="AE11" i="3" s="1"/>
  <c r="AC15" i="3"/>
  <c r="AG4" i="3"/>
  <c r="AF5" i="3"/>
  <c r="AD12" i="3"/>
  <c r="AD7" i="3"/>
  <c r="AA29" i="4" l="1"/>
  <c r="AA28" i="4"/>
  <c r="AA22" i="4"/>
  <c r="AA21" i="4"/>
  <c r="AB66" i="3"/>
  <c r="AB77" i="3"/>
  <c r="AB9" i="4" s="1"/>
  <c r="AB15" i="4" s="1"/>
  <c r="Y30" i="4"/>
  <c r="Y32" i="4" s="1"/>
  <c r="Y34" i="4" s="1"/>
  <c r="AD53" i="3"/>
  <c r="AC69" i="3"/>
  <c r="AC70" i="3"/>
  <c r="AC71" i="3"/>
  <c r="AC64" i="3"/>
  <c r="AC76" i="3" s="1"/>
  <c r="AC8" i="4" s="1"/>
  <c r="AC63" i="3"/>
  <c r="AC65" i="3"/>
  <c r="AC77" i="3" s="1"/>
  <c r="AC9" i="4" s="1"/>
  <c r="AB7" i="4"/>
  <c r="AB13" i="4" s="1"/>
  <c r="AB72" i="3"/>
  <c r="AI20" i="4"/>
  <c r="AE12" i="3"/>
  <c r="AD58" i="3"/>
  <c r="AD57" i="3"/>
  <c r="AD56" i="3"/>
  <c r="AE52" i="3"/>
  <c r="AE51" i="3"/>
  <c r="AE50" i="3"/>
  <c r="AB76" i="3"/>
  <c r="AB8" i="4" s="1"/>
  <c r="AB14" i="4" s="1"/>
  <c r="Z28" i="4"/>
  <c r="Z21" i="4"/>
  <c r="Z29" i="4"/>
  <c r="Z22" i="4"/>
  <c r="AD16" i="3"/>
  <c r="AE7" i="3"/>
  <c r="AD15" i="3"/>
  <c r="AF6" i="3"/>
  <c r="AF11" i="3" s="1"/>
  <c r="AH4" i="3"/>
  <c r="AG5" i="3"/>
  <c r="AC14" i="4" l="1"/>
  <c r="AF51" i="3"/>
  <c r="AF50" i="3"/>
  <c r="AF52" i="3"/>
  <c r="AE15" i="3"/>
  <c r="AD63" i="3"/>
  <c r="AD64" i="3"/>
  <c r="AD76" i="3" s="1"/>
  <c r="AD8" i="4" s="1"/>
  <c r="AD14" i="4" s="1"/>
  <c r="AD65" i="3"/>
  <c r="AD77" i="3" s="1"/>
  <c r="AD9" i="4" s="1"/>
  <c r="AE57" i="3"/>
  <c r="AE56" i="3"/>
  <c r="AE59" i="3" s="1"/>
  <c r="AE58" i="3"/>
  <c r="AC66" i="3"/>
  <c r="AC75" i="3"/>
  <c r="F8" i="7"/>
  <c r="F18" i="7"/>
  <c r="F17" i="7"/>
  <c r="F7" i="7"/>
  <c r="AD59" i="3"/>
  <c r="AB78" i="3"/>
  <c r="AB10" i="4" s="1"/>
  <c r="AD69" i="3"/>
  <c r="AD70" i="3"/>
  <c r="AD71" i="3"/>
  <c r="Z30" i="4"/>
  <c r="Z32" i="4" s="1"/>
  <c r="Z34" i="4" s="1"/>
  <c r="AE53" i="3"/>
  <c r="AJ20" i="4"/>
  <c r="AB17" i="4"/>
  <c r="F6" i="7"/>
  <c r="F16" i="7"/>
  <c r="AC72" i="3"/>
  <c r="AD75" i="3"/>
  <c r="AA30" i="4"/>
  <c r="AA32" i="4" s="1"/>
  <c r="AA34" i="4" s="1"/>
  <c r="AC15" i="4"/>
  <c r="AE16" i="3"/>
  <c r="AF7" i="3"/>
  <c r="AF12" i="3"/>
  <c r="AG6" i="3"/>
  <c r="AG11" i="3" s="1"/>
  <c r="AI4" i="3"/>
  <c r="AH5" i="3"/>
  <c r="AD15" i="4" l="1"/>
  <c r="AF58" i="3"/>
  <c r="AF56" i="3"/>
  <c r="AF57" i="3"/>
  <c r="AE71" i="3"/>
  <c r="AE69" i="3"/>
  <c r="AE70" i="3"/>
  <c r="AE72" i="3" s="1"/>
  <c r="F9" i="7"/>
  <c r="AC78" i="3"/>
  <c r="AC10" i="4" s="1"/>
  <c r="AC7" i="4"/>
  <c r="AD66" i="3"/>
  <c r="AG52" i="3"/>
  <c r="AG51" i="3"/>
  <c r="AG50" i="3"/>
  <c r="AD7" i="4"/>
  <c r="AD13" i="4" s="1"/>
  <c r="AD17" i="4" s="1"/>
  <c r="AD78" i="3"/>
  <c r="AD10" i="4" s="1"/>
  <c r="AD72" i="3"/>
  <c r="AE63" i="3"/>
  <c r="AE66" i="3" s="1"/>
  <c r="AE65" i="3"/>
  <c r="AE77" i="3" s="1"/>
  <c r="AE9" i="4" s="1"/>
  <c r="AE64" i="3"/>
  <c r="AE76" i="3" s="1"/>
  <c r="AE8" i="4" s="1"/>
  <c r="AE14" i="4" s="1"/>
  <c r="AB29" i="4"/>
  <c r="AB28" i="4"/>
  <c r="AB21" i="4"/>
  <c r="AB22" i="4"/>
  <c r="AK20" i="4"/>
  <c r="AF53" i="3"/>
  <c r="AF16" i="3"/>
  <c r="AF15" i="3"/>
  <c r="AG12" i="3"/>
  <c r="AG7" i="3"/>
  <c r="AH6" i="3"/>
  <c r="AH11" i="3" s="1"/>
  <c r="AJ4" i="3"/>
  <c r="AI5" i="3"/>
  <c r="AE15" i="4" l="1"/>
  <c r="AE75" i="3"/>
  <c r="AC13" i="4"/>
  <c r="AG57" i="3"/>
  <c r="AG58" i="3"/>
  <c r="AG56" i="3"/>
  <c r="AG59" i="3" s="1"/>
  <c r="AG15" i="3"/>
  <c r="AF64" i="3"/>
  <c r="AF63" i="3"/>
  <c r="AF65" i="3"/>
  <c r="AD28" i="4"/>
  <c r="AD21" i="4"/>
  <c r="AD29" i="4"/>
  <c r="AD22" i="4"/>
  <c r="AC29" i="4"/>
  <c r="AC28" i="4"/>
  <c r="AC22" i="4"/>
  <c r="AC21" i="4"/>
  <c r="AH52" i="3"/>
  <c r="AH50" i="3"/>
  <c r="AH51" i="3"/>
  <c r="AF70" i="3"/>
  <c r="AF71" i="3"/>
  <c r="AF69" i="3"/>
  <c r="AL20" i="4"/>
  <c r="AB30" i="4"/>
  <c r="AG53" i="3"/>
  <c r="AF59" i="3"/>
  <c r="AG16" i="3"/>
  <c r="AH7" i="3"/>
  <c r="AK4" i="3"/>
  <c r="AJ5" i="3"/>
  <c r="AH12" i="3"/>
  <c r="AI6" i="3"/>
  <c r="AI11" i="3" s="1"/>
  <c r="AI52" i="3" l="1"/>
  <c r="AI51" i="3"/>
  <c r="AI50" i="3"/>
  <c r="AH15" i="3"/>
  <c r="AF72" i="3"/>
  <c r="AC30" i="4"/>
  <c r="AF66" i="3"/>
  <c r="AF75" i="3"/>
  <c r="AM20" i="4"/>
  <c r="AH58" i="3"/>
  <c r="AH57" i="3"/>
  <c r="AH56" i="3"/>
  <c r="AH59" i="3" s="1"/>
  <c r="AG69" i="3"/>
  <c r="AG70" i="3"/>
  <c r="AG71" i="3"/>
  <c r="F14" i="7"/>
  <c r="F19" i="7" s="1"/>
  <c r="F21" i="7" s="1"/>
  <c r="F22" i="7" s="1"/>
  <c r="F8" i="10" s="1"/>
  <c r="AB32" i="4"/>
  <c r="AB34" i="4" s="1"/>
  <c r="AH53" i="3"/>
  <c r="AD30" i="4"/>
  <c r="AD32" i="4" s="1"/>
  <c r="AD34" i="4" s="1"/>
  <c r="AF76" i="3"/>
  <c r="AF8" i="4" s="1"/>
  <c r="AE78" i="3"/>
  <c r="AE10" i="4" s="1"/>
  <c r="AE7" i="4"/>
  <c r="AG64" i="3"/>
  <c r="AG76" i="3" s="1"/>
  <c r="AG8" i="4" s="1"/>
  <c r="AG14" i="4" s="1"/>
  <c r="AG63" i="3"/>
  <c r="AG75" i="3" s="1"/>
  <c r="AG65" i="3"/>
  <c r="AG77" i="3" s="1"/>
  <c r="AG9" i="4" s="1"/>
  <c r="AG15" i="4" s="1"/>
  <c r="AF77" i="3"/>
  <c r="AF9" i="4" s="1"/>
  <c r="AF15" i="4" s="1"/>
  <c r="AC17" i="4"/>
  <c r="AH16" i="3"/>
  <c r="AI7" i="3"/>
  <c r="AI12" i="3"/>
  <c r="AJ6" i="3"/>
  <c r="AJ11" i="3" s="1"/>
  <c r="AL4" i="3"/>
  <c r="AK5" i="3"/>
  <c r="AG7" i="4" l="1"/>
  <c r="AG13" i="4" s="1"/>
  <c r="AG17" i="4" s="1"/>
  <c r="AG78" i="3"/>
  <c r="AG10" i="4" s="1"/>
  <c r="AN20" i="4"/>
  <c r="AH69" i="3"/>
  <c r="AH72" i="3" s="1"/>
  <c r="AH70" i="3"/>
  <c r="AH71" i="3"/>
  <c r="AF14" i="4"/>
  <c r="AJ50" i="3"/>
  <c r="AJ52" i="3"/>
  <c r="AJ51" i="3"/>
  <c r="AE13" i="4"/>
  <c r="AI57" i="3"/>
  <c r="AI56" i="3"/>
  <c r="AI59" i="3" s="1"/>
  <c r="AI58" i="3"/>
  <c r="AH64" i="3"/>
  <c r="AH76" i="3" s="1"/>
  <c r="AH8" i="4" s="1"/>
  <c r="AH14" i="4" s="1"/>
  <c r="AH65" i="3"/>
  <c r="AH77" i="3" s="1"/>
  <c r="AH9" i="4" s="1"/>
  <c r="AH15" i="4" s="1"/>
  <c r="AH63" i="3"/>
  <c r="AH66" i="3" s="1"/>
  <c r="AI15" i="3"/>
  <c r="AC32" i="4"/>
  <c r="AG66" i="3"/>
  <c r="AE29" i="4"/>
  <c r="AE28" i="4"/>
  <c r="AE22" i="4"/>
  <c r="AE21" i="4"/>
  <c r="AG72" i="3"/>
  <c r="AF7" i="4"/>
  <c r="AF13" i="4" s="1"/>
  <c r="AF17" i="4" s="1"/>
  <c r="AF78" i="3"/>
  <c r="AF10" i="4" s="1"/>
  <c r="AI53" i="3"/>
  <c r="AM4" i="3"/>
  <c r="AL5" i="3"/>
  <c r="AI16" i="3"/>
  <c r="AJ7" i="3"/>
  <c r="AJ15" i="3" s="1"/>
  <c r="AK6" i="3"/>
  <c r="AK11" i="3" s="1"/>
  <c r="AJ12" i="3"/>
  <c r="AI71" i="3" l="1"/>
  <c r="AI69" i="3"/>
  <c r="AI70" i="3"/>
  <c r="AI72" i="3" s="1"/>
  <c r="AK50" i="3"/>
  <c r="AK52" i="3"/>
  <c r="AK51" i="3"/>
  <c r="AJ65" i="3"/>
  <c r="AJ66" i="3" s="1"/>
  <c r="AJ64" i="3"/>
  <c r="AJ63" i="3"/>
  <c r="AC34" i="4"/>
  <c r="E20" i="8"/>
  <c r="F20" i="8"/>
  <c r="G20" i="8"/>
  <c r="AJ53" i="3"/>
  <c r="AH75" i="3"/>
  <c r="AJ58" i="3"/>
  <c r="AJ57" i="3"/>
  <c r="AJ56" i="3"/>
  <c r="AF29" i="4"/>
  <c r="AF28" i="4"/>
  <c r="AF21" i="4"/>
  <c r="AF22" i="4"/>
  <c r="AE30" i="4"/>
  <c r="AI64" i="3"/>
  <c r="AI76" i="3" s="1"/>
  <c r="AI8" i="4" s="1"/>
  <c r="AI14" i="4" s="1"/>
  <c r="AI65" i="3"/>
  <c r="AI77" i="3" s="1"/>
  <c r="AI9" i="4" s="1"/>
  <c r="AI15" i="4" s="1"/>
  <c r="AI63" i="3"/>
  <c r="AE17" i="4"/>
  <c r="AG29" i="4"/>
  <c r="AG28" i="4"/>
  <c r="AG22" i="4"/>
  <c r="AG21" i="4"/>
  <c r="AK12" i="3"/>
  <c r="AJ16" i="3"/>
  <c r="AK7" i="3"/>
  <c r="AK15" i="3" s="1"/>
  <c r="AL6" i="3"/>
  <c r="AN4" i="3"/>
  <c r="AN5" i="3" s="1"/>
  <c r="AM5" i="3"/>
  <c r="AJ70" i="3" l="1"/>
  <c r="AJ76" i="3" s="1"/>
  <c r="AJ8" i="4" s="1"/>
  <c r="AJ14" i="4" s="1"/>
  <c r="AJ71" i="3"/>
  <c r="AJ77" i="3" s="1"/>
  <c r="AJ9" i="4" s="1"/>
  <c r="AJ15" i="4" s="1"/>
  <c r="AJ69" i="3"/>
  <c r="AF30" i="4"/>
  <c r="AF32" i="4" s="1"/>
  <c r="AF34" i="4" s="1"/>
  <c r="AJ59" i="3"/>
  <c r="AK57" i="3"/>
  <c r="AK58" i="3"/>
  <c r="AK56" i="3"/>
  <c r="AE32" i="4"/>
  <c r="AI66" i="3"/>
  <c r="AI75" i="3"/>
  <c r="AK53" i="3"/>
  <c r="AK65" i="3"/>
  <c r="AK64" i="3"/>
  <c r="AK63" i="3"/>
  <c r="AK66" i="3" s="1"/>
  <c r="AG30" i="4"/>
  <c r="AG32" i="4" s="1"/>
  <c r="AG34" i="4" s="1"/>
  <c r="AH7" i="4"/>
  <c r="AH13" i="4" s="1"/>
  <c r="AH78" i="3"/>
  <c r="AH10" i="4" s="1"/>
  <c r="AL12" i="3"/>
  <c r="AK16" i="3"/>
  <c r="AL11" i="3"/>
  <c r="AM6" i="3"/>
  <c r="AL7" i="3"/>
  <c r="AN6" i="3"/>
  <c r="AN7" i="3" s="1"/>
  <c r="AK76" i="3" l="1"/>
  <c r="AK8" i="4" s="1"/>
  <c r="AK14" i="4" s="1"/>
  <c r="AL52" i="3"/>
  <c r="AL51" i="3"/>
  <c r="AL50" i="3"/>
  <c r="AH17" i="4"/>
  <c r="AI78" i="3"/>
  <c r="AI10" i="4" s="1"/>
  <c r="AI7" i="4"/>
  <c r="AI13" i="4" s="1"/>
  <c r="AI17" i="4" s="1"/>
  <c r="AK59" i="3"/>
  <c r="AK69" i="3"/>
  <c r="AK72" i="3" s="1"/>
  <c r="AK70" i="3"/>
  <c r="AK71" i="3"/>
  <c r="AK77" i="3" s="1"/>
  <c r="AK9" i="4" s="1"/>
  <c r="AK15" i="4" s="1"/>
  <c r="AL58" i="3"/>
  <c r="AL57" i="3"/>
  <c r="AL56" i="3"/>
  <c r="AH28" i="4"/>
  <c r="AH21" i="4"/>
  <c r="AH29" i="4"/>
  <c r="AH22" i="4"/>
  <c r="AK75" i="3"/>
  <c r="AE34" i="4"/>
  <c r="AJ72" i="3"/>
  <c r="AJ75" i="3"/>
  <c r="AM12" i="3"/>
  <c r="AM11" i="3"/>
  <c r="AM7" i="3"/>
  <c r="AL16" i="3"/>
  <c r="AL15" i="3"/>
  <c r="AL69" i="3" l="1"/>
  <c r="AL70" i="3"/>
  <c r="AL71" i="3"/>
  <c r="AJ7" i="4"/>
  <c r="AJ13" i="4" s="1"/>
  <c r="AJ17" i="4" s="1"/>
  <c r="AJ78" i="3"/>
  <c r="AJ10" i="4" s="1"/>
  <c r="AL64" i="3"/>
  <c r="AL65" i="3"/>
  <c r="AL63" i="3"/>
  <c r="AL66" i="3" s="1"/>
  <c r="AN12" i="3"/>
  <c r="AM57" i="3"/>
  <c r="AM56" i="3"/>
  <c r="AM58" i="3"/>
  <c r="AL59" i="3"/>
  <c r="AI29" i="4"/>
  <c r="AI28" i="4"/>
  <c r="AI22" i="4"/>
  <c r="AI21" i="4"/>
  <c r="AL76" i="3"/>
  <c r="AL8" i="4" s="1"/>
  <c r="AL14" i="4" s="1"/>
  <c r="AL77" i="3"/>
  <c r="AL9" i="4" s="1"/>
  <c r="AL15" i="4" s="1"/>
  <c r="AK78" i="3"/>
  <c r="AK10" i="4" s="1"/>
  <c r="AK7" i="4"/>
  <c r="AK13" i="4" s="1"/>
  <c r="AK17" i="4" s="1"/>
  <c r="AH30" i="4"/>
  <c r="AH32" i="4" s="1"/>
  <c r="AN11" i="3"/>
  <c r="AM51" i="3"/>
  <c r="AM50" i="3"/>
  <c r="AM52" i="3"/>
  <c r="AL75" i="3"/>
  <c r="AL53" i="3"/>
  <c r="AM15" i="3"/>
  <c r="AM16" i="3"/>
  <c r="AN16" i="3" l="1"/>
  <c r="AM71" i="3"/>
  <c r="AM69" i="3"/>
  <c r="AM70" i="3"/>
  <c r="AM72" i="3" s="1"/>
  <c r="AN15" i="3"/>
  <c r="AM63" i="3"/>
  <c r="AM64" i="3"/>
  <c r="AM65" i="3"/>
  <c r="AM75" i="3"/>
  <c r="AM53" i="3"/>
  <c r="AH34" i="4"/>
  <c r="AM59" i="3"/>
  <c r="AM77" i="3"/>
  <c r="AM9" i="4" s="1"/>
  <c r="AM15" i="4" s="1"/>
  <c r="AM76" i="3"/>
  <c r="AM8" i="4" s="1"/>
  <c r="AM14" i="4" s="1"/>
  <c r="AL7" i="4"/>
  <c r="AL13" i="4" s="1"/>
  <c r="AL17" i="4" s="1"/>
  <c r="AL78" i="3"/>
  <c r="AL10" i="4" s="1"/>
  <c r="AN51" i="3"/>
  <c r="AN50" i="3"/>
  <c r="AN52" i="3"/>
  <c r="AI30" i="4"/>
  <c r="AI32" i="4" s="1"/>
  <c r="AI34" i="4" s="1"/>
  <c r="AK29" i="4"/>
  <c r="AK28" i="4"/>
  <c r="AK22" i="4"/>
  <c r="AK21" i="4"/>
  <c r="AN58" i="3"/>
  <c r="AN56" i="3"/>
  <c r="AN59" i="3" s="1"/>
  <c r="AN57" i="3"/>
  <c r="AJ29" i="4"/>
  <c r="AJ28" i="4"/>
  <c r="AJ21" i="4"/>
  <c r="AJ30" i="4" s="1"/>
  <c r="AJ32" i="4" s="1"/>
  <c r="AJ34" i="4" s="1"/>
  <c r="AJ22" i="4"/>
  <c r="AL72" i="3"/>
  <c r="AN53" i="3" l="1"/>
  <c r="AN77" i="3"/>
  <c r="AN9" i="4" s="1"/>
  <c r="AK30" i="4"/>
  <c r="AK32" i="4" s="1"/>
  <c r="AK34" i="4" s="1"/>
  <c r="AM66" i="3"/>
  <c r="AL28" i="4"/>
  <c r="AL21" i="4"/>
  <c r="AL30" i="4" s="1"/>
  <c r="AL32" i="4" s="1"/>
  <c r="AL34" i="4" s="1"/>
  <c r="AL29" i="4"/>
  <c r="AL22" i="4"/>
  <c r="AM7" i="4"/>
  <c r="AM13" i="4" s="1"/>
  <c r="AM17" i="4" s="1"/>
  <c r="AM78" i="3"/>
  <c r="AM10" i="4" s="1"/>
  <c r="AN65" i="3"/>
  <c r="AN63" i="3"/>
  <c r="AN64" i="3"/>
  <c r="AN76" i="3" s="1"/>
  <c r="AN8" i="4" s="1"/>
  <c r="AN70" i="3"/>
  <c r="AN71" i="3"/>
  <c r="AN69" i="3"/>
  <c r="AN72" i="3" s="1"/>
  <c r="AN14" i="4" l="1"/>
  <c r="E8" i="8"/>
  <c r="F8" i="8"/>
  <c r="G8" i="8"/>
  <c r="AN15" i="4"/>
  <c r="E9" i="8"/>
  <c r="F9" i="8"/>
  <c r="G9" i="8"/>
  <c r="AN66" i="3"/>
  <c r="AM29" i="4"/>
  <c r="AM28" i="4"/>
  <c r="AM22" i="4"/>
  <c r="AM21" i="4"/>
  <c r="AN75" i="3"/>
  <c r="AN7" i="4" l="1"/>
  <c r="AN78" i="3"/>
  <c r="AN10" i="4" s="1"/>
  <c r="AM30" i="4"/>
  <c r="AM32" i="4" s="1"/>
  <c r="AM34" i="4" s="1"/>
  <c r="G18" i="7"/>
  <c r="G8" i="7"/>
  <c r="E15" i="8"/>
  <c r="F15" i="8"/>
  <c r="G15" i="8"/>
  <c r="G17" i="7"/>
  <c r="G7" i="7"/>
  <c r="E14" i="8"/>
  <c r="F14" i="8"/>
  <c r="G14" i="8"/>
  <c r="AN29" i="4" l="1"/>
  <c r="AN28" i="4"/>
  <c r="AN21" i="4"/>
  <c r="AN22" i="4"/>
  <c r="E10" i="8"/>
  <c r="F10" i="8"/>
  <c r="G10" i="8"/>
  <c r="AN13" i="4"/>
  <c r="E7" i="8"/>
  <c r="F7" i="8"/>
  <c r="G7" i="8"/>
  <c r="E21" i="8" l="1"/>
  <c r="F21" i="8"/>
  <c r="AN30" i="4"/>
  <c r="G21" i="8"/>
  <c r="E28" i="8"/>
  <c r="F28" i="8"/>
  <c r="G28" i="8"/>
  <c r="E29" i="8"/>
  <c r="F29" i="8"/>
  <c r="G29" i="8"/>
  <c r="AN17" i="4"/>
  <c r="G6" i="7"/>
  <c r="G9" i="7" s="1"/>
  <c r="G16" i="7"/>
  <c r="E13" i="8"/>
  <c r="F13" i="8"/>
  <c r="G13" i="8"/>
  <c r="E22" i="8"/>
  <c r="F22" i="8"/>
  <c r="G22" i="8"/>
  <c r="E17" i="8" l="1"/>
  <c r="F17" i="8"/>
  <c r="G17" i="8"/>
  <c r="AN32" i="4"/>
  <c r="G14" i="7"/>
  <c r="G19" i="7" s="1"/>
  <c r="G21" i="7" s="1"/>
  <c r="G22" i="7" s="1"/>
  <c r="G8" i="10" s="1"/>
  <c r="E30" i="8"/>
  <c r="F30" i="8"/>
  <c r="G30" i="8"/>
  <c r="AN34" i="4" l="1"/>
  <c r="E32" i="8"/>
  <c r="E35" i="8" s="1"/>
  <c r="E38" i="8" s="1"/>
  <c r="E40" i="8" s="1"/>
  <c r="F32" i="8"/>
  <c r="F35" i="8" s="1"/>
  <c r="F38" i="8" s="1"/>
  <c r="F39" i="8" s="1"/>
  <c r="F40" i="8" s="1"/>
  <c r="G32" i="8"/>
  <c r="G35" i="8" s="1"/>
  <c r="G38" i="8" s="1"/>
  <c r="G39" i="8" s="1"/>
  <c r="G40" i="8" s="1"/>
  <c r="F42" i="8" l="1"/>
  <c r="F5" i="10"/>
  <c r="F7" i="10" s="1"/>
  <c r="F10" i="10" s="1"/>
  <c r="F21" i="10" s="1"/>
  <c r="E6" i="9"/>
  <c r="E5" i="10"/>
  <c r="E7" i="10" s="1"/>
  <c r="E10" i="10" s="1"/>
  <c r="E21" i="10" s="1"/>
  <c r="E23" i="10" s="1"/>
  <c r="E42" i="8"/>
  <c r="G42" i="8"/>
  <c r="G5" i="10"/>
  <c r="G7" i="10" s="1"/>
  <c r="G10" i="10" s="1"/>
  <c r="G21" i="10" s="1"/>
  <c r="E35" i="9" l="1"/>
  <c r="E37" i="9" s="1"/>
  <c r="F22" i="10"/>
  <c r="F23" i="10" s="1"/>
  <c r="F6" i="9"/>
  <c r="E8" i="9"/>
  <c r="E18" i="9" s="1"/>
  <c r="G6" i="9" l="1"/>
  <c r="G8" i="9" s="1"/>
  <c r="G18" i="9" s="1"/>
  <c r="F8" i="9"/>
  <c r="F18" i="9" s="1"/>
  <c r="G22" i="10"/>
  <c r="G23" i="10" s="1"/>
  <c r="G35" i="9" s="1"/>
  <c r="G37" i="9" s="1"/>
  <c r="F35" i="9"/>
  <c r="F37" i="9" s="1"/>
</calcChain>
</file>

<file path=xl/sharedStrings.xml><?xml version="1.0" encoding="utf-8"?>
<sst xmlns="http://schemas.openxmlformats.org/spreadsheetml/2006/main" count="417" uniqueCount="227">
  <si>
    <t>Period of Construction of Restaurant - 3 Months</t>
  </si>
  <si>
    <t>Start of Construction</t>
  </si>
  <si>
    <t>Construction Period</t>
  </si>
  <si>
    <t>3 Months</t>
  </si>
  <si>
    <t>Date of Operations</t>
  </si>
  <si>
    <t>Revenue</t>
  </si>
  <si>
    <t>Particulars</t>
  </si>
  <si>
    <t>Weekdays</t>
  </si>
  <si>
    <t>Weekends</t>
  </si>
  <si>
    <t>Lunch</t>
  </si>
  <si>
    <t>Dinner</t>
  </si>
  <si>
    <t>APC</t>
  </si>
  <si>
    <t>Alcoholic Beverage</t>
  </si>
  <si>
    <t>Non-Alcoholic Beverage</t>
  </si>
  <si>
    <t>Food</t>
  </si>
  <si>
    <t>Y-O-Y Growth price rate</t>
  </si>
  <si>
    <t>Occupancy</t>
  </si>
  <si>
    <t>Number of Covers available</t>
  </si>
  <si>
    <t>Number of Rounds available</t>
  </si>
  <si>
    <t>Number of Covers occupied/Round</t>
  </si>
  <si>
    <t>MoM growth</t>
  </si>
  <si>
    <t>Maximum Occupancy/Round</t>
  </si>
  <si>
    <t>Direct Expenses</t>
  </si>
  <si>
    <t>Alcoholic Beverage cost (% of revenue)</t>
  </si>
  <si>
    <t>Non-Alcoholic Beverage cost (% of revenue)</t>
  </si>
  <si>
    <t>Food (% of revenue)</t>
  </si>
  <si>
    <t>Salary</t>
  </si>
  <si>
    <t>Members of Team</t>
  </si>
  <si>
    <t>Number of Employees</t>
  </si>
  <si>
    <t>Salary/M</t>
  </si>
  <si>
    <t>Receptionist</t>
  </si>
  <si>
    <t>Restrauants Manager</t>
  </si>
  <si>
    <t>Waiters</t>
  </si>
  <si>
    <t>Head Chef</t>
  </si>
  <si>
    <t>Chefs</t>
  </si>
  <si>
    <t>Assistant Chefs</t>
  </si>
  <si>
    <t>Valet Parking</t>
  </si>
  <si>
    <t>Clearners</t>
  </si>
  <si>
    <t>Bartenders</t>
  </si>
  <si>
    <t>Total</t>
  </si>
  <si>
    <t>Staff Salary will increase Y-o-Y basis</t>
  </si>
  <si>
    <t>Indirect Expenses</t>
  </si>
  <si>
    <t>HR Manager</t>
  </si>
  <si>
    <t>Assistant Manager</t>
  </si>
  <si>
    <t>Security</t>
  </si>
  <si>
    <t>Purchase Manager</t>
  </si>
  <si>
    <t>Accountant</t>
  </si>
  <si>
    <t>Others</t>
  </si>
  <si>
    <t>Royalty to brand (% of Revenue)</t>
  </si>
  <si>
    <t>Rent as per contract (% of Revenue)</t>
  </si>
  <si>
    <t>Water cost (per month)</t>
  </si>
  <si>
    <t>Maintenance (per month)</t>
  </si>
  <si>
    <t>Marketing Cost (per month)</t>
  </si>
  <si>
    <t>Electricity (BAsed on Area Rs/sq.ft.)</t>
  </si>
  <si>
    <t>Phone and Internet (per month)</t>
  </si>
  <si>
    <t>Housekeeping and consumables (% of Revenue)</t>
  </si>
  <si>
    <t>Payment settlement charges (% of Revenue)</t>
  </si>
  <si>
    <t>Number of Tables occupied opting for card payment</t>
  </si>
  <si>
    <t>Indirect expenses will increase Y-o-Y basis</t>
  </si>
  <si>
    <t>Area Specifications</t>
  </si>
  <si>
    <t>Carpet Area required (sq. ft.)</t>
  </si>
  <si>
    <t>Conversion Rate</t>
  </si>
  <si>
    <t>Super builtup area to be rented</t>
  </si>
  <si>
    <t>Serving Area (% of carpet area)</t>
  </si>
  <si>
    <t>Serving Area</t>
  </si>
  <si>
    <t>Kitchen Area</t>
  </si>
  <si>
    <t>Area per cover(sq. ft.)</t>
  </si>
  <si>
    <t>Covers</t>
  </si>
  <si>
    <t>Sitting per table</t>
  </si>
  <si>
    <t>Number of tables</t>
  </si>
  <si>
    <t>Capital Expenditure</t>
  </si>
  <si>
    <t>Equipments</t>
  </si>
  <si>
    <t>Rate per Sq. ft.</t>
  </si>
  <si>
    <t>Kitchen Equipments and Cutlery</t>
  </si>
  <si>
    <t>Furniture and Fixtures</t>
  </si>
  <si>
    <t>Restraurants Decore</t>
  </si>
  <si>
    <t>Rent Deposits</t>
  </si>
  <si>
    <t>Working Capital</t>
  </si>
  <si>
    <t>Days</t>
  </si>
  <si>
    <t>Initial Working capital introduced</t>
  </si>
  <si>
    <t>Inventory</t>
  </si>
  <si>
    <t>Creditor for Raw material</t>
  </si>
  <si>
    <t>Creditor for Expenses</t>
  </si>
  <si>
    <t>Depreciation</t>
  </si>
  <si>
    <t>Furniture and Fixtures and Restaurant decor</t>
  </si>
  <si>
    <t>Capital Structure</t>
  </si>
  <si>
    <t xml:space="preserve">Equity </t>
  </si>
  <si>
    <t>Debt</t>
  </si>
  <si>
    <t>Cash Credit limit will be availed if required</t>
  </si>
  <si>
    <t>Rate of interest on CC limit</t>
  </si>
  <si>
    <t>Tax Rate</t>
  </si>
  <si>
    <t>Currency in INR</t>
  </si>
  <si>
    <t>Model In:</t>
  </si>
  <si>
    <t>Crores</t>
  </si>
  <si>
    <t>Ones</t>
  </si>
  <si>
    <t>Tens</t>
  </si>
  <si>
    <t>Hundreds</t>
  </si>
  <si>
    <t>Thousands</t>
  </si>
  <si>
    <t>Lakhs</t>
  </si>
  <si>
    <t>Millions</t>
  </si>
  <si>
    <t>Red = Static</t>
  </si>
  <si>
    <t>Green = Dynamic</t>
  </si>
  <si>
    <t>All Final Values in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</si>
  <si>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</si>
  <si>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</si>
  <si>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</si>
  <si>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</si>
  <si>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</si>
  <si>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</si>
  <si>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</si>
  <si>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</si>
  <si>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</si>
  <si>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</si>
  <si>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</si>
  <si>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</si>
  <si>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</si>
  <si>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</si>
  <si>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</si>
  <si>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</si>
  <si>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</si>
  <si>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</si>
  <si>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</si>
  <si>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</si>
  <si>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</si>
  <si>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</si>
  <si>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</si>
  <si>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</si>
  <si>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</si>
  <si>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</si>
  <si>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</si>
  <si>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</si>
  <si>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</si>
  <si>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</si>
  <si>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</si>
  <si>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</si>
  <si>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</si>
  <si>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</si>
  <si>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</si>
  <si>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</si>
  <si>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0</t>
  </si>
  <si>
    <t>Year 1</t>
  </si>
  <si>
    <t>Year 2</t>
  </si>
  <si>
    <t>Year 3</t>
  </si>
  <si>
    <t>Operating Days</t>
  </si>
  <si>
    <t>No of weekdays in a month</t>
  </si>
  <si>
    <t>No of weekends in a month</t>
  </si>
  <si>
    <t>No of Guests per Day</t>
  </si>
  <si>
    <r>
      <t>APC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(Avg per customer)</t>
    </r>
  </si>
  <si>
    <t>Revenue per month</t>
  </si>
  <si>
    <t>Total Revenue by month</t>
  </si>
  <si>
    <t>End of Sheet</t>
  </si>
  <si>
    <t>Less: Direct Expenses</t>
  </si>
  <si>
    <t>Staff Salary</t>
  </si>
  <si>
    <t>Total Direct Expenses</t>
  </si>
  <si>
    <t>Other Staff Salary</t>
  </si>
  <si>
    <t>Less: Indirect Expenses</t>
  </si>
  <si>
    <t>Total Indirect Expenses</t>
  </si>
  <si>
    <t>EBITDA</t>
  </si>
  <si>
    <t>EBITDA Margin %</t>
  </si>
  <si>
    <t>Refrgeration Equipments</t>
  </si>
  <si>
    <t>Fixed Assets</t>
  </si>
  <si>
    <t>Add: Working Capital</t>
  </si>
  <si>
    <t>Total Funds Required</t>
  </si>
  <si>
    <t>Sources of Funds</t>
  </si>
  <si>
    <t>Equity Capital</t>
  </si>
  <si>
    <t>Total Funds Contributed</t>
  </si>
  <si>
    <t xml:space="preserve"> </t>
  </si>
  <si>
    <t>Opening Balance</t>
  </si>
  <si>
    <t>Add: Purchases</t>
  </si>
  <si>
    <t>Less: Sales</t>
  </si>
  <si>
    <t>Less: Depreciation</t>
  </si>
  <si>
    <t>Closing Balance</t>
  </si>
  <si>
    <t>Current Assets</t>
  </si>
  <si>
    <t>Current Liabilities</t>
  </si>
  <si>
    <t>Alcoholic Beverages</t>
  </si>
  <si>
    <t>Non - Alcoholic Beverages</t>
  </si>
  <si>
    <t>Creditors for Expenses</t>
  </si>
  <si>
    <t>Creditors for raw materials</t>
  </si>
  <si>
    <t>.</t>
  </si>
  <si>
    <t>Changes in Working Capital</t>
  </si>
  <si>
    <t>EBIT</t>
  </si>
  <si>
    <t>Less: Interest</t>
  </si>
  <si>
    <t>EBT</t>
  </si>
  <si>
    <t>Less: Taxes</t>
  </si>
  <si>
    <t>EAT</t>
  </si>
  <si>
    <t>(Transfer to reserves)</t>
  </si>
  <si>
    <t>NP Margin%</t>
  </si>
  <si>
    <t>Operating Activities</t>
  </si>
  <si>
    <t>Investing Activities</t>
  </si>
  <si>
    <t>Financing Activities</t>
  </si>
  <si>
    <t>Add: Non Cash expenses</t>
  </si>
  <si>
    <t>Cash from operations before working capital changes</t>
  </si>
  <si>
    <t>Add/Less Changes in working capital</t>
  </si>
  <si>
    <t>Cash from Operations</t>
  </si>
  <si>
    <t>Purchase of fixed assets</t>
  </si>
  <si>
    <t>Rent Deposit</t>
  </si>
  <si>
    <t>Cash from investing activities</t>
  </si>
  <si>
    <t>Equity Share Capital</t>
  </si>
  <si>
    <t>Cash for Financing Activities</t>
  </si>
  <si>
    <t>Cash generated during the year</t>
  </si>
  <si>
    <t>Add: Opening balance</t>
  </si>
  <si>
    <t>Closing balance</t>
  </si>
  <si>
    <t>Equity and Liabilities</t>
  </si>
  <si>
    <t>Share Capital</t>
  </si>
  <si>
    <t>Reserves and Surplus</t>
  </si>
  <si>
    <t>Total Shareholder funds</t>
  </si>
  <si>
    <t>Total Current Liabilities</t>
  </si>
  <si>
    <t>Total Liabilities</t>
  </si>
  <si>
    <t>Assets</t>
  </si>
  <si>
    <t>Cash and Cash Equivalents</t>
  </si>
  <si>
    <t>Total Assets</t>
  </si>
  <si>
    <t>Transaction Summary:</t>
  </si>
  <si>
    <t>Yamatcha, a Michelin Starrer restaurant owned by Botan group, Japan is currently operating in India at</t>
  </si>
  <si>
    <t>followinglocations under the master franchise of AK Hospitality, India:</t>
  </si>
  <si>
    <t>• Mumbai</t>
  </si>
  <si>
    <t>• Bengaluru</t>
  </si>
  <si>
    <t>• Kolkata</t>
  </si>
  <si>
    <t>Restro &amp; Club Pvt. Ltd. is interested in starting Yamatcha in Chennai. Before approaching AK Hospitality for</t>
  </si>
  <si>
    <t>subfranchise, it wants to be sure that opening Yauatcha will be profitable.</t>
  </si>
  <si>
    <t>Assumptions Sheet consist of all the Financial Assumptions that are required to build this model</t>
  </si>
  <si>
    <t>Problem Statement</t>
  </si>
  <si>
    <t>Findings</t>
  </si>
  <si>
    <t>Financial Projection:</t>
  </si>
  <si>
    <t>From 9th month itself the EBDITA turns out positive.</t>
  </si>
  <si>
    <t>The EBDITA margins grows at a rate of -</t>
  </si>
  <si>
    <t xml:space="preserve">Revenue increases at a rate of - </t>
  </si>
  <si>
    <t>Overall if all the assumptions play out then this subfranchise will be profitable business.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</si>
</sst>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b/>
      <u/>
      <sz val="11"/>
      <color rgb="FF000000"/>
      <name val="Calibri"/>
      <scheme val="minor"/>
    </font>
    <font>
      <i/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0" borderId="35" applyNumberFormat="0" applyFill="0" applyAlignment="0" applyProtection="0"/>
    <xf numFmtId="0" fontId="12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5" fontId="1" fillId="0" borderId="1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/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12" xfId="0" applyFont="1" applyFill="1" applyBorder="1"/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3" xfId="0" applyBorder="1"/>
    <xf numFmtId="0" fontId="7" fillId="0" borderId="0" xfId="0" applyFont="1"/>
    <xf numFmtId="9" fontId="8" fillId="0" borderId="0" xfId="0" applyNumberFormat="1" applyFont="1" applyAlignment="1">
      <alignment horizontal="center"/>
    </xf>
    <xf numFmtId="0" fontId="1" fillId="0" borderId="11" xfId="0" applyFont="1" applyBorder="1"/>
    <xf numFmtId="0" fontId="0" fillId="0" borderId="10" xfId="0" applyBorder="1"/>
    <xf numFmtId="0" fontId="0" fillId="0" borderId="7" xfId="0" applyBorder="1"/>
    <xf numFmtId="0" fontId="0" fillId="0" borderId="5" xfId="0" applyBorder="1"/>
    <xf numFmtId="0" fontId="0" fillId="0" borderId="13" xfId="0" applyBorder="1"/>
    <xf numFmtId="0" fontId="0" fillId="0" borderId="0" xfId="0" applyBorder="1"/>
    <xf numFmtId="9" fontId="0" fillId="0" borderId="8" xfId="0" applyNumberFormat="1" applyBorder="1"/>
    <xf numFmtId="9" fontId="0" fillId="0" borderId="9" xfId="0" applyNumberFormat="1" applyBorder="1"/>
    <xf numFmtId="10" fontId="0" fillId="0" borderId="9" xfId="0" applyNumberFormat="1" applyBorder="1"/>
    <xf numFmtId="9" fontId="0" fillId="0" borderId="10" xfId="0" applyNumberFormat="1" applyBorder="1"/>
    <xf numFmtId="0" fontId="0" fillId="0" borderId="8" xfId="0" applyBorder="1"/>
    <xf numFmtId="9" fontId="0" fillId="0" borderId="13" xfId="0" applyNumberFormat="1" applyBorder="1"/>
    <xf numFmtId="10" fontId="0" fillId="0" borderId="13" xfId="0" applyNumberFormat="1" applyBorder="1"/>
    <xf numFmtId="0" fontId="0" fillId="2" borderId="9" xfId="0" applyFill="1" applyBorder="1"/>
    <xf numFmtId="0" fontId="8" fillId="0" borderId="3" xfId="0" applyFont="1" applyBorder="1"/>
    <xf numFmtId="0" fontId="8" fillId="0" borderId="5" xfId="0" applyFont="1" applyBorder="1"/>
    <xf numFmtId="0" fontId="1" fillId="5" borderId="11" xfId="0" applyFont="1" applyFill="1" applyBorder="1"/>
    <xf numFmtId="0" fontId="1" fillId="5" borderId="13" xfId="0" applyFont="1" applyFill="1" applyBorder="1"/>
    <xf numFmtId="0" fontId="1" fillId="5" borderId="12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5" borderId="8" xfId="0" applyFont="1" applyFill="1" applyBorder="1"/>
    <xf numFmtId="0" fontId="2" fillId="0" borderId="11" xfId="0" applyFont="1" applyBorder="1"/>
    <xf numFmtId="0" fontId="1" fillId="6" borderId="0" xfId="0" applyFont="1" applyFill="1"/>
    <xf numFmtId="43" fontId="0" fillId="0" borderId="0" xfId="0" applyNumberFormat="1"/>
    <xf numFmtId="0" fontId="0" fillId="7" borderId="0" xfId="0" applyFill="1"/>
    <xf numFmtId="0" fontId="0" fillId="4" borderId="0" xfId="0" applyFill="1"/>
    <xf numFmtId="0" fontId="10" fillId="8" borderId="0" xfId="0" applyFont="1" applyFill="1"/>
    <xf numFmtId="15" fontId="10" fillId="8" borderId="0" xfId="0" applyNumberFormat="1" applyFont="1" applyFill="1"/>
    <xf numFmtId="164" fontId="0" fillId="0" borderId="0" xfId="1" applyNumberFormat="1" applyFont="1"/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8" borderId="0" xfId="0" applyFont="1" applyFill="1" applyAlignment="1">
      <alignment horizontal="center"/>
    </xf>
    <xf numFmtId="15" fontId="10" fillId="8" borderId="0" xfId="0" applyNumberFormat="1" applyFont="1" applyFill="1" applyAlignment="1">
      <alignment horizontal="center"/>
    </xf>
    <xf numFmtId="164" fontId="0" fillId="6" borderId="0" xfId="1" applyNumberFormat="1" applyFont="1" applyFill="1"/>
    <xf numFmtId="0" fontId="3" fillId="0" borderId="0" xfId="0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3" xfId="0" applyFont="1" applyBorder="1" applyAlignment="1">
      <alignment horizontal="left" indent="2"/>
    </xf>
    <xf numFmtId="0" fontId="0" fillId="0" borderId="0" xfId="0" applyFont="1" applyBorder="1" applyAlignment="1">
      <alignment horizontal="left" indent="2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 indent="2"/>
    </xf>
    <xf numFmtId="0" fontId="3" fillId="0" borderId="0" xfId="0" applyFont="1" applyFill="1" applyBorder="1" applyAlignment="1">
      <alignment horizontal="left" indent="2"/>
    </xf>
    <xf numFmtId="164" fontId="0" fillId="0" borderId="18" xfId="1" applyNumberFormat="1" applyFont="1" applyBorder="1"/>
    <xf numFmtId="165" fontId="0" fillId="0" borderId="18" xfId="1" applyNumberFormat="1" applyFont="1" applyBorder="1"/>
    <xf numFmtId="0" fontId="0" fillId="0" borderId="18" xfId="0" applyBorder="1" applyAlignment="1">
      <alignment horizontal="center"/>
    </xf>
    <xf numFmtId="165" fontId="1" fillId="0" borderId="18" xfId="1" applyNumberFormat="1" applyFont="1" applyBorder="1"/>
    <xf numFmtId="0" fontId="1" fillId="9" borderId="0" xfId="0" applyFont="1" applyFill="1"/>
    <xf numFmtId="0" fontId="1" fillId="10" borderId="0" xfId="0" applyFont="1" applyFill="1"/>
    <xf numFmtId="0" fontId="1" fillId="0" borderId="0" xfId="0" applyFont="1" applyFill="1" applyBorder="1" applyAlignment="1">
      <alignment horizontal="left"/>
    </xf>
    <xf numFmtId="0" fontId="3" fillId="0" borderId="19" xfId="0" applyFont="1" applyBorder="1" applyAlignment="1">
      <alignment horizontal="left" indent="2"/>
    </xf>
    <xf numFmtId="0" fontId="0" fillId="0" borderId="19" xfId="0" applyBorder="1"/>
    <xf numFmtId="165" fontId="1" fillId="0" borderId="19" xfId="1" applyNumberFormat="1" applyFont="1" applyBorder="1"/>
    <xf numFmtId="0" fontId="3" fillId="0" borderId="19" xfId="0" applyFont="1" applyFill="1" applyBorder="1" applyAlignment="1">
      <alignment horizontal="left" indent="2"/>
    </xf>
    <xf numFmtId="0" fontId="3" fillId="0" borderId="19" xfId="0" applyFont="1" applyFill="1" applyBorder="1" applyAlignment="1">
      <alignment horizontal="left"/>
    </xf>
    <xf numFmtId="164" fontId="0" fillId="0" borderId="19" xfId="1" applyNumberFormat="1" applyFont="1" applyBorder="1"/>
    <xf numFmtId="0" fontId="0" fillId="0" borderId="3" xfId="0" applyFont="1" applyBorder="1" applyAlignment="1">
      <alignment horizontal="left" indent="1"/>
    </xf>
    <xf numFmtId="0" fontId="3" fillId="0" borderId="19" xfId="0" applyFont="1" applyFill="1" applyBorder="1" applyAlignment="1">
      <alignment horizontal="left" indent="1"/>
    </xf>
    <xf numFmtId="0" fontId="0" fillId="11" borderId="0" xfId="0" applyFill="1"/>
    <xf numFmtId="164" fontId="0" fillId="11" borderId="0" xfId="1" applyNumberFormat="1" applyFont="1" applyFill="1"/>
    <xf numFmtId="0" fontId="1" fillId="11" borderId="0" xfId="0" applyFont="1" applyFill="1"/>
    <xf numFmtId="0" fontId="1" fillId="0" borderId="19" xfId="0" applyFont="1" applyBorder="1"/>
    <xf numFmtId="164" fontId="1" fillId="0" borderId="19" xfId="1" applyNumberFormat="1" applyFont="1" applyBorder="1"/>
    <xf numFmtId="0" fontId="3" fillId="0" borderId="19" xfId="0" applyFont="1" applyBorder="1"/>
    <xf numFmtId="9" fontId="1" fillId="0" borderId="0" xfId="0" applyNumberFormat="1" applyFont="1" applyAlignment="1">
      <alignment horizontal="right"/>
    </xf>
    <xf numFmtId="0" fontId="3" fillId="0" borderId="20" xfId="0" applyFont="1" applyBorder="1"/>
    <xf numFmtId="0" fontId="0" fillId="0" borderId="21" xfId="0" applyBorder="1"/>
    <xf numFmtId="165" fontId="1" fillId="0" borderId="21" xfId="1" applyNumberFormat="1" applyFont="1" applyBorder="1"/>
    <xf numFmtId="165" fontId="1" fillId="0" borderId="22" xfId="1" applyNumberFormat="1" applyFont="1" applyBorder="1"/>
    <xf numFmtId="10" fontId="0" fillId="0" borderId="0" xfId="2" applyNumberFormat="1" applyFont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9" fontId="0" fillId="0" borderId="0" xfId="0" applyNumberFormat="1"/>
    <xf numFmtId="165" fontId="1" fillId="0" borderId="24" xfId="1" applyNumberFormat="1" applyFont="1" applyBorder="1"/>
    <xf numFmtId="165" fontId="1" fillId="0" borderId="25" xfId="1" applyNumberFormat="1" applyFont="1" applyBorder="1"/>
    <xf numFmtId="164" fontId="1" fillId="0" borderId="24" xfId="1" applyNumberFormat="1" applyFont="1" applyBorder="1"/>
    <xf numFmtId="0" fontId="1" fillId="0" borderId="24" xfId="0" applyFont="1" applyBorder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0" fillId="0" borderId="0" xfId="0" applyFont="1"/>
    <xf numFmtId="0" fontId="0" fillId="0" borderId="24" xfId="0" applyFont="1" applyBorder="1"/>
    <xf numFmtId="0" fontId="0" fillId="0" borderId="24" xfId="0" applyBorder="1"/>
    <xf numFmtId="0" fontId="3" fillId="0" borderId="26" xfId="0" applyFont="1" applyBorder="1"/>
    <xf numFmtId="164" fontId="0" fillId="0" borderId="24" xfId="1" applyNumberFormat="1" applyFont="1" applyBorder="1"/>
    <xf numFmtId="166" fontId="0" fillId="0" borderId="0" xfId="2" applyNumberFormat="1" applyFont="1"/>
    <xf numFmtId="164" fontId="1" fillId="0" borderId="0" xfId="1" applyNumberFormat="1" applyFont="1"/>
    <xf numFmtId="0" fontId="0" fillId="0" borderId="0" xfId="0" applyFont="1" applyBorder="1"/>
    <xf numFmtId="164" fontId="9" fillId="0" borderId="0" xfId="1" applyNumberFormat="1" applyFont="1" applyBorder="1"/>
    <xf numFmtId="0" fontId="3" fillId="0" borderId="30" xfId="0" applyFont="1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11" borderId="27" xfId="0" applyFont="1" applyFill="1" applyBorder="1"/>
    <xf numFmtId="0" fontId="0" fillId="11" borderId="28" xfId="0" applyFill="1" applyBorder="1"/>
    <xf numFmtId="0" fontId="0" fillId="11" borderId="29" xfId="0" applyFill="1" applyBorder="1"/>
    <xf numFmtId="0" fontId="3" fillId="11" borderId="0" xfId="0" applyFont="1" applyFill="1"/>
    <xf numFmtId="0" fontId="5" fillId="11" borderId="0" xfId="0" applyFont="1" applyFill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" fillId="5" borderId="11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1" fillId="0" borderId="35" xfId="3"/>
    <xf numFmtId="9" fontId="0" fillId="0" borderId="0" xfId="2" applyFont="1"/>
    <xf numFmtId="0" fontId="12" fillId="12" borderId="36" xfId="4" applyFill="1" applyBorder="1"/>
  </cellXfs>
  <cellStyles count="5">
    <cellStyle name="Comma" xfId="1" builtinId="3"/>
    <cellStyle name="Heading 2" xfId="3" builtinId="17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21"/>
  <sheetViews>
    <sheetView showGridLines="0" workbookViewId="0">
      <selection activeCell="O5" sqref="O5"/>
    </sheetView>
  </sheetViews>
  <sheetFormatPr defaultRowHeight="15" x14ac:dyDescent="0.25"/>
  <sheetData>
    <row r="3" spans="3:15" x14ac:dyDescent="0.25">
      <c r="C3" s="138" t="s">
        <v>220</v>
      </c>
      <c r="D3" s="138"/>
      <c r="E3" s="139"/>
      <c r="F3" s="139"/>
      <c r="G3" s="139"/>
      <c r="H3" s="139"/>
      <c r="I3" s="139"/>
      <c r="J3" s="139"/>
      <c r="K3" s="139"/>
      <c r="L3" s="139"/>
      <c r="M3" s="139"/>
    </row>
    <row r="4" spans="3:15" ht="15.75" thickBot="1" x14ac:dyDescent="0.3"/>
    <row r="5" spans="3:15" ht="15.75" thickBot="1" x14ac:dyDescent="0.3">
      <c r="C5" s="135" t="s">
        <v>211</v>
      </c>
      <c r="D5" s="136"/>
      <c r="E5" s="136"/>
      <c r="F5" s="136"/>
      <c r="G5" s="136"/>
      <c r="H5" s="136"/>
      <c r="I5" s="136"/>
      <c r="J5" s="136"/>
      <c r="K5" s="136"/>
      <c r="L5" s="136"/>
      <c r="M5" s="137"/>
      <c r="O5" s="155" t="s">
        <v>221</v>
      </c>
    </row>
    <row r="6" spans="3:15" x14ac:dyDescent="0.25">
      <c r="C6" s="129"/>
      <c r="D6" s="41"/>
      <c r="E6" s="41"/>
      <c r="F6" s="41"/>
      <c r="G6" s="41"/>
      <c r="H6" s="41"/>
      <c r="I6" s="41"/>
      <c r="J6" s="41"/>
      <c r="K6" s="41"/>
      <c r="L6" s="41"/>
      <c r="M6" s="130"/>
    </row>
    <row r="7" spans="3:15" x14ac:dyDescent="0.25">
      <c r="C7" s="131" t="s">
        <v>212</v>
      </c>
      <c r="D7" s="41"/>
      <c r="E7" s="41"/>
      <c r="F7" s="41"/>
      <c r="G7" s="41"/>
      <c r="H7" s="41"/>
      <c r="I7" s="41"/>
      <c r="J7" s="41"/>
      <c r="K7" s="41"/>
      <c r="L7" s="41"/>
      <c r="M7" s="130"/>
    </row>
    <row r="8" spans="3:15" x14ac:dyDescent="0.25">
      <c r="C8" s="131" t="s">
        <v>213</v>
      </c>
      <c r="D8" s="41"/>
      <c r="E8" s="41"/>
      <c r="F8" s="41"/>
      <c r="G8" s="41"/>
      <c r="H8" s="41"/>
      <c r="I8" s="41"/>
      <c r="J8" s="41"/>
      <c r="K8" s="41"/>
      <c r="L8" s="41"/>
      <c r="M8" s="130"/>
    </row>
    <row r="9" spans="3:15" x14ac:dyDescent="0.25">
      <c r="C9" s="131"/>
      <c r="D9" s="41"/>
      <c r="E9" s="41"/>
      <c r="F9" s="41"/>
      <c r="G9" s="41"/>
      <c r="H9" s="41"/>
      <c r="I9" s="41"/>
      <c r="J9" s="41"/>
      <c r="K9" s="41"/>
      <c r="L9" s="41"/>
      <c r="M9" s="130"/>
    </row>
    <row r="10" spans="3:15" x14ac:dyDescent="0.25">
      <c r="C10" s="131" t="s">
        <v>214</v>
      </c>
      <c r="D10" s="41"/>
      <c r="E10" s="41"/>
      <c r="F10" s="41"/>
      <c r="G10" s="41"/>
      <c r="H10" s="41"/>
      <c r="I10" s="41"/>
      <c r="J10" s="41"/>
      <c r="K10" s="41"/>
      <c r="L10" s="41"/>
      <c r="M10" s="130"/>
    </row>
    <row r="11" spans="3:15" x14ac:dyDescent="0.25">
      <c r="C11" s="131" t="s">
        <v>215</v>
      </c>
      <c r="D11" s="41"/>
      <c r="E11" s="41"/>
      <c r="F11" s="41"/>
      <c r="G11" s="41"/>
      <c r="H11" s="41"/>
      <c r="I11" s="41"/>
      <c r="J11" s="41"/>
      <c r="K11" s="41"/>
      <c r="L11" s="41"/>
      <c r="M11" s="130"/>
    </row>
    <row r="12" spans="3:15" x14ac:dyDescent="0.25">
      <c r="C12" s="131" t="s">
        <v>216</v>
      </c>
      <c r="D12" s="41"/>
      <c r="E12" s="41"/>
      <c r="F12" s="41"/>
      <c r="G12" s="41"/>
      <c r="H12" s="41"/>
      <c r="I12" s="41"/>
      <c r="J12" s="41"/>
      <c r="K12" s="41"/>
      <c r="L12" s="41"/>
      <c r="M12" s="130"/>
    </row>
    <row r="13" spans="3:15" x14ac:dyDescent="0.25">
      <c r="C13" s="131"/>
      <c r="D13" s="41"/>
      <c r="E13" s="41"/>
      <c r="F13" s="41"/>
      <c r="G13" s="41"/>
      <c r="H13" s="41"/>
      <c r="I13" s="41"/>
      <c r="J13" s="41"/>
      <c r="K13" s="41"/>
      <c r="L13" s="41"/>
      <c r="M13" s="130"/>
    </row>
    <row r="14" spans="3:15" x14ac:dyDescent="0.25">
      <c r="C14" s="131" t="s">
        <v>217</v>
      </c>
      <c r="D14" s="41"/>
      <c r="E14" s="41"/>
      <c r="F14" s="41"/>
      <c r="G14" s="41"/>
      <c r="H14" s="41"/>
      <c r="I14" s="41"/>
      <c r="J14" s="41"/>
      <c r="K14" s="41"/>
      <c r="L14" s="41"/>
      <c r="M14" s="130"/>
    </row>
    <row r="15" spans="3:15" x14ac:dyDescent="0.25">
      <c r="C15" s="131" t="s">
        <v>218</v>
      </c>
      <c r="D15" s="41"/>
      <c r="E15" s="41"/>
      <c r="F15" s="41"/>
      <c r="G15" s="41"/>
      <c r="H15" s="41"/>
      <c r="I15" s="41"/>
      <c r="J15" s="41"/>
      <c r="K15" s="41"/>
      <c r="L15" s="41"/>
      <c r="M15" s="130"/>
    </row>
    <row r="16" spans="3:15" x14ac:dyDescent="0.25">
      <c r="C16" s="131"/>
      <c r="D16" s="41"/>
      <c r="E16" s="41"/>
      <c r="F16" s="41"/>
      <c r="G16" s="41"/>
      <c r="H16" s="41"/>
      <c r="I16" s="41"/>
      <c r="J16" s="41"/>
      <c r="K16" s="41"/>
      <c r="L16" s="41"/>
      <c r="M16" s="130"/>
    </row>
    <row r="17" spans="1:13" x14ac:dyDescent="0.25">
      <c r="C17" s="131" t="s">
        <v>219</v>
      </c>
      <c r="D17" s="41"/>
      <c r="E17" s="41"/>
      <c r="F17" s="41"/>
      <c r="G17" s="41"/>
      <c r="H17" s="41"/>
      <c r="I17" s="41"/>
      <c r="J17" s="41"/>
      <c r="K17" s="41"/>
      <c r="L17" s="41"/>
      <c r="M17" s="130"/>
    </row>
    <row r="18" spans="1:13" ht="15.75" thickBot="1" x14ac:dyDescent="0.3"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4"/>
    </row>
    <row r="21" spans="1:13" s="96" customFormat="1" x14ac:dyDescent="0.25">
      <c r="A21" s="97" t="s">
        <v>150</v>
      </c>
      <c r="B21" s="95"/>
      <c r="C21" s="95"/>
      <c r="D21" s="95"/>
    </row>
  </sheetData>
  <hyperlinks>
    <hyperlink ref="O5" location="Findings!A1" display="Findings" xr:uid="{8AF5EEAE-9D88-46A5-8EDE-ED30E70BF1F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9"/>
  <sheetViews>
    <sheetView topLeftCell="A25" workbookViewId="0">
      <selection activeCell="C43" sqref="C43"/>
    </sheetView>
  </sheetViews>
  <sheetFormatPr defaultRowHeight="15" x14ac:dyDescent="0.25"/>
  <cols>
    <col min="1" max="1" width="31.28515625" bestFit="1" customWidth="1"/>
    <col min="2" max="2" width="10.42578125" bestFit="1" customWidth="1"/>
    <col min="5" max="5" width="17.28515625" style="65" bestFit="1" customWidth="1"/>
    <col min="6" max="6" width="17.7109375" style="65" customWidth="1"/>
    <col min="7" max="7" width="16" style="65" customWidth="1"/>
    <col min="8" max="16384" width="9.140625" style="65"/>
  </cols>
  <sheetData>
    <row r="1" spans="1:7" customFormat="1" x14ac:dyDescent="0.25">
      <c r="A1" s="8" t="s">
        <v>102</v>
      </c>
      <c r="B1" s="61" t="str">
        <f>Converter!C1</f>
        <v>Lakhs</v>
      </c>
    </row>
    <row r="2" spans="1:7" customFormat="1" x14ac:dyDescent="0.25">
      <c r="E2" s="68" t="s">
        <v>140</v>
      </c>
      <c r="F2" s="68" t="s">
        <v>141</v>
      </c>
      <c r="G2" s="68" t="s">
        <v>142</v>
      </c>
    </row>
    <row r="3" spans="1:7" customFormat="1" x14ac:dyDescent="0.25">
      <c r="E3" s="69">
        <f>EOMONTH(Assumptions!G3,11)</f>
        <v>44286</v>
      </c>
      <c r="F3" s="69">
        <f>EOMONTH(E3,12)</f>
        <v>44651</v>
      </c>
      <c r="G3" s="69">
        <f>EOMONTH(F3,12)</f>
        <v>45016</v>
      </c>
    </row>
    <row r="4" spans="1:7" x14ac:dyDescent="0.25">
      <c r="A4" s="8" t="s">
        <v>202</v>
      </c>
    </row>
    <row r="5" spans="1:7" x14ac:dyDescent="0.25">
      <c r="A5" s="73" t="s">
        <v>203</v>
      </c>
      <c r="E5" s="65">
        <f>'Capital Structure'!C19</f>
        <v>22500000</v>
      </c>
      <c r="F5" s="65">
        <v>22500000</v>
      </c>
      <c r="G5" s="65">
        <v>22500000</v>
      </c>
    </row>
    <row r="6" spans="1:7" x14ac:dyDescent="0.25">
      <c r="A6" s="73" t="s">
        <v>204</v>
      </c>
      <c r="E6" s="65">
        <f>D6+'Annual P&amp;L'!E40</f>
        <v>-3009621.5747771356</v>
      </c>
      <c r="F6" s="65">
        <f>E6+'Annual P&amp;L'!F40</f>
        <v>-1904743.4738104441</v>
      </c>
      <c r="G6" s="65">
        <f>F6+'Annual P&amp;L'!G40</f>
        <v>5852806.754727738</v>
      </c>
    </row>
    <row r="8" spans="1:7" x14ac:dyDescent="0.25">
      <c r="A8" s="108" t="s">
        <v>205</v>
      </c>
      <c r="B8" s="122"/>
      <c r="C8" s="122"/>
      <c r="D8" s="122"/>
      <c r="E8" s="124">
        <f>SUM(E5:E6)</f>
        <v>19490378.425222866</v>
      </c>
      <c r="F8" s="124">
        <f t="shared" ref="F8:G8" si="0">SUM(F5:F6)</f>
        <v>20595256.526189554</v>
      </c>
      <c r="G8" s="124">
        <f t="shared" si="0"/>
        <v>28352806.754727736</v>
      </c>
    </row>
    <row r="10" spans="1:7" x14ac:dyDescent="0.25">
      <c r="A10" s="8" t="s">
        <v>173</v>
      </c>
    </row>
    <row r="11" spans="1:7" x14ac:dyDescent="0.25">
      <c r="A11" s="8" t="s">
        <v>176</v>
      </c>
      <c r="E11" s="65">
        <v>1045753.085502069</v>
      </c>
      <c r="F11" s="65">
        <v>1328961.5089174078</v>
      </c>
      <c r="G11" s="65">
        <v>1671693.2985579737</v>
      </c>
    </row>
    <row r="12" spans="1:7" x14ac:dyDescent="0.25">
      <c r="A12" s="8" t="s">
        <v>177</v>
      </c>
    </row>
    <row r="13" spans="1:7" x14ac:dyDescent="0.25">
      <c r="A13" s="73" t="s">
        <v>174</v>
      </c>
      <c r="E13" s="65">
        <v>279222.255066799</v>
      </c>
      <c r="F13" s="65">
        <v>415345.33029475884</v>
      </c>
      <c r="G13" s="65">
        <v>578368.24648853322</v>
      </c>
    </row>
    <row r="14" spans="1:7" x14ac:dyDescent="0.25">
      <c r="A14" s="73" t="s">
        <v>175</v>
      </c>
      <c r="E14" s="65">
        <v>154787.89621650209</v>
      </c>
      <c r="F14" s="65">
        <v>223735.70927990662</v>
      </c>
      <c r="G14" s="65">
        <v>308997.0360762722</v>
      </c>
    </row>
    <row r="15" spans="1:7" x14ac:dyDescent="0.25">
      <c r="A15" s="73" t="s">
        <v>14</v>
      </c>
      <c r="E15" s="65">
        <v>555820.367904588</v>
      </c>
      <c r="F15" s="65">
        <v>797596.68239631818</v>
      </c>
      <c r="G15" s="65">
        <v>1099203.8852860208</v>
      </c>
    </row>
    <row r="16" spans="1:7" x14ac:dyDescent="0.25">
      <c r="A16" s="117" t="s">
        <v>206</v>
      </c>
      <c r="B16" s="122"/>
      <c r="C16" s="122"/>
      <c r="D16" s="122"/>
      <c r="E16" s="116">
        <f>SUM(E11:E15)</f>
        <v>2035583.604689958</v>
      </c>
      <c r="F16" s="116">
        <f t="shared" ref="F16:G16" si="1">SUM(F11:F15)</f>
        <v>2765639.2308883914</v>
      </c>
      <c r="G16" s="116">
        <f t="shared" si="1"/>
        <v>3658262.4664088003</v>
      </c>
    </row>
    <row r="18" spans="1:7" x14ac:dyDescent="0.25">
      <c r="A18" s="108" t="s">
        <v>207</v>
      </c>
      <c r="B18" s="122"/>
      <c r="C18" s="122"/>
      <c r="D18" s="122"/>
      <c r="E18" s="116">
        <f>E16+E8</f>
        <v>21525962.029912826</v>
      </c>
      <c r="F18" s="116">
        <f t="shared" ref="F18:G18" si="2">F16+F8</f>
        <v>23360895.757077947</v>
      </c>
      <c r="G18" s="116">
        <f t="shared" si="2"/>
        <v>32011069.221136536</v>
      </c>
    </row>
    <row r="20" spans="1:7" x14ac:dyDescent="0.25">
      <c r="A20" s="71" t="s">
        <v>208</v>
      </c>
    </row>
    <row r="21" spans="1:7" x14ac:dyDescent="0.25">
      <c r="A21" s="8" t="s">
        <v>160</v>
      </c>
    </row>
    <row r="22" spans="1:7" x14ac:dyDescent="0.25">
      <c r="A22" s="73" t="str">
        <f>'Fixed Assets Schedule'!A4</f>
        <v>Kitchen Equipments and Cutlery</v>
      </c>
      <c r="E22" s="65">
        <f>'Fixed Assets Schedule'!E9</f>
        <v>2663424.6575342463</v>
      </c>
      <c r="F22" s="65">
        <f>'Fixed Assets Schedule'!F9</f>
        <v>2364610.3021204728</v>
      </c>
      <c r="G22" s="65">
        <f>'Fixed Assets Schedule'!G9</f>
        <v>2099320.4613757236</v>
      </c>
    </row>
    <row r="23" spans="1:7" x14ac:dyDescent="0.25">
      <c r="A23" s="73" t="str">
        <f>'Fixed Assets Schedule'!A11</f>
        <v>Refrgeration Equipments</v>
      </c>
      <c r="E23" s="65">
        <f>'Fixed Assets Schedule'!E16</f>
        <v>4439041.0958904112</v>
      </c>
      <c r="F23" s="65">
        <f>'Fixed Assets Schedule'!F16</f>
        <v>3941017.1702007884</v>
      </c>
      <c r="G23" s="65">
        <f>'Fixed Assets Schedule'!G16</f>
        <v>3498867.4356262069</v>
      </c>
    </row>
    <row r="24" spans="1:7" x14ac:dyDescent="0.25">
      <c r="A24" s="73" t="str">
        <f>'Fixed Assets Schedule'!A18</f>
        <v>Furniture and Fixtures</v>
      </c>
      <c r="E24" s="65">
        <f>'Fixed Assets Schedule'!E23</f>
        <v>4718547.9452054799</v>
      </c>
      <c r="F24" s="65">
        <f>'Fixed Assets Schedule'!F23</f>
        <v>4189165.6483392762</v>
      </c>
      <c r="G24" s="65">
        <f>'Fixed Assets Schedule'!G23</f>
        <v>3719175.6940940889</v>
      </c>
    </row>
    <row r="25" spans="1:7" x14ac:dyDescent="0.25">
      <c r="A25" s="73" t="str">
        <f>'Fixed Assets Schedule'!A25</f>
        <v>Restraurants Decore</v>
      </c>
      <c r="E25" s="65">
        <f>'Fixed Assets Schedule'!E30</f>
        <v>5551232.8767123288</v>
      </c>
      <c r="F25" s="65">
        <f>'Fixed Assets Schedule'!F30</f>
        <v>4928430.1745167952</v>
      </c>
      <c r="G25" s="65">
        <f>'Fixed Assets Schedule'!G30</f>
        <v>4375500.8165812809</v>
      </c>
    </row>
    <row r="27" spans="1:7" x14ac:dyDescent="0.25">
      <c r="A27" t="s">
        <v>76</v>
      </c>
      <c r="E27" s="65">
        <f>'Capital Structure'!C12</f>
        <v>1000000</v>
      </c>
      <c r="F27" s="65">
        <v>1000000</v>
      </c>
      <c r="G27" s="65">
        <v>1000000</v>
      </c>
    </row>
    <row r="29" spans="1:7" x14ac:dyDescent="0.25">
      <c r="A29" s="8" t="str">
        <f>'Working Capital'!A4</f>
        <v>Current Assets</v>
      </c>
    </row>
    <row r="30" spans="1:7" x14ac:dyDescent="0.25">
      <c r="A30" s="73" t="str">
        <f>'Working Capital'!A5</f>
        <v>Inventory</v>
      </c>
    </row>
    <row r="31" spans="1:7" x14ac:dyDescent="0.25">
      <c r="A31" s="73" t="str">
        <f>'Working Capital'!A6</f>
        <v>Alcoholic Beverages</v>
      </c>
      <c r="E31" s="65">
        <v>279222.255066799</v>
      </c>
      <c r="F31" s="65">
        <v>415345.33029475884</v>
      </c>
      <c r="G31" s="65">
        <v>578368.24648853322</v>
      </c>
    </row>
    <row r="32" spans="1:7" x14ac:dyDescent="0.25">
      <c r="A32" s="73" t="str">
        <f>'Working Capital'!A7</f>
        <v>Non - Alcoholic Beverages</v>
      </c>
      <c r="E32" s="65">
        <v>77393.948108251047</v>
      </c>
      <c r="F32" s="65">
        <v>111867.85463995331</v>
      </c>
      <c r="G32" s="65">
        <v>154498.5180381361</v>
      </c>
    </row>
    <row r="33" spans="1:7" x14ac:dyDescent="0.25">
      <c r="A33" s="73" t="str">
        <f>'Working Capital'!A8</f>
        <v>Food</v>
      </c>
      <c r="E33" s="65">
        <v>92636.72798409799</v>
      </c>
      <c r="F33" s="65">
        <v>132932.78039938636</v>
      </c>
      <c r="G33" s="65">
        <v>183200.64754767012</v>
      </c>
    </row>
    <row r="35" spans="1:7" x14ac:dyDescent="0.25">
      <c r="A35" t="s">
        <v>209</v>
      </c>
      <c r="E35" s="65">
        <f>'Cash Flow Statement'!E23</f>
        <v>-1891489.7248967364</v>
      </c>
      <c r="F35" s="65">
        <f>'Cash Flow Statement'!F23</f>
        <v>2267289.757201781</v>
      </c>
      <c r="G35" s="65">
        <f>'Cash Flow Statement'!G23</f>
        <v>19512749.101778176</v>
      </c>
    </row>
    <row r="37" spans="1:7" x14ac:dyDescent="0.25">
      <c r="A37" s="108" t="s">
        <v>210</v>
      </c>
      <c r="B37" s="108"/>
      <c r="C37" s="108"/>
      <c r="D37" s="108"/>
      <c r="E37" s="116">
        <f>SUM(E22:E25,E27,E31:E35)</f>
        <v>16930009.781604879</v>
      </c>
      <c r="F37" s="116">
        <f t="shared" ref="F37:G37" si="3">SUM(F22:F25,F27,F31:F35)</f>
        <v>19350659.017713211</v>
      </c>
      <c r="G37" s="116">
        <f t="shared" si="3"/>
        <v>35121680.921529815</v>
      </c>
    </row>
    <row r="39" spans="1:7" s="96" customFormat="1" x14ac:dyDescent="0.25">
      <c r="A39" s="97" t="s">
        <v>150</v>
      </c>
      <c r="B39" s="95"/>
      <c r="C39" s="95"/>
      <c r="D39" s="9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5"/>
  <sheetViews>
    <sheetView topLeftCell="A7" workbookViewId="0">
      <selection activeCell="J15" sqref="J15"/>
    </sheetView>
  </sheetViews>
  <sheetFormatPr defaultRowHeight="15" x14ac:dyDescent="0.25"/>
  <cols>
    <col min="1" max="1" width="49" bestFit="1" customWidth="1"/>
    <col min="2" max="2" width="10.42578125" bestFit="1" customWidth="1"/>
    <col min="5" max="5" width="17.28515625" style="65" bestFit="1" customWidth="1"/>
    <col min="6" max="6" width="17.7109375" style="65" customWidth="1"/>
    <col min="7" max="7" width="16" style="65" customWidth="1"/>
    <col min="8" max="16384" width="9.140625" style="65"/>
  </cols>
  <sheetData>
    <row r="1" spans="1:7" customFormat="1" x14ac:dyDescent="0.25">
      <c r="A1" s="8" t="s">
        <v>102</v>
      </c>
      <c r="B1" s="61" t="str">
        <f>Converter!C1</f>
        <v>Lakhs</v>
      </c>
    </row>
    <row r="2" spans="1:7" customFormat="1" x14ac:dyDescent="0.25">
      <c r="E2" s="68" t="s">
        <v>140</v>
      </c>
      <c r="F2" s="68" t="s">
        <v>141</v>
      </c>
      <c r="G2" s="68" t="s">
        <v>142</v>
      </c>
    </row>
    <row r="3" spans="1:7" customFormat="1" x14ac:dyDescent="0.25">
      <c r="E3" s="69">
        <f>EOMONTH(Assumptions!G3,11)</f>
        <v>44286</v>
      </c>
      <c r="F3" s="69">
        <f>EOMONTH(E3,12)</f>
        <v>44651</v>
      </c>
      <c r="G3" s="69">
        <f>EOMONTH(F3,12)</f>
        <v>45016</v>
      </c>
    </row>
    <row r="4" spans="1:7" x14ac:dyDescent="0.25">
      <c r="A4" s="71" t="s">
        <v>187</v>
      </c>
    </row>
    <row r="5" spans="1:7" x14ac:dyDescent="0.25">
      <c r="A5" t="s">
        <v>184</v>
      </c>
      <c r="E5" s="65">
        <f>'Annual P&amp;L'!E40</f>
        <v>-3009621.5747771356</v>
      </c>
      <c r="F5" s="65">
        <f>'Annual P&amp;L'!F40</f>
        <v>1104878.1009666915</v>
      </c>
      <c r="G5" s="65">
        <f>'Annual P&amp;L'!G40</f>
        <v>7757550.2285381816</v>
      </c>
    </row>
    <row r="6" spans="1:7" x14ac:dyDescent="0.25">
      <c r="A6" t="s">
        <v>190</v>
      </c>
      <c r="E6" s="65">
        <f>'Annual P&amp;L'!E33</f>
        <v>1727753.4246575343</v>
      </c>
      <c r="F6" s="65">
        <f>'Annual P&amp;L'!F33</f>
        <v>1949023.2801651342</v>
      </c>
      <c r="G6" s="65">
        <f>'Annual P&amp;L'!G33</f>
        <v>1730358.8875000319</v>
      </c>
    </row>
    <row r="7" spans="1:7" x14ac:dyDescent="0.25">
      <c r="A7" s="8" t="s">
        <v>191</v>
      </c>
      <c r="B7" s="8"/>
      <c r="C7" s="8"/>
      <c r="D7" s="8"/>
      <c r="E7" s="126">
        <f>E5+E6</f>
        <v>-1281868.1501196013</v>
      </c>
      <c r="F7" s="126">
        <f t="shared" ref="F7:G7" si="0">F5+F6</f>
        <v>3053901.381131826</v>
      </c>
      <c r="G7" s="126">
        <f t="shared" si="0"/>
        <v>9487909.1160382144</v>
      </c>
    </row>
    <row r="8" spans="1:7" x14ac:dyDescent="0.25">
      <c r="A8" t="s">
        <v>192</v>
      </c>
      <c r="E8" s="65">
        <f>'Working Capital'!E22</f>
        <v>1586330.67353081</v>
      </c>
      <c r="F8" s="65">
        <f>'Working Capital'!F22</f>
        <v>519162.59202348301</v>
      </c>
      <c r="G8" s="65">
        <f>'Working Capital'!G22</f>
        <v>636701.7887801677</v>
      </c>
    </row>
    <row r="10" spans="1:7" x14ac:dyDescent="0.25">
      <c r="A10" s="108" t="s">
        <v>193</v>
      </c>
      <c r="B10" s="122"/>
      <c r="C10" s="122"/>
      <c r="D10" s="122"/>
      <c r="E10" s="116">
        <f>E5+E7</f>
        <v>-4291489.7248967364</v>
      </c>
      <c r="F10" s="116">
        <f t="shared" ref="F10:G10" si="1">F5+F7</f>
        <v>4158779.4820985175</v>
      </c>
      <c r="G10" s="116">
        <f t="shared" si="1"/>
        <v>17245459.344576396</v>
      </c>
    </row>
    <row r="12" spans="1:7" x14ac:dyDescent="0.25">
      <c r="A12" s="71" t="s">
        <v>188</v>
      </c>
    </row>
    <row r="13" spans="1:7" x14ac:dyDescent="0.25">
      <c r="A13" t="s">
        <v>194</v>
      </c>
      <c r="E13" s="65">
        <f>-'Capital Structure'!C11</f>
        <v>-19100000</v>
      </c>
      <c r="F13" s="65">
        <v>0</v>
      </c>
      <c r="G13" s="65">
        <v>0</v>
      </c>
    </row>
    <row r="14" spans="1:7" x14ac:dyDescent="0.25">
      <c r="A14" t="s">
        <v>195</v>
      </c>
      <c r="E14" s="65">
        <f>-'Capital Structure'!C12</f>
        <v>-1000000</v>
      </c>
      <c r="F14" s="65">
        <v>0</v>
      </c>
      <c r="G14" s="65">
        <v>0</v>
      </c>
    </row>
    <row r="15" spans="1:7" x14ac:dyDescent="0.25">
      <c r="A15" s="108" t="s">
        <v>196</v>
      </c>
      <c r="B15" s="122"/>
      <c r="C15" s="122"/>
      <c r="D15" s="122"/>
      <c r="E15" s="116">
        <f>SUM(E13:E14)</f>
        <v>-20100000</v>
      </c>
      <c r="F15" s="116">
        <f t="shared" ref="F15:G15" si="2">SUM(F13:F14)</f>
        <v>0</v>
      </c>
      <c r="G15" s="116">
        <f t="shared" si="2"/>
        <v>0</v>
      </c>
    </row>
    <row r="17" spans="1:7" x14ac:dyDescent="0.25">
      <c r="A17" s="71" t="s">
        <v>189</v>
      </c>
    </row>
    <row r="18" spans="1:7" x14ac:dyDescent="0.25">
      <c r="A18" t="s">
        <v>197</v>
      </c>
      <c r="E18" s="65">
        <f>+'Capital Structure'!C16</f>
        <v>22500000</v>
      </c>
      <c r="F18" s="65">
        <v>0</v>
      </c>
      <c r="G18" s="65">
        <v>0</v>
      </c>
    </row>
    <row r="19" spans="1:7" x14ac:dyDescent="0.25">
      <c r="A19" s="108" t="s">
        <v>198</v>
      </c>
      <c r="B19" s="122"/>
      <c r="C19" s="122"/>
      <c r="D19" s="122"/>
      <c r="E19" s="116">
        <f>E18</f>
        <v>22500000</v>
      </c>
      <c r="F19" s="116">
        <f t="shared" ref="F19:G19" si="3">F18</f>
        <v>0</v>
      </c>
      <c r="G19" s="116">
        <f t="shared" si="3"/>
        <v>0</v>
      </c>
    </row>
    <row r="21" spans="1:7" x14ac:dyDescent="0.25">
      <c r="A21" s="127" t="s">
        <v>199</v>
      </c>
      <c r="B21" s="127"/>
      <c r="C21" s="127"/>
      <c r="D21" s="127"/>
      <c r="E21" s="128">
        <f>E10+E15+E19</f>
        <v>-1891489.7248967364</v>
      </c>
      <c r="F21" s="128">
        <f t="shared" ref="F21:G21" si="4">F10+F15+F19</f>
        <v>4158779.4820985175</v>
      </c>
      <c r="G21" s="128">
        <f t="shared" si="4"/>
        <v>17245459.344576396</v>
      </c>
    </row>
    <row r="22" spans="1:7" x14ac:dyDescent="0.25">
      <c r="A22" t="s">
        <v>200</v>
      </c>
      <c r="E22" s="65">
        <v>0</v>
      </c>
      <c r="F22" s="65">
        <f>E23</f>
        <v>-1891489.7248967364</v>
      </c>
      <c r="G22" s="65">
        <f>F23</f>
        <v>2267289.757201781</v>
      </c>
    </row>
    <row r="23" spans="1:7" x14ac:dyDescent="0.25">
      <c r="A23" s="108" t="s">
        <v>201</v>
      </c>
      <c r="B23" s="122"/>
      <c r="C23" s="122"/>
      <c r="D23" s="122"/>
      <c r="E23" s="116">
        <f>E21+E22</f>
        <v>-1891489.7248967364</v>
      </c>
      <c r="F23" s="116">
        <f t="shared" ref="F23:G23" si="5">F21+F22</f>
        <v>2267289.757201781</v>
      </c>
      <c r="G23" s="116">
        <f t="shared" si="5"/>
        <v>19512749.101778176</v>
      </c>
    </row>
    <row r="25" spans="1:7" s="96" customFormat="1" x14ac:dyDescent="0.25">
      <c r="A25" s="97" t="s">
        <v>150</v>
      </c>
      <c r="B25" s="95"/>
      <c r="C25" s="95"/>
      <c r="D25" s="9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7010-70B0-4285-A80E-C25D2C166EE7}">
  <dimension ref="A1:B8"/>
  <sheetViews>
    <sheetView tabSelected="1" workbookViewId="0">
      <selection activeCell="G11" sqref="G11"/>
    </sheetView>
  </sheetViews>
  <sheetFormatPr defaultRowHeight="15" x14ac:dyDescent="0.25"/>
  <cols>
    <col min="1" max="1" width="48.140625" bestFit="1" customWidth="1"/>
  </cols>
  <sheetData>
    <row r="1" spans="1:2" ht="18" thickBot="1" x14ac:dyDescent="0.35">
      <c r="A1" s="153" t="s">
        <v>221</v>
      </c>
    </row>
    <row r="2" spans="1:2" ht="15.75" thickTop="1" x14ac:dyDescent="0.25"/>
    <row r="3" spans="1:2" x14ac:dyDescent="0.25">
      <c r="A3" s="8" t="s">
        <v>222</v>
      </c>
    </row>
    <row r="4" spans="1:2" x14ac:dyDescent="0.25">
      <c r="A4" s="73" t="s">
        <v>225</v>
      </c>
      <c r="B4" s="154">
        <f>('Annual P&amp;L'!$G$10 - 'Annual P&amp;L'!$E$10)/'Annual P&amp;L'!$E$10</f>
        <v>1.6856233973863211</v>
      </c>
    </row>
    <row r="5" spans="1:2" x14ac:dyDescent="0.25">
      <c r="A5" s="73" t="s">
        <v>223</v>
      </c>
    </row>
    <row r="6" spans="1:2" x14ac:dyDescent="0.25">
      <c r="A6" s="73" t="s">
        <v>224</v>
      </c>
      <c r="B6" s="154">
        <f>('Annual P&amp;L'!$G$32-ABS('Annual P&amp;L'!$E$32))/ABS('Annual P&amp;L'!$E$32)</f>
        <v>8.4372088850174602</v>
      </c>
    </row>
    <row r="8" spans="1:2" x14ac:dyDescent="0.25">
      <c r="A8" s="118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showGridLines="0" topLeftCell="A94" workbookViewId="0">
      <selection activeCell="A105" sqref="A105:XFD105"/>
    </sheetView>
  </sheetViews>
  <sheetFormatPr defaultRowHeight="15" x14ac:dyDescent="0.25"/>
  <cols>
    <col min="1" max="1" width="40.28515625" bestFit="1" customWidth="1"/>
    <col min="2" max="2" width="10.140625" bestFit="1" customWidth="1"/>
    <col min="3" max="3" width="10.28515625" bestFit="1" customWidth="1"/>
    <col min="5" max="5" width="33.140625" bestFit="1" customWidth="1"/>
    <col min="6" max="6" width="10.140625" bestFit="1" customWidth="1"/>
    <col min="7" max="7" width="14.28515625" bestFit="1" customWidth="1"/>
  </cols>
  <sheetData>
    <row r="1" spans="1:8" ht="15.75" x14ac:dyDescent="0.25">
      <c r="A1" s="149" t="s">
        <v>0</v>
      </c>
      <c r="B1" s="150"/>
      <c r="C1" s="150"/>
      <c r="D1" s="150"/>
      <c r="E1" s="150"/>
      <c r="F1" s="150"/>
      <c r="G1" s="150"/>
      <c r="H1" s="150"/>
    </row>
    <row r="3" spans="1:8" x14ac:dyDescent="0.25">
      <c r="A3" s="5" t="s">
        <v>1</v>
      </c>
      <c r="B3" s="6"/>
      <c r="C3" s="6"/>
      <c r="D3" s="6"/>
      <c r="E3" s="6"/>
      <c r="F3" s="6"/>
      <c r="G3" s="11">
        <v>43922</v>
      </c>
    </row>
    <row r="4" spans="1:8" x14ac:dyDescent="0.25">
      <c r="A4" s="7" t="s">
        <v>2</v>
      </c>
      <c r="B4" s="8"/>
      <c r="C4" s="8"/>
      <c r="D4" s="8"/>
      <c r="E4" s="8"/>
      <c r="F4" s="8"/>
      <c r="G4" s="12" t="s">
        <v>3</v>
      </c>
    </row>
    <row r="5" spans="1:8" x14ac:dyDescent="0.25">
      <c r="A5" s="9" t="s">
        <v>4</v>
      </c>
      <c r="B5" s="10"/>
      <c r="C5" s="10"/>
      <c r="D5" s="10"/>
      <c r="E5" s="10"/>
      <c r="F5" s="10"/>
      <c r="G5" s="13">
        <v>44013</v>
      </c>
    </row>
    <row r="6" spans="1:8" ht="15.75" x14ac:dyDescent="0.25">
      <c r="A6" s="151" t="s">
        <v>5</v>
      </c>
      <c r="B6" s="152"/>
      <c r="C6" s="152"/>
      <c r="D6" s="152"/>
      <c r="E6" s="152"/>
      <c r="F6" s="152"/>
      <c r="G6" s="152"/>
    </row>
    <row r="7" spans="1:8" x14ac:dyDescent="0.25">
      <c r="A7" s="24" t="s">
        <v>6</v>
      </c>
      <c r="B7" s="25" t="s">
        <v>7</v>
      </c>
      <c r="C7" s="26" t="s">
        <v>8</v>
      </c>
      <c r="E7" s="24" t="s">
        <v>6</v>
      </c>
      <c r="F7" s="25" t="s">
        <v>7</v>
      </c>
      <c r="G7" s="26" t="s">
        <v>8</v>
      </c>
    </row>
    <row r="8" spans="1:8" x14ac:dyDescent="0.25">
      <c r="A8" s="23" t="s">
        <v>9</v>
      </c>
      <c r="B8" s="4"/>
      <c r="C8" s="2"/>
      <c r="E8" s="23" t="s">
        <v>10</v>
      </c>
      <c r="F8" s="4"/>
      <c r="G8" s="2"/>
    </row>
    <row r="9" spans="1:8" x14ac:dyDescent="0.25">
      <c r="A9" s="20" t="s">
        <v>11</v>
      </c>
      <c r="B9" s="21">
        <v>1500</v>
      </c>
      <c r="C9" s="22">
        <v>1700</v>
      </c>
      <c r="E9" s="20" t="s">
        <v>11</v>
      </c>
      <c r="F9" s="21">
        <v>1600</v>
      </c>
      <c r="G9" s="22">
        <v>1900</v>
      </c>
    </row>
    <row r="10" spans="1:8" x14ac:dyDescent="0.25">
      <c r="A10" s="7" t="s">
        <v>12</v>
      </c>
      <c r="B10" s="14">
        <v>300</v>
      </c>
      <c r="C10" s="15">
        <v>500</v>
      </c>
      <c r="E10" s="7" t="s">
        <v>12</v>
      </c>
      <c r="F10" s="14">
        <v>400</v>
      </c>
      <c r="G10" s="15">
        <v>650</v>
      </c>
    </row>
    <row r="11" spans="1:8" x14ac:dyDescent="0.25">
      <c r="A11" s="7" t="s">
        <v>13</v>
      </c>
      <c r="B11" s="14">
        <v>200</v>
      </c>
      <c r="C11" s="15">
        <v>200</v>
      </c>
      <c r="E11" s="7" t="s">
        <v>13</v>
      </c>
      <c r="F11" s="14">
        <v>200</v>
      </c>
      <c r="G11" s="15">
        <v>250</v>
      </c>
    </row>
    <row r="12" spans="1:8" x14ac:dyDescent="0.25">
      <c r="A12" s="7" t="s">
        <v>14</v>
      </c>
      <c r="B12" s="14">
        <v>1000</v>
      </c>
      <c r="C12" s="15">
        <v>1000</v>
      </c>
      <c r="E12" s="7" t="s">
        <v>14</v>
      </c>
      <c r="F12" s="14">
        <v>1000</v>
      </c>
      <c r="G12" s="15">
        <v>1000</v>
      </c>
    </row>
    <row r="13" spans="1:8" x14ac:dyDescent="0.25">
      <c r="A13" s="7" t="s">
        <v>15</v>
      </c>
      <c r="B13" s="16">
        <v>0.05</v>
      </c>
      <c r="C13" s="17">
        <v>0.05</v>
      </c>
      <c r="E13" s="7" t="s">
        <v>15</v>
      </c>
      <c r="F13" s="16">
        <v>0.05</v>
      </c>
      <c r="G13" s="17">
        <v>0.05</v>
      </c>
    </row>
    <row r="14" spans="1:8" x14ac:dyDescent="0.25">
      <c r="A14" s="7"/>
      <c r="B14" s="4"/>
      <c r="C14" s="2"/>
      <c r="E14" s="7"/>
      <c r="F14" s="4"/>
      <c r="G14" s="2"/>
    </row>
    <row r="15" spans="1:8" x14ac:dyDescent="0.25">
      <c r="A15" s="7" t="s">
        <v>16</v>
      </c>
      <c r="B15" s="4"/>
      <c r="C15" s="2"/>
      <c r="E15" s="7" t="s">
        <v>16</v>
      </c>
      <c r="F15" s="4"/>
      <c r="G15" s="2"/>
    </row>
    <row r="16" spans="1:8" x14ac:dyDescent="0.25">
      <c r="A16" s="7" t="s">
        <v>17</v>
      </c>
      <c r="B16" s="14">
        <v>100</v>
      </c>
      <c r="C16" s="15">
        <v>100</v>
      </c>
      <c r="E16" s="7" t="s">
        <v>17</v>
      </c>
      <c r="F16" s="14">
        <v>100</v>
      </c>
      <c r="G16" s="15">
        <v>100</v>
      </c>
    </row>
    <row r="17" spans="1:7" x14ac:dyDescent="0.25">
      <c r="A17" s="7" t="s">
        <v>18</v>
      </c>
      <c r="B17" s="14">
        <v>2</v>
      </c>
      <c r="C17" s="15">
        <v>2</v>
      </c>
      <c r="E17" s="7" t="s">
        <v>18</v>
      </c>
      <c r="F17" s="14">
        <v>2</v>
      </c>
      <c r="G17" s="15">
        <v>2</v>
      </c>
    </row>
    <row r="18" spans="1:7" x14ac:dyDescent="0.25">
      <c r="A18" s="7" t="s">
        <v>19</v>
      </c>
      <c r="B18" s="27">
        <v>10</v>
      </c>
      <c r="C18" s="28">
        <v>13</v>
      </c>
      <c r="E18" s="7" t="s">
        <v>19</v>
      </c>
      <c r="F18" s="27">
        <v>13</v>
      </c>
      <c r="G18" s="28">
        <v>15</v>
      </c>
    </row>
    <row r="19" spans="1:7" x14ac:dyDescent="0.25">
      <c r="A19" s="7" t="s">
        <v>20</v>
      </c>
      <c r="B19" s="16">
        <v>0.02</v>
      </c>
      <c r="C19" s="17">
        <v>0.04</v>
      </c>
      <c r="E19" s="7" t="s">
        <v>20</v>
      </c>
      <c r="F19" s="16">
        <v>0.02</v>
      </c>
      <c r="G19" s="17">
        <v>0.04</v>
      </c>
    </row>
    <row r="20" spans="1:7" x14ac:dyDescent="0.25">
      <c r="A20" s="9" t="s">
        <v>21</v>
      </c>
      <c r="B20" s="18">
        <v>60</v>
      </c>
      <c r="C20" s="19">
        <v>80</v>
      </c>
      <c r="E20" s="9" t="s">
        <v>21</v>
      </c>
      <c r="F20" s="18">
        <v>70</v>
      </c>
      <c r="G20" s="19">
        <v>90</v>
      </c>
    </row>
    <row r="23" spans="1:7" x14ac:dyDescent="0.25">
      <c r="A23" s="140" t="s">
        <v>22</v>
      </c>
      <c r="B23" s="141"/>
      <c r="C23" s="141"/>
      <c r="D23" s="141"/>
      <c r="E23" s="141"/>
      <c r="F23" s="141"/>
      <c r="G23" s="141"/>
    </row>
    <row r="24" spans="1:7" x14ac:dyDescent="0.25">
      <c r="A24" s="5" t="s">
        <v>23</v>
      </c>
      <c r="B24" s="1"/>
      <c r="C24" s="1"/>
      <c r="D24" s="1"/>
      <c r="E24" s="1"/>
      <c r="F24" s="1"/>
      <c r="G24" s="29">
        <v>0.35</v>
      </c>
    </row>
    <row r="25" spans="1:7" x14ac:dyDescent="0.25">
      <c r="A25" s="7" t="s">
        <v>24</v>
      </c>
      <c r="G25" s="16">
        <v>0.4</v>
      </c>
    </row>
    <row r="26" spans="1:7" x14ac:dyDescent="0.25">
      <c r="A26" s="9" t="s">
        <v>25</v>
      </c>
      <c r="B26" s="3"/>
      <c r="C26" s="3"/>
      <c r="D26" s="3"/>
      <c r="E26" s="3"/>
      <c r="F26" s="3"/>
      <c r="G26" s="30">
        <v>0.3</v>
      </c>
    </row>
    <row r="28" spans="1:7" x14ac:dyDescent="0.25">
      <c r="A28" s="8" t="s">
        <v>26</v>
      </c>
    </row>
    <row r="29" spans="1:7" x14ac:dyDescent="0.25">
      <c r="A29" s="147" t="s">
        <v>27</v>
      </c>
      <c r="B29" s="148"/>
      <c r="C29" s="148"/>
      <c r="D29" s="148"/>
      <c r="E29" s="52" t="s">
        <v>28</v>
      </c>
      <c r="F29" s="53" t="s">
        <v>29</v>
      </c>
      <c r="G29" s="54" t="s">
        <v>29</v>
      </c>
    </row>
    <row r="30" spans="1:7" x14ac:dyDescent="0.25">
      <c r="A30" s="8" t="s">
        <v>30</v>
      </c>
      <c r="E30" s="33">
        <v>2</v>
      </c>
      <c r="F30" s="4">
        <v>20000</v>
      </c>
      <c r="G30" s="2">
        <f>E30*F30</f>
        <v>40000</v>
      </c>
    </row>
    <row r="31" spans="1:7" x14ac:dyDescent="0.25">
      <c r="A31" s="8" t="s">
        <v>31</v>
      </c>
      <c r="E31" s="33">
        <v>2</v>
      </c>
      <c r="F31" s="4">
        <v>50000</v>
      </c>
      <c r="G31" s="2">
        <f t="shared" ref="G31:G38" si="0">E31*F31</f>
        <v>100000</v>
      </c>
    </row>
    <row r="32" spans="1:7" x14ac:dyDescent="0.25">
      <c r="A32" s="8" t="s">
        <v>32</v>
      </c>
      <c r="E32" s="33">
        <v>10</v>
      </c>
      <c r="F32" s="4">
        <v>20000</v>
      </c>
      <c r="G32" s="2">
        <f t="shared" si="0"/>
        <v>200000</v>
      </c>
    </row>
    <row r="33" spans="1:7" x14ac:dyDescent="0.25">
      <c r="A33" s="8" t="s">
        <v>33</v>
      </c>
      <c r="E33" s="33">
        <v>1</v>
      </c>
      <c r="F33" s="4">
        <v>100000</v>
      </c>
      <c r="G33" s="2">
        <f t="shared" si="0"/>
        <v>100000</v>
      </c>
    </row>
    <row r="34" spans="1:7" x14ac:dyDescent="0.25">
      <c r="A34" s="8" t="s">
        <v>34</v>
      </c>
      <c r="E34" s="33">
        <v>2</v>
      </c>
      <c r="F34" s="4">
        <v>75000</v>
      </c>
      <c r="G34" s="2">
        <f t="shared" si="0"/>
        <v>150000</v>
      </c>
    </row>
    <row r="35" spans="1:7" x14ac:dyDescent="0.25">
      <c r="A35" s="8" t="s">
        <v>35</v>
      </c>
      <c r="E35" s="33">
        <v>6</v>
      </c>
      <c r="F35" s="4">
        <v>30000</v>
      </c>
      <c r="G35" s="2">
        <f t="shared" si="0"/>
        <v>180000</v>
      </c>
    </row>
    <row r="36" spans="1:7" x14ac:dyDescent="0.25">
      <c r="A36" s="8" t="s">
        <v>36</v>
      </c>
      <c r="E36" s="33">
        <v>3</v>
      </c>
      <c r="F36" s="4">
        <v>17000</v>
      </c>
      <c r="G36" s="2">
        <f t="shared" si="0"/>
        <v>51000</v>
      </c>
    </row>
    <row r="37" spans="1:7" x14ac:dyDescent="0.25">
      <c r="A37" s="8" t="s">
        <v>37</v>
      </c>
      <c r="E37" s="33">
        <v>5</v>
      </c>
      <c r="F37" s="4">
        <v>17000</v>
      </c>
      <c r="G37" s="2">
        <f t="shared" si="0"/>
        <v>85000</v>
      </c>
    </row>
    <row r="38" spans="1:7" x14ac:dyDescent="0.25">
      <c r="A38" s="8" t="s">
        <v>38</v>
      </c>
      <c r="E38" s="33">
        <v>4</v>
      </c>
      <c r="F38" s="4">
        <v>20000</v>
      </c>
      <c r="G38" s="2">
        <f t="shared" si="0"/>
        <v>80000</v>
      </c>
    </row>
    <row r="39" spans="1:7" x14ac:dyDescent="0.25">
      <c r="A39" s="142" t="s">
        <v>39</v>
      </c>
      <c r="B39" s="143"/>
      <c r="C39" s="143"/>
      <c r="D39" s="143"/>
      <c r="E39" s="31"/>
      <c r="F39" s="40"/>
      <c r="G39" s="32">
        <f>SUM(G30:G38)</f>
        <v>986000</v>
      </c>
    </row>
    <row r="40" spans="1:7" x14ac:dyDescent="0.25">
      <c r="A40" s="34" t="s">
        <v>40</v>
      </c>
      <c r="G40" s="35">
        <v>0.08</v>
      </c>
    </row>
    <row r="41" spans="1:7" x14ac:dyDescent="0.25">
      <c r="A41" s="140" t="s">
        <v>41</v>
      </c>
      <c r="B41" s="141"/>
      <c r="C41" s="141"/>
      <c r="D41" s="141"/>
      <c r="E41" s="141"/>
      <c r="F41" s="141"/>
      <c r="G41" s="141"/>
    </row>
    <row r="42" spans="1:7" x14ac:dyDescent="0.25">
      <c r="A42" s="147" t="s">
        <v>27</v>
      </c>
      <c r="B42" s="148"/>
      <c r="C42" s="148"/>
      <c r="D42" s="148"/>
      <c r="E42" s="52" t="s">
        <v>28</v>
      </c>
      <c r="F42" s="53" t="s">
        <v>29</v>
      </c>
      <c r="G42" s="54" t="s">
        <v>29</v>
      </c>
    </row>
    <row r="43" spans="1:7" x14ac:dyDescent="0.25">
      <c r="A43" s="8" t="s">
        <v>42</v>
      </c>
      <c r="E43" s="33">
        <v>1</v>
      </c>
      <c r="F43" s="4">
        <v>50000</v>
      </c>
      <c r="G43" s="2">
        <f>E43*F43</f>
        <v>50000</v>
      </c>
    </row>
    <row r="44" spans="1:7" x14ac:dyDescent="0.25">
      <c r="A44" s="8" t="s">
        <v>43</v>
      </c>
      <c r="E44" s="33">
        <v>2</v>
      </c>
      <c r="F44" s="4">
        <v>35000</v>
      </c>
      <c r="G44" s="2">
        <f t="shared" ref="G44:G48" si="1">E44*F44</f>
        <v>70000</v>
      </c>
    </row>
    <row r="45" spans="1:7" x14ac:dyDescent="0.25">
      <c r="A45" s="8" t="s">
        <v>44</v>
      </c>
      <c r="E45" s="33">
        <v>2</v>
      </c>
      <c r="F45" s="4">
        <v>20000</v>
      </c>
      <c r="G45" s="2">
        <f t="shared" si="1"/>
        <v>40000</v>
      </c>
    </row>
    <row r="46" spans="1:7" x14ac:dyDescent="0.25">
      <c r="A46" s="8" t="s">
        <v>45</v>
      </c>
      <c r="E46" s="33">
        <v>2</v>
      </c>
      <c r="F46" s="4">
        <v>40000</v>
      </c>
      <c r="G46" s="2">
        <f t="shared" si="1"/>
        <v>80000</v>
      </c>
    </row>
    <row r="47" spans="1:7" x14ac:dyDescent="0.25">
      <c r="A47" s="8" t="s">
        <v>46</v>
      </c>
      <c r="E47" s="33">
        <v>2</v>
      </c>
      <c r="F47" s="4">
        <v>40000</v>
      </c>
      <c r="G47" s="2">
        <f t="shared" si="1"/>
        <v>80000</v>
      </c>
    </row>
    <row r="48" spans="1:7" x14ac:dyDescent="0.25">
      <c r="A48" s="8" t="s">
        <v>47</v>
      </c>
      <c r="E48" s="39">
        <v>2</v>
      </c>
      <c r="F48" s="37">
        <v>30000</v>
      </c>
      <c r="G48" s="38">
        <f t="shared" si="1"/>
        <v>60000</v>
      </c>
    </row>
    <row r="49" spans="1:7" x14ac:dyDescent="0.25">
      <c r="A49" s="142" t="s">
        <v>39</v>
      </c>
      <c r="B49" s="143"/>
      <c r="C49" s="143"/>
      <c r="D49" s="143"/>
      <c r="E49" s="3"/>
      <c r="F49" s="37"/>
      <c r="G49" s="38">
        <f>SUM(G43:G48)</f>
        <v>380000</v>
      </c>
    </row>
    <row r="51" spans="1:7" x14ac:dyDescent="0.25">
      <c r="A51" s="5" t="s">
        <v>48</v>
      </c>
      <c r="B51" s="1"/>
      <c r="C51" s="1"/>
      <c r="D51" s="1"/>
      <c r="E51" s="1"/>
      <c r="F51" s="1"/>
      <c r="G51" s="42">
        <v>0.05</v>
      </c>
    </row>
    <row r="52" spans="1:7" x14ac:dyDescent="0.25">
      <c r="A52" s="7" t="s">
        <v>49</v>
      </c>
      <c r="B52" s="41"/>
      <c r="C52" s="41"/>
      <c r="D52" s="41"/>
      <c r="E52" s="41"/>
      <c r="F52" s="41"/>
      <c r="G52" s="43">
        <v>0.1</v>
      </c>
    </row>
    <row r="53" spans="1:7" x14ac:dyDescent="0.25">
      <c r="A53" s="7" t="s">
        <v>50</v>
      </c>
      <c r="B53" s="41"/>
      <c r="C53" s="41"/>
      <c r="D53" s="41"/>
      <c r="E53" s="41"/>
      <c r="F53" s="41"/>
      <c r="G53" s="4">
        <v>10000</v>
      </c>
    </row>
    <row r="54" spans="1:7" x14ac:dyDescent="0.25">
      <c r="A54" s="7" t="s">
        <v>51</v>
      </c>
      <c r="B54" s="41"/>
      <c r="C54" s="41"/>
      <c r="D54" s="41"/>
      <c r="E54" s="41"/>
      <c r="F54" s="41"/>
      <c r="G54" s="4">
        <v>50000</v>
      </c>
    </row>
    <row r="55" spans="1:7" x14ac:dyDescent="0.25">
      <c r="A55" s="7" t="s">
        <v>52</v>
      </c>
      <c r="B55" s="41"/>
      <c r="C55" s="41"/>
      <c r="D55" s="41"/>
      <c r="E55" s="41"/>
      <c r="F55" s="41"/>
      <c r="G55" s="4">
        <v>25000</v>
      </c>
    </row>
    <row r="56" spans="1:7" x14ac:dyDescent="0.25">
      <c r="A56" s="7" t="s">
        <v>53</v>
      </c>
      <c r="B56" s="41"/>
      <c r="C56" s="41"/>
      <c r="D56" s="41"/>
      <c r="E56" s="41"/>
      <c r="F56" s="41"/>
      <c r="G56" s="4">
        <v>5</v>
      </c>
    </row>
    <row r="57" spans="1:7" x14ac:dyDescent="0.25">
      <c r="A57" s="7" t="s">
        <v>54</v>
      </c>
      <c r="B57" s="41"/>
      <c r="C57" s="41"/>
      <c r="D57" s="41"/>
      <c r="E57" s="41"/>
      <c r="F57" s="41"/>
      <c r="G57" s="4">
        <v>15000</v>
      </c>
    </row>
    <row r="58" spans="1:7" x14ac:dyDescent="0.25">
      <c r="A58" s="7" t="s">
        <v>55</v>
      </c>
      <c r="B58" s="41"/>
      <c r="C58" s="41"/>
      <c r="D58" s="41"/>
      <c r="E58" s="41"/>
      <c r="F58" s="41"/>
      <c r="G58" s="43">
        <v>0.02</v>
      </c>
    </row>
    <row r="59" spans="1:7" x14ac:dyDescent="0.25">
      <c r="A59" s="7" t="s">
        <v>56</v>
      </c>
      <c r="B59" s="41"/>
      <c r="C59" s="41"/>
      <c r="D59" s="41"/>
      <c r="E59" s="41"/>
      <c r="F59" s="41"/>
      <c r="G59" s="44">
        <v>1.4999999999999999E-2</v>
      </c>
    </row>
    <row r="60" spans="1:7" x14ac:dyDescent="0.25">
      <c r="A60" s="9" t="s">
        <v>57</v>
      </c>
      <c r="B60" s="3"/>
      <c r="C60" s="3"/>
      <c r="D60" s="3"/>
      <c r="E60" s="3"/>
      <c r="F60" s="3"/>
      <c r="G60" s="45">
        <v>0.5</v>
      </c>
    </row>
    <row r="61" spans="1:7" x14ac:dyDescent="0.25">
      <c r="A61" s="34" t="s">
        <v>58</v>
      </c>
      <c r="G61" s="101">
        <v>0.08</v>
      </c>
    </row>
    <row r="63" spans="1:7" x14ac:dyDescent="0.25">
      <c r="A63" s="140" t="s">
        <v>59</v>
      </c>
      <c r="B63" s="141"/>
      <c r="C63" s="141"/>
      <c r="D63" s="141"/>
      <c r="E63" s="141"/>
      <c r="F63" s="141"/>
      <c r="G63" s="141"/>
    </row>
    <row r="64" spans="1:7" x14ac:dyDescent="0.25">
      <c r="A64" s="5" t="s">
        <v>60</v>
      </c>
      <c r="B64" s="1"/>
      <c r="C64" s="1"/>
      <c r="D64" s="1"/>
      <c r="E64" s="1"/>
      <c r="F64" s="1"/>
      <c r="G64" s="46">
        <v>4000</v>
      </c>
    </row>
    <row r="65" spans="1:7" x14ac:dyDescent="0.25">
      <c r="A65" s="7" t="s">
        <v>61</v>
      </c>
      <c r="B65" s="41"/>
      <c r="C65" s="41"/>
      <c r="D65" s="41"/>
      <c r="E65" s="41"/>
      <c r="F65" s="41"/>
      <c r="G65" s="4">
        <v>1.33</v>
      </c>
    </row>
    <row r="66" spans="1:7" x14ac:dyDescent="0.25">
      <c r="A66" s="7" t="s">
        <v>62</v>
      </c>
      <c r="B66" s="41"/>
      <c r="C66" s="41"/>
      <c r="D66" s="41"/>
      <c r="E66" s="41"/>
      <c r="F66" s="41"/>
      <c r="G66" s="4">
        <v>5320</v>
      </c>
    </row>
    <row r="67" spans="1:7" x14ac:dyDescent="0.25">
      <c r="A67" s="7" t="s">
        <v>63</v>
      </c>
      <c r="B67" s="41"/>
      <c r="C67" s="41"/>
      <c r="D67" s="41"/>
      <c r="E67" s="41"/>
      <c r="F67" s="41"/>
      <c r="G67" s="43">
        <v>0.75</v>
      </c>
    </row>
    <row r="68" spans="1:7" x14ac:dyDescent="0.25">
      <c r="A68" s="7" t="s">
        <v>64</v>
      </c>
      <c r="B68" s="41"/>
      <c r="C68" s="41"/>
      <c r="D68" s="41"/>
      <c r="E68" s="41"/>
      <c r="F68" s="41"/>
      <c r="G68" s="4">
        <v>3000</v>
      </c>
    </row>
    <row r="69" spans="1:7" x14ac:dyDescent="0.25">
      <c r="A69" s="7" t="s">
        <v>65</v>
      </c>
      <c r="B69" s="41"/>
      <c r="C69" s="41"/>
      <c r="D69" s="41"/>
      <c r="E69" s="41"/>
      <c r="F69" s="41"/>
      <c r="G69" s="4">
        <v>1000</v>
      </c>
    </row>
    <row r="70" spans="1:7" x14ac:dyDescent="0.25">
      <c r="A70" s="7" t="s">
        <v>66</v>
      </c>
      <c r="B70" s="41"/>
      <c r="C70" s="41"/>
      <c r="D70" s="41"/>
      <c r="E70" s="41"/>
      <c r="F70" s="41"/>
      <c r="G70" s="4">
        <v>25</v>
      </c>
    </row>
    <row r="71" spans="1:7" x14ac:dyDescent="0.25">
      <c r="A71" s="7" t="s">
        <v>67</v>
      </c>
      <c r="B71" s="41"/>
      <c r="C71" s="41"/>
      <c r="D71" s="41"/>
      <c r="E71" s="41"/>
      <c r="F71" s="41"/>
      <c r="G71" s="4">
        <v>100</v>
      </c>
    </row>
    <row r="72" spans="1:7" x14ac:dyDescent="0.25">
      <c r="A72" s="7" t="s">
        <v>68</v>
      </c>
      <c r="B72" s="41"/>
      <c r="C72" s="41"/>
      <c r="D72" s="41"/>
      <c r="E72" s="41"/>
      <c r="F72" s="41"/>
      <c r="G72" s="4">
        <v>4</v>
      </c>
    </row>
    <row r="73" spans="1:7" x14ac:dyDescent="0.25">
      <c r="A73" s="9" t="s">
        <v>69</v>
      </c>
      <c r="B73" s="3"/>
      <c r="C73" s="3"/>
      <c r="D73" s="3"/>
      <c r="E73" s="3"/>
      <c r="F73" s="3"/>
      <c r="G73" s="37">
        <v>30</v>
      </c>
    </row>
    <row r="75" spans="1:7" x14ac:dyDescent="0.25">
      <c r="A75" s="140" t="s">
        <v>70</v>
      </c>
      <c r="B75" s="141"/>
      <c r="C75" s="141"/>
      <c r="D75" s="141"/>
      <c r="E75" s="141"/>
      <c r="F75" s="141"/>
      <c r="G75" s="141"/>
    </row>
    <row r="76" spans="1:7" x14ac:dyDescent="0.25">
      <c r="A76" s="55" t="s">
        <v>71</v>
      </c>
      <c r="B76" s="56"/>
      <c r="C76" s="56"/>
      <c r="D76" s="56"/>
      <c r="E76" s="56"/>
      <c r="F76" s="56"/>
      <c r="G76" s="57" t="s">
        <v>72</v>
      </c>
    </row>
    <row r="77" spans="1:7" x14ac:dyDescent="0.25">
      <c r="A77" s="5" t="s">
        <v>73</v>
      </c>
      <c r="B77" s="1"/>
      <c r="C77" s="1"/>
      <c r="D77" s="1"/>
      <c r="E77" s="1"/>
      <c r="F77" s="1"/>
      <c r="G77" s="46">
        <v>3000</v>
      </c>
    </row>
    <row r="78" spans="1:7" x14ac:dyDescent="0.25">
      <c r="A78" s="7" t="s">
        <v>159</v>
      </c>
      <c r="B78" s="41"/>
      <c r="C78" s="41"/>
      <c r="D78" s="41"/>
      <c r="E78" s="41"/>
      <c r="F78" s="41"/>
      <c r="G78" s="4">
        <v>5000</v>
      </c>
    </row>
    <row r="79" spans="1:7" x14ac:dyDescent="0.25">
      <c r="A79" s="7" t="s">
        <v>74</v>
      </c>
      <c r="B79" s="41"/>
      <c r="C79" s="41"/>
      <c r="D79" s="41"/>
      <c r="E79" s="41"/>
      <c r="F79" s="41"/>
      <c r="G79" s="4">
        <v>1700</v>
      </c>
    </row>
    <row r="80" spans="1:7" x14ac:dyDescent="0.25">
      <c r="A80" s="7" t="s">
        <v>75</v>
      </c>
      <c r="B80" s="41"/>
      <c r="C80" s="41"/>
      <c r="D80" s="41"/>
      <c r="E80" s="41"/>
      <c r="F80" s="41"/>
      <c r="G80" s="4">
        <v>2000</v>
      </c>
    </row>
    <row r="81" spans="1:7" x14ac:dyDescent="0.25">
      <c r="A81" s="9" t="s">
        <v>76</v>
      </c>
      <c r="B81" s="3"/>
      <c r="C81" s="3"/>
      <c r="D81" s="3"/>
      <c r="E81" s="3"/>
      <c r="F81" s="3"/>
      <c r="G81" s="37">
        <v>1000000</v>
      </c>
    </row>
    <row r="83" spans="1:7" x14ac:dyDescent="0.25">
      <c r="A83" s="144" t="s">
        <v>77</v>
      </c>
      <c r="B83" s="145"/>
      <c r="C83" s="145"/>
      <c r="D83" s="145"/>
      <c r="E83" s="145"/>
      <c r="F83" s="145"/>
      <c r="G83" s="146"/>
    </row>
    <row r="84" spans="1:7" x14ac:dyDescent="0.25">
      <c r="A84" s="66"/>
      <c r="B84" s="67"/>
      <c r="C84" s="67"/>
      <c r="D84" s="67"/>
      <c r="E84" s="67"/>
      <c r="F84" s="67"/>
      <c r="G84" s="18" t="s">
        <v>78</v>
      </c>
    </row>
    <row r="85" spans="1:7" x14ac:dyDescent="0.25">
      <c r="A85" s="7" t="s">
        <v>79</v>
      </c>
      <c r="B85" s="41"/>
      <c r="C85" s="41"/>
      <c r="D85" s="41"/>
      <c r="E85" s="41"/>
      <c r="F85" s="41"/>
      <c r="G85" s="49">
        <v>2400000</v>
      </c>
    </row>
    <row r="86" spans="1:7" x14ac:dyDescent="0.25">
      <c r="A86" s="58" t="s">
        <v>80</v>
      </c>
      <c r="B86" s="31"/>
      <c r="C86" s="31"/>
      <c r="D86" s="31"/>
      <c r="E86" s="31"/>
      <c r="F86" s="31"/>
      <c r="G86" s="40"/>
    </row>
    <row r="87" spans="1:7" x14ac:dyDescent="0.25">
      <c r="A87" s="50" t="s">
        <v>12</v>
      </c>
      <c r="B87" s="41"/>
      <c r="C87" s="41"/>
      <c r="D87" s="41"/>
      <c r="E87" s="41"/>
      <c r="F87" s="41"/>
      <c r="G87" s="4">
        <v>30</v>
      </c>
    </row>
    <row r="88" spans="1:7" x14ac:dyDescent="0.25">
      <c r="A88" s="50" t="s">
        <v>13</v>
      </c>
      <c r="B88" s="41"/>
      <c r="C88" s="41"/>
      <c r="D88" s="41"/>
      <c r="E88" s="41"/>
      <c r="F88" s="41"/>
      <c r="G88" s="4">
        <v>15</v>
      </c>
    </row>
    <row r="89" spans="1:7" x14ac:dyDescent="0.25">
      <c r="A89" s="50" t="s">
        <v>14</v>
      </c>
      <c r="B89" s="41"/>
      <c r="C89" s="41"/>
      <c r="D89" s="41"/>
      <c r="E89" s="41"/>
      <c r="F89" s="41"/>
      <c r="G89" s="4">
        <v>5</v>
      </c>
    </row>
    <row r="90" spans="1:7" x14ac:dyDescent="0.25">
      <c r="A90" s="50" t="s">
        <v>81</v>
      </c>
      <c r="B90" s="41"/>
      <c r="C90" s="41"/>
      <c r="D90" s="41"/>
      <c r="E90" s="41"/>
      <c r="F90" s="41"/>
      <c r="G90" s="4">
        <v>30</v>
      </c>
    </row>
    <row r="91" spans="1:7" x14ac:dyDescent="0.25">
      <c r="A91" s="51" t="s">
        <v>82</v>
      </c>
      <c r="B91" s="3"/>
      <c r="C91" s="3"/>
      <c r="D91" s="3"/>
      <c r="E91" s="3"/>
      <c r="F91" s="3"/>
      <c r="G91" s="37">
        <v>30</v>
      </c>
    </row>
    <row r="93" spans="1:7" x14ac:dyDescent="0.25">
      <c r="A93" s="140" t="s">
        <v>83</v>
      </c>
      <c r="B93" s="141"/>
      <c r="C93" s="141"/>
      <c r="D93" s="141"/>
      <c r="E93" s="141"/>
      <c r="F93" s="141"/>
      <c r="G93" s="141"/>
    </row>
    <row r="94" spans="1:7" x14ac:dyDescent="0.25">
      <c r="A94" s="5" t="s">
        <v>71</v>
      </c>
      <c r="B94" s="1"/>
      <c r="C94" s="1"/>
      <c r="D94" s="1"/>
      <c r="E94" s="1"/>
      <c r="F94" s="1"/>
      <c r="G94" s="42">
        <v>0.15</v>
      </c>
    </row>
    <row r="95" spans="1:7" x14ac:dyDescent="0.25">
      <c r="A95" s="9" t="s">
        <v>84</v>
      </c>
      <c r="B95" s="3"/>
      <c r="C95" s="3"/>
      <c r="D95" s="3"/>
      <c r="E95" s="3"/>
      <c r="F95" s="3"/>
      <c r="G95" s="45">
        <v>0.1</v>
      </c>
    </row>
    <row r="97" spans="1:7" x14ac:dyDescent="0.25">
      <c r="A97" s="140" t="s">
        <v>85</v>
      </c>
      <c r="B97" s="141"/>
      <c r="C97" s="141"/>
      <c r="D97" s="141"/>
      <c r="E97" s="141"/>
      <c r="F97" s="141"/>
      <c r="G97" s="141"/>
    </row>
    <row r="98" spans="1:7" x14ac:dyDescent="0.25">
      <c r="A98" s="5" t="s">
        <v>86</v>
      </c>
      <c r="B98" s="1"/>
      <c r="C98" s="1"/>
      <c r="D98" s="1"/>
      <c r="E98" s="1"/>
      <c r="F98" s="1"/>
      <c r="G98" s="42">
        <v>1</v>
      </c>
    </row>
    <row r="99" spans="1:7" x14ac:dyDescent="0.25">
      <c r="A99" s="9" t="s">
        <v>87</v>
      </c>
      <c r="B99" s="3"/>
      <c r="C99" s="3"/>
      <c r="D99" s="3"/>
      <c r="E99" s="3"/>
      <c r="F99" s="3"/>
      <c r="G99" s="45">
        <v>0</v>
      </c>
    </row>
    <row r="100" spans="1:7" x14ac:dyDescent="0.25">
      <c r="A100" s="8" t="s">
        <v>88</v>
      </c>
    </row>
    <row r="101" spans="1:7" x14ac:dyDescent="0.25">
      <c r="A101" s="36" t="s">
        <v>89</v>
      </c>
      <c r="B101" s="31"/>
      <c r="C101" s="31"/>
      <c r="D101" s="31"/>
      <c r="E101" s="31"/>
      <c r="F101" s="31"/>
      <c r="G101" s="47">
        <v>0.12</v>
      </c>
    </row>
    <row r="103" spans="1:7" x14ac:dyDescent="0.25">
      <c r="A103" s="36" t="s">
        <v>90</v>
      </c>
      <c r="B103" s="31"/>
      <c r="C103" s="31"/>
      <c r="D103" s="31"/>
      <c r="E103" s="31"/>
      <c r="F103" s="31"/>
      <c r="G103" s="48">
        <v>0.25169999999999998</v>
      </c>
    </row>
    <row r="105" spans="1:7" s="96" customFormat="1" x14ac:dyDescent="0.25">
      <c r="A105" s="97" t="s">
        <v>150</v>
      </c>
      <c r="B105" s="95"/>
      <c r="C105" s="95"/>
      <c r="D105" s="95"/>
    </row>
  </sheetData>
  <mergeCells count="13">
    <mergeCell ref="A41:G41"/>
    <mergeCell ref="A42:D42"/>
    <mergeCell ref="A1:H1"/>
    <mergeCell ref="A6:G6"/>
    <mergeCell ref="A23:G23"/>
    <mergeCell ref="A29:D29"/>
    <mergeCell ref="A39:D39"/>
    <mergeCell ref="A93:G93"/>
    <mergeCell ref="A97:G97"/>
    <mergeCell ref="A49:D49"/>
    <mergeCell ref="A63:G63"/>
    <mergeCell ref="A75:G75"/>
    <mergeCell ref="A83:G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  <col min="2" max="2" width="11.42578125" customWidth="1"/>
    <col min="3" max="3" width="16.28515625" bestFit="1" customWidth="1"/>
    <col min="4" max="4" width="16.42578125" customWidth="1"/>
  </cols>
  <sheetData>
    <row r="1" spans="1:4" x14ac:dyDescent="0.25">
      <c r="A1" s="59" t="s">
        <v>91</v>
      </c>
      <c r="B1" t="s">
        <v>92</v>
      </c>
      <c r="C1" s="61" t="s">
        <v>98</v>
      </c>
      <c r="D1" s="60">
        <f>VLOOKUP(C1,A3:B9,2,0)</f>
        <v>100000</v>
      </c>
    </row>
    <row r="3" spans="1:4" x14ac:dyDescent="0.25">
      <c r="A3" t="s">
        <v>94</v>
      </c>
      <c r="B3">
        <v>1</v>
      </c>
    </row>
    <row r="4" spans="1:4" x14ac:dyDescent="0.25">
      <c r="A4" t="s">
        <v>95</v>
      </c>
      <c r="B4">
        <v>10</v>
      </c>
    </row>
    <row r="5" spans="1:4" x14ac:dyDescent="0.25">
      <c r="A5" t="s">
        <v>96</v>
      </c>
      <c r="B5">
        <v>100</v>
      </c>
    </row>
    <row r="6" spans="1:4" x14ac:dyDescent="0.25">
      <c r="A6" t="s">
        <v>97</v>
      </c>
      <c r="B6">
        <v>1000</v>
      </c>
    </row>
    <row r="7" spans="1:4" x14ac:dyDescent="0.25">
      <c r="A7" t="s">
        <v>98</v>
      </c>
      <c r="B7">
        <v>100000</v>
      </c>
    </row>
    <row r="8" spans="1:4" x14ac:dyDescent="0.25">
      <c r="A8" t="s">
        <v>99</v>
      </c>
      <c r="B8">
        <v>1000000</v>
      </c>
    </row>
    <row r="9" spans="1:4" x14ac:dyDescent="0.25">
      <c r="A9" t="s">
        <v>93</v>
      </c>
      <c r="B9">
        <v>10000000</v>
      </c>
    </row>
    <row r="11" spans="1:4" x14ac:dyDescent="0.25">
      <c r="A11" s="62" t="s">
        <v>100</v>
      </c>
      <c r="C11" s="62" t="s">
        <v>101</v>
      </c>
    </row>
    <row r="13" spans="1:4" s="96" customFormat="1" x14ac:dyDescent="0.25">
      <c r="A13" s="97" t="s">
        <v>150</v>
      </c>
      <c r="B13" s="95"/>
      <c r="C13" s="95"/>
      <c r="D13" s="95"/>
    </row>
  </sheetData>
  <dataValidations count="1">
    <dataValidation type="list" allowBlank="1" showInputMessage="1" showErrorMessage="1" sqref="C1" xr:uid="{00000000-0002-0000-0200-000000000000}">
      <formula1>$A$3:$A$9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8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83" sqref="C83"/>
    </sheetView>
  </sheetViews>
  <sheetFormatPr defaultRowHeight="15" x14ac:dyDescent="0.25"/>
  <cols>
    <col min="1" max="1" width="25.85546875" bestFit="1" customWidth="1"/>
    <col min="2" max="2" width="16" customWidth="1"/>
    <col min="5" max="5" width="9.7109375" style="65" bestFit="1" customWidth="1"/>
    <col min="6" max="6" width="10.28515625" style="65" bestFit="1" customWidth="1"/>
    <col min="7" max="7" width="9.5703125" style="65" bestFit="1" customWidth="1"/>
    <col min="8" max="40" width="12.5703125" style="65" bestFit="1" customWidth="1"/>
    <col min="41" max="16384" width="9.140625" style="65"/>
  </cols>
  <sheetData>
    <row r="1" spans="1:40" customFormat="1" x14ac:dyDescent="0.25">
      <c r="A1" s="8" t="s">
        <v>102</v>
      </c>
      <c r="B1" s="61" t="str">
        <f>Converter!C1</f>
        <v>Lakhs</v>
      </c>
    </row>
    <row r="2" spans="1:40" customFormat="1" x14ac:dyDescent="0.25"/>
    <row r="3" spans="1:40" customFormat="1" x14ac:dyDescent="0.25">
      <c r="E3" s="63" t="s">
        <v>103</v>
      </c>
      <c r="F3" s="63" t="s">
        <v>104</v>
      </c>
      <c r="G3" s="63" t="s">
        <v>105</v>
      </c>
      <c r="H3" s="63" t="s">
        <v>106</v>
      </c>
      <c r="I3" s="63" t="s">
        <v>107</v>
      </c>
      <c r="J3" s="63" t="s">
        <v>108</v>
      </c>
      <c r="K3" s="63" t="s">
        <v>109</v>
      </c>
      <c r="L3" s="63" t="s">
        <v>110</v>
      </c>
      <c r="M3" s="63" t="s">
        <v>111</v>
      </c>
      <c r="N3" s="63" t="s">
        <v>112</v>
      </c>
      <c r="O3" s="63" t="s">
        <v>113</v>
      </c>
      <c r="P3" s="63" t="s">
        <v>114</v>
      </c>
      <c r="Q3" s="63" t="s">
        <v>115</v>
      </c>
      <c r="R3" s="63" t="s">
        <v>116</v>
      </c>
      <c r="S3" s="63" t="s">
        <v>117</v>
      </c>
      <c r="T3" s="63" t="s">
        <v>118</v>
      </c>
      <c r="U3" s="63" t="s">
        <v>119</v>
      </c>
      <c r="V3" s="63" t="s">
        <v>120</v>
      </c>
      <c r="W3" s="63" t="s">
        <v>121</v>
      </c>
      <c r="X3" s="63" t="s">
        <v>122</v>
      </c>
      <c r="Y3" s="63" t="s">
        <v>123</v>
      </c>
      <c r="Z3" s="63" t="s">
        <v>124</v>
      </c>
      <c r="AA3" s="63" t="s">
        <v>125</v>
      </c>
      <c r="AB3" s="63" t="s">
        <v>126</v>
      </c>
      <c r="AC3" s="63" t="s">
        <v>127</v>
      </c>
      <c r="AD3" s="63" t="s">
        <v>128</v>
      </c>
      <c r="AE3" s="63" t="s">
        <v>129</v>
      </c>
      <c r="AF3" s="63" t="s">
        <v>130</v>
      </c>
      <c r="AG3" s="63" t="s">
        <v>131</v>
      </c>
      <c r="AH3" s="63" t="s">
        <v>132</v>
      </c>
      <c r="AI3" s="63" t="s">
        <v>133</v>
      </c>
      <c r="AJ3" s="63" t="s">
        <v>134</v>
      </c>
      <c r="AK3" s="63" t="s">
        <v>135</v>
      </c>
      <c r="AL3" s="63" t="s">
        <v>136</v>
      </c>
      <c r="AM3" s="63" t="s">
        <v>137</v>
      </c>
      <c r="AN3" s="63" t="s">
        <v>138</v>
      </c>
    </row>
    <row r="4" spans="1:40" customFormat="1" x14ac:dyDescent="0.25">
      <c r="E4" s="64">
        <f>EOMONTH(Assumptions!G3,0)</f>
        <v>43951</v>
      </c>
      <c r="F4" s="64">
        <f>EOMONTH(E4,1)</f>
        <v>43982</v>
      </c>
      <c r="G4" s="64">
        <f t="shared" ref="G4:AN4" si="0">EOMONTH(F4,1)</f>
        <v>44012</v>
      </c>
      <c r="H4" s="64">
        <f t="shared" si="0"/>
        <v>44043</v>
      </c>
      <c r="I4" s="64">
        <f t="shared" si="0"/>
        <v>44074</v>
      </c>
      <c r="J4" s="64">
        <f t="shared" si="0"/>
        <v>44104</v>
      </c>
      <c r="K4" s="64">
        <f t="shared" si="0"/>
        <v>44135</v>
      </c>
      <c r="L4" s="64">
        <f t="shared" si="0"/>
        <v>44165</v>
      </c>
      <c r="M4" s="64">
        <f t="shared" si="0"/>
        <v>44196</v>
      </c>
      <c r="N4" s="64">
        <f t="shared" si="0"/>
        <v>44227</v>
      </c>
      <c r="O4" s="64">
        <f t="shared" si="0"/>
        <v>44255</v>
      </c>
      <c r="P4" s="64">
        <f t="shared" si="0"/>
        <v>44286</v>
      </c>
      <c r="Q4" s="64">
        <f t="shared" si="0"/>
        <v>44316</v>
      </c>
      <c r="R4" s="64">
        <f t="shared" si="0"/>
        <v>44347</v>
      </c>
      <c r="S4" s="64">
        <f t="shared" si="0"/>
        <v>44377</v>
      </c>
      <c r="T4" s="64">
        <f t="shared" si="0"/>
        <v>44408</v>
      </c>
      <c r="U4" s="64">
        <f t="shared" si="0"/>
        <v>44439</v>
      </c>
      <c r="V4" s="64">
        <f t="shared" si="0"/>
        <v>44469</v>
      </c>
      <c r="W4" s="64">
        <f t="shared" si="0"/>
        <v>44500</v>
      </c>
      <c r="X4" s="64">
        <f t="shared" si="0"/>
        <v>44530</v>
      </c>
      <c r="Y4" s="64">
        <f t="shared" si="0"/>
        <v>44561</v>
      </c>
      <c r="Z4" s="64">
        <f t="shared" si="0"/>
        <v>44592</v>
      </c>
      <c r="AA4" s="64">
        <f t="shared" si="0"/>
        <v>44620</v>
      </c>
      <c r="AB4" s="64">
        <f t="shared" si="0"/>
        <v>44651</v>
      </c>
      <c r="AC4" s="64">
        <f t="shared" si="0"/>
        <v>44681</v>
      </c>
      <c r="AD4" s="64">
        <f t="shared" si="0"/>
        <v>44712</v>
      </c>
      <c r="AE4" s="64">
        <f t="shared" si="0"/>
        <v>44742</v>
      </c>
      <c r="AF4" s="64">
        <f t="shared" si="0"/>
        <v>44773</v>
      </c>
      <c r="AG4" s="64">
        <f t="shared" si="0"/>
        <v>44804</v>
      </c>
      <c r="AH4" s="64">
        <f t="shared" si="0"/>
        <v>44834</v>
      </c>
      <c r="AI4" s="64">
        <f t="shared" si="0"/>
        <v>44865</v>
      </c>
      <c r="AJ4" s="64">
        <f t="shared" si="0"/>
        <v>44895</v>
      </c>
      <c r="AK4" s="64">
        <f t="shared" si="0"/>
        <v>44926</v>
      </c>
      <c r="AL4" s="64">
        <f t="shared" si="0"/>
        <v>44957</v>
      </c>
      <c r="AM4" s="64">
        <f t="shared" si="0"/>
        <v>44985</v>
      </c>
      <c r="AN4" s="64">
        <f t="shared" si="0"/>
        <v>45016</v>
      </c>
    </row>
    <row r="5" spans="1:40" x14ac:dyDescent="0.25">
      <c r="A5" t="s">
        <v>143</v>
      </c>
      <c r="E5" s="70">
        <f>IF(E4&gt;Assumptions!$G$5,DAY('Monthly Revenue'!E4),0)</f>
        <v>0</v>
      </c>
      <c r="F5" s="70">
        <f>IF(F4&gt;Assumptions!$G$5,DAY('Monthly Revenue'!F4),0)</f>
        <v>0</v>
      </c>
      <c r="G5" s="70">
        <f>IF(G4&gt;Assumptions!$G$5,DAY('Monthly Revenue'!G4),0)</f>
        <v>0</v>
      </c>
      <c r="H5" s="65">
        <f>IF(H4&gt;Assumptions!$G$5,DAY('Monthly Revenue'!H4),0)</f>
        <v>31</v>
      </c>
      <c r="I5" s="65">
        <f>IF(I4&gt;Assumptions!$G$5,DAY('Monthly Revenue'!I4),0)</f>
        <v>31</v>
      </c>
      <c r="J5" s="65">
        <f>IF(J4&gt;Assumptions!$G$5,DAY('Monthly Revenue'!J4),0)</f>
        <v>30</v>
      </c>
      <c r="K5" s="65">
        <f>IF(K4&gt;Assumptions!$G$5,DAY('Monthly Revenue'!K4),0)</f>
        <v>31</v>
      </c>
      <c r="L5" s="65">
        <f>IF(L4&gt;Assumptions!$G$5,DAY('Monthly Revenue'!L4),0)</f>
        <v>30</v>
      </c>
      <c r="M5" s="65">
        <f>IF(M4&gt;Assumptions!$G$5,DAY('Monthly Revenue'!M4),0)</f>
        <v>31</v>
      </c>
      <c r="N5" s="65">
        <f>IF(N4&gt;Assumptions!$G$5,DAY('Monthly Revenue'!N4),0)</f>
        <v>31</v>
      </c>
      <c r="O5" s="65">
        <f>IF(O4&gt;Assumptions!$G$5,DAY('Monthly Revenue'!O4),0)</f>
        <v>28</v>
      </c>
      <c r="P5" s="65">
        <f>IF(P4&gt;Assumptions!$G$5,DAY('Monthly Revenue'!P4),0)</f>
        <v>31</v>
      </c>
      <c r="Q5" s="65">
        <f>IF(Q4&gt;Assumptions!$G$5,DAY('Monthly Revenue'!Q4),0)</f>
        <v>30</v>
      </c>
      <c r="R5" s="65">
        <f>IF(R4&gt;Assumptions!$G$5,DAY('Monthly Revenue'!R4),0)</f>
        <v>31</v>
      </c>
      <c r="S5" s="65">
        <f>IF(S4&gt;Assumptions!$G$5,DAY('Monthly Revenue'!S4),0)</f>
        <v>30</v>
      </c>
      <c r="T5" s="65">
        <f>IF(T4&gt;Assumptions!$G$5,DAY('Monthly Revenue'!T4),0)</f>
        <v>31</v>
      </c>
      <c r="U5" s="65">
        <f>IF(U4&gt;Assumptions!$G$5,DAY('Monthly Revenue'!U4),0)</f>
        <v>31</v>
      </c>
      <c r="V5" s="65">
        <f>IF(V4&gt;Assumptions!$G$5,DAY('Monthly Revenue'!V4),0)</f>
        <v>30</v>
      </c>
      <c r="W5" s="65">
        <f>IF(W4&gt;Assumptions!$G$5,DAY('Monthly Revenue'!W4),0)</f>
        <v>31</v>
      </c>
      <c r="X5" s="65">
        <f>IF(X4&gt;Assumptions!$G$5,DAY('Monthly Revenue'!X4),0)</f>
        <v>30</v>
      </c>
      <c r="Y5" s="65">
        <f>IF(Y4&gt;Assumptions!$G$5,DAY('Monthly Revenue'!Y4),0)</f>
        <v>31</v>
      </c>
      <c r="Z5" s="65">
        <f>IF(Z4&gt;Assumptions!$G$5,DAY('Monthly Revenue'!Z4),0)</f>
        <v>31</v>
      </c>
      <c r="AA5" s="65">
        <f>IF(AA4&gt;Assumptions!$G$5,DAY('Monthly Revenue'!AA4),0)</f>
        <v>28</v>
      </c>
      <c r="AB5" s="65">
        <f>IF(AB4&gt;Assumptions!$G$5,DAY('Monthly Revenue'!AB4),0)</f>
        <v>31</v>
      </c>
      <c r="AC5" s="65">
        <f>IF(AC4&gt;Assumptions!$G$5,DAY('Monthly Revenue'!AC4),0)</f>
        <v>30</v>
      </c>
      <c r="AD5" s="65">
        <f>IF(AD4&gt;Assumptions!$G$5,DAY('Monthly Revenue'!AD4),0)</f>
        <v>31</v>
      </c>
      <c r="AE5" s="65">
        <f>IF(AE4&gt;Assumptions!$G$5,DAY('Monthly Revenue'!AE4),0)</f>
        <v>30</v>
      </c>
      <c r="AF5" s="65">
        <f>IF(AF4&gt;Assumptions!$G$5,DAY('Monthly Revenue'!AF4),0)</f>
        <v>31</v>
      </c>
      <c r="AG5" s="65">
        <f>IF(AG4&gt;Assumptions!$G$5,DAY('Monthly Revenue'!AG4),0)</f>
        <v>31</v>
      </c>
      <c r="AH5" s="65">
        <f>IF(AH4&gt;Assumptions!$G$5,DAY('Monthly Revenue'!AH4),0)</f>
        <v>30</v>
      </c>
      <c r="AI5" s="65">
        <f>IF(AI4&gt;Assumptions!$G$5,DAY('Monthly Revenue'!AI4),0)</f>
        <v>31</v>
      </c>
      <c r="AJ5" s="65">
        <f>IF(AJ4&gt;Assumptions!$G$5,DAY('Monthly Revenue'!AJ4),0)</f>
        <v>30</v>
      </c>
      <c r="AK5" s="65">
        <f>IF(AK4&gt;Assumptions!$G$5,DAY('Monthly Revenue'!AK4),0)</f>
        <v>31</v>
      </c>
      <c r="AL5" s="65">
        <f>IF(AL4&gt;Assumptions!$G$5,DAY('Monthly Revenue'!AL4),0)</f>
        <v>31</v>
      </c>
      <c r="AM5" s="65">
        <f>IF(AM4&gt;Assumptions!$G$5,DAY('Monthly Revenue'!AM4),0)</f>
        <v>28</v>
      </c>
      <c r="AN5" s="65">
        <f>IF(AN4&gt;Assumptions!$G$5,DAY('Monthly Revenue'!AN4),0)</f>
        <v>31</v>
      </c>
    </row>
    <row r="6" spans="1:40" x14ac:dyDescent="0.25">
      <c r="A6" t="s">
        <v>144</v>
      </c>
      <c r="E6" s="65">
        <f>IF(E5&gt;0,NETWORKDAYS(D4+1,E4),0)</f>
        <v>0</v>
      </c>
      <c r="F6" s="65">
        <f t="shared" ref="F6:J6" si="1">IF(F5&gt;0,NETWORKDAYS(E4+1,F4),0)</f>
        <v>0</v>
      </c>
      <c r="G6" s="65">
        <f t="shared" si="1"/>
        <v>0</v>
      </c>
      <c r="H6" s="65">
        <f t="shared" si="1"/>
        <v>23</v>
      </c>
      <c r="I6" s="65">
        <f t="shared" si="1"/>
        <v>21</v>
      </c>
      <c r="J6" s="65">
        <f t="shared" si="1"/>
        <v>22</v>
      </c>
      <c r="K6" s="65">
        <f t="shared" ref="K6" si="2">IF(K5&gt;0,NETWORKDAYS(J4+1,K4),0)</f>
        <v>22</v>
      </c>
      <c r="L6" s="65">
        <f t="shared" ref="L6" si="3">IF(L5&gt;0,NETWORKDAYS(K4+1,L4),0)</f>
        <v>21</v>
      </c>
      <c r="M6" s="65">
        <f t="shared" ref="M6" si="4">IF(M5&gt;0,NETWORKDAYS(L4+1,M4),0)</f>
        <v>23</v>
      </c>
      <c r="N6" s="65">
        <f t="shared" ref="N6:O6" si="5">IF(N5&gt;0,NETWORKDAYS(M4+1,N4),0)</f>
        <v>21</v>
      </c>
      <c r="O6" s="65">
        <f t="shared" si="5"/>
        <v>20</v>
      </c>
      <c r="P6" s="65">
        <f t="shared" ref="P6" si="6">IF(P5&gt;0,NETWORKDAYS(O4+1,P4),0)</f>
        <v>23</v>
      </c>
      <c r="Q6" s="65">
        <f t="shared" ref="Q6" si="7">IF(Q5&gt;0,NETWORKDAYS(P4+1,Q4),0)</f>
        <v>22</v>
      </c>
      <c r="R6" s="65">
        <f t="shared" ref="R6" si="8">IF(R5&gt;0,NETWORKDAYS(Q4+1,R4),0)</f>
        <v>21</v>
      </c>
      <c r="S6" s="65">
        <f t="shared" ref="S6:T6" si="9">IF(S5&gt;0,NETWORKDAYS(R4+1,S4),0)</f>
        <v>22</v>
      </c>
      <c r="T6" s="65">
        <f t="shared" si="9"/>
        <v>22</v>
      </c>
      <c r="U6" s="65">
        <f t="shared" ref="U6" si="10">IF(U5&gt;0,NETWORKDAYS(T4+1,U4),0)</f>
        <v>22</v>
      </c>
      <c r="V6" s="65">
        <f t="shared" ref="V6" si="11">IF(V5&gt;0,NETWORKDAYS(U4+1,V4),0)</f>
        <v>22</v>
      </c>
      <c r="W6" s="65">
        <f t="shared" ref="W6" si="12">IF(W5&gt;0,NETWORKDAYS(V4+1,W4),0)</f>
        <v>21</v>
      </c>
      <c r="X6" s="65">
        <f t="shared" ref="X6:Y6" si="13">IF(X5&gt;0,NETWORKDAYS(W4+1,X4),0)</f>
        <v>22</v>
      </c>
      <c r="Y6" s="65">
        <f t="shared" si="13"/>
        <v>23</v>
      </c>
      <c r="Z6" s="65">
        <f t="shared" ref="Z6" si="14">IF(Z5&gt;0,NETWORKDAYS(Y4+1,Z4),0)</f>
        <v>21</v>
      </c>
      <c r="AA6" s="65">
        <f t="shared" ref="AA6" si="15">IF(AA5&gt;0,NETWORKDAYS(Z4+1,AA4),0)</f>
        <v>20</v>
      </c>
      <c r="AB6" s="65">
        <f t="shared" ref="AB6" si="16">IF(AB5&gt;0,NETWORKDAYS(AA4+1,AB4),0)</f>
        <v>23</v>
      </c>
      <c r="AC6" s="65">
        <f t="shared" ref="AC6:AD6" si="17">IF(AC5&gt;0,NETWORKDAYS(AB4+1,AC4),0)</f>
        <v>21</v>
      </c>
      <c r="AD6" s="65">
        <f t="shared" si="17"/>
        <v>22</v>
      </c>
      <c r="AE6" s="65">
        <f t="shared" ref="AE6" si="18">IF(AE5&gt;0,NETWORKDAYS(AD4+1,AE4),0)</f>
        <v>22</v>
      </c>
      <c r="AF6" s="65">
        <f t="shared" ref="AF6" si="19">IF(AF5&gt;0,NETWORKDAYS(AE4+1,AF4),0)</f>
        <v>21</v>
      </c>
      <c r="AG6" s="65">
        <f t="shared" ref="AG6" si="20">IF(AG5&gt;0,NETWORKDAYS(AF4+1,AG4),0)</f>
        <v>23</v>
      </c>
      <c r="AH6" s="65">
        <f t="shared" ref="AH6:AI6" si="21">IF(AH5&gt;0,NETWORKDAYS(AG4+1,AH4),0)</f>
        <v>22</v>
      </c>
      <c r="AI6" s="65">
        <f t="shared" si="21"/>
        <v>21</v>
      </c>
      <c r="AJ6" s="65">
        <f t="shared" ref="AJ6" si="22">IF(AJ5&gt;0,NETWORKDAYS(AI4+1,AJ4),0)</f>
        <v>22</v>
      </c>
      <c r="AK6" s="65">
        <f t="shared" ref="AK6" si="23">IF(AK5&gt;0,NETWORKDAYS(AJ4+1,AK4),0)</f>
        <v>22</v>
      </c>
      <c r="AL6" s="65">
        <f t="shared" ref="AL6" si="24">IF(AL5&gt;0,NETWORKDAYS(AK4+1,AL4),0)</f>
        <v>22</v>
      </c>
      <c r="AM6" s="65">
        <f t="shared" ref="AM6:AN6" si="25">IF(AM5&gt;0,NETWORKDAYS(AL4+1,AM4),0)</f>
        <v>20</v>
      </c>
      <c r="AN6" s="65">
        <f t="shared" si="25"/>
        <v>23</v>
      </c>
    </row>
    <row r="7" spans="1:40" x14ac:dyDescent="0.25">
      <c r="A7" t="s">
        <v>145</v>
      </c>
      <c r="E7" s="65">
        <f>E5-E6</f>
        <v>0</v>
      </c>
      <c r="F7" s="65">
        <f t="shared" ref="F7:AN7" si="26">F5-F6</f>
        <v>0</v>
      </c>
      <c r="G7" s="65">
        <f t="shared" si="26"/>
        <v>0</v>
      </c>
      <c r="H7" s="65">
        <f t="shared" si="26"/>
        <v>8</v>
      </c>
      <c r="I7" s="65">
        <f t="shared" si="26"/>
        <v>10</v>
      </c>
      <c r="J7" s="65">
        <f t="shared" si="26"/>
        <v>8</v>
      </c>
      <c r="K7" s="65">
        <f t="shared" si="26"/>
        <v>9</v>
      </c>
      <c r="L7" s="65">
        <f t="shared" si="26"/>
        <v>9</v>
      </c>
      <c r="M7" s="65">
        <f t="shared" si="26"/>
        <v>8</v>
      </c>
      <c r="N7" s="65">
        <f t="shared" si="26"/>
        <v>10</v>
      </c>
      <c r="O7" s="65">
        <f t="shared" si="26"/>
        <v>8</v>
      </c>
      <c r="P7" s="65">
        <f t="shared" si="26"/>
        <v>8</v>
      </c>
      <c r="Q7" s="65">
        <f t="shared" si="26"/>
        <v>8</v>
      </c>
      <c r="R7" s="65">
        <f t="shared" si="26"/>
        <v>10</v>
      </c>
      <c r="S7" s="65">
        <f t="shared" si="26"/>
        <v>8</v>
      </c>
      <c r="T7" s="65">
        <f t="shared" si="26"/>
        <v>9</v>
      </c>
      <c r="U7" s="65">
        <f t="shared" si="26"/>
        <v>9</v>
      </c>
      <c r="V7" s="65">
        <f t="shared" si="26"/>
        <v>8</v>
      </c>
      <c r="W7" s="65">
        <f t="shared" si="26"/>
        <v>10</v>
      </c>
      <c r="X7" s="65">
        <f t="shared" si="26"/>
        <v>8</v>
      </c>
      <c r="Y7" s="65">
        <f t="shared" si="26"/>
        <v>8</v>
      </c>
      <c r="Z7" s="65">
        <f t="shared" si="26"/>
        <v>10</v>
      </c>
      <c r="AA7" s="65">
        <f t="shared" si="26"/>
        <v>8</v>
      </c>
      <c r="AB7" s="65">
        <f t="shared" si="26"/>
        <v>8</v>
      </c>
      <c r="AC7" s="65">
        <f t="shared" si="26"/>
        <v>9</v>
      </c>
      <c r="AD7" s="65">
        <f t="shared" si="26"/>
        <v>9</v>
      </c>
      <c r="AE7" s="65">
        <f t="shared" si="26"/>
        <v>8</v>
      </c>
      <c r="AF7" s="65">
        <f t="shared" si="26"/>
        <v>10</v>
      </c>
      <c r="AG7" s="65">
        <f t="shared" si="26"/>
        <v>8</v>
      </c>
      <c r="AH7" s="65">
        <f t="shared" si="26"/>
        <v>8</v>
      </c>
      <c r="AI7" s="65">
        <f t="shared" si="26"/>
        <v>10</v>
      </c>
      <c r="AJ7" s="65">
        <f t="shared" si="26"/>
        <v>8</v>
      </c>
      <c r="AK7" s="65">
        <f t="shared" si="26"/>
        <v>9</v>
      </c>
      <c r="AL7" s="65">
        <f t="shared" si="26"/>
        <v>9</v>
      </c>
      <c r="AM7" s="65">
        <f t="shared" si="26"/>
        <v>8</v>
      </c>
      <c r="AN7" s="65">
        <f t="shared" si="26"/>
        <v>8</v>
      </c>
    </row>
    <row r="9" spans="1:40" x14ac:dyDescent="0.25">
      <c r="A9" s="71" t="s">
        <v>146</v>
      </c>
    </row>
    <row r="10" spans="1:40" x14ac:dyDescent="0.25">
      <c r="A10" s="84" t="s">
        <v>7</v>
      </c>
    </row>
    <row r="11" spans="1:40" x14ac:dyDescent="0.25">
      <c r="A11" s="73" t="s">
        <v>9</v>
      </c>
      <c r="E11" s="80">
        <f>IF(E$6&gt;0,MIN(MAX(Assumptions!$B$18*Assumptions!$B$17,'Monthly Revenue'!D11*(1+Assumptions!$B$19)),Assumptions!$B$20),0)</f>
        <v>0</v>
      </c>
      <c r="F11" s="80">
        <f>IF(F$6&gt;0,MIN(MAX(Assumptions!$B$18*Assumptions!$B$17,'Monthly Revenue'!E11*(1+Assumptions!$B$19)),Assumptions!$B$20),0)</f>
        <v>0</v>
      </c>
      <c r="G11" s="80">
        <f>IF(G$6&gt;0,MIN(MAX(Assumptions!$B$18*Assumptions!$B$17,'Monthly Revenue'!F11*(1+Assumptions!$B$19)),Assumptions!$B$20),0)</f>
        <v>0</v>
      </c>
      <c r="H11" s="81">
        <f>IF(H$6&gt;0,MIN(MAX(Assumptions!$B$18*Assumptions!$B$17,'Monthly Revenue'!G11*(1+Assumptions!$B$19)),Assumptions!$B$20),0)</f>
        <v>20</v>
      </c>
      <c r="I11" s="81">
        <f>IF(I$6&gt;0,MIN(MAX(Assumptions!$B$18*Assumptions!$B$17,'Monthly Revenue'!H11*(1+Assumptions!$B$19)),Assumptions!$B$20),0)</f>
        <v>20.399999999999999</v>
      </c>
      <c r="J11" s="81">
        <f>IF(J$6&gt;0,MIN(MAX(Assumptions!$B$18*Assumptions!$B$17,'Monthly Revenue'!I11*(1+Assumptions!$B$19)),Assumptions!$B$20),0)</f>
        <v>20.808</v>
      </c>
      <c r="K11" s="81">
        <f>IF(K$6&gt;0,MIN(MAX(Assumptions!$B$18*Assumptions!$B$17,'Monthly Revenue'!J11*(1+Assumptions!$B$19)),Assumptions!$B$20),0)</f>
        <v>21.224160000000001</v>
      </c>
      <c r="L11" s="81">
        <f>IF(L$6&gt;0,MIN(MAX(Assumptions!$B$18*Assumptions!$B$17,'Monthly Revenue'!K11*(1+Assumptions!$B$19)),Assumptions!$B$20),0)</f>
        <v>21.648643200000002</v>
      </c>
      <c r="M11" s="81">
        <f>IF(M$6&gt;0,MIN(MAX(Assumptions!$B$18*Assumptions!$B$17,'Monthly Revenue'!L11*(1+Assumptions!$B$19)),Assumptions!$B$20),0)</f>
        <v>22.081616064000002</v>
      </c>
      <c r="N11" s="81">
        <f>IF(N$6&gt;0,MIN(MAX(Assumptions!$B$18*Assumptions!$B$17,'Monthly Revenue'!M11*(1+Assumptions!$B$19)),Assumptions!$B$20),0)</f>
        <v>22.523248385280002</v>
      </c>
      <c r="O11" s="81">
        <f>IF(O$6&gt;0,MIN(MAX(Assumptions!$B$18*Assumptions!$B$17,'Monthly Revenue'!N11*(1+Assumptions!$B$19)),Assumptions!$B$20),0)</f>
        <v>22.973713352985602</v>
      </c>
      <c r="P11" s="81">
        <f>IF(P$6&gt;0,MIN(MAX(Assumptions!$B$18*Assumptions!$B$17,'Monthly Revenue'!O11*(1+Assumptions!$B$19)),Assumptions!$B$20),0)</f>
        <v>23.433187620045313</v>
      </c>
      <c r="Q11" s="81">
        <f>IF(Q$6&gt;0,MIN(MAX(Assumptions!$B$18*Assumptions!$B$17,'Monthly Revenue'!P11*(1+Assumptions!$B$19)),Assumptions!$B$20),0)</f>
        <v>23.90185137244622</v>
      </c>
      <c r="R11" s="81">
        <f>IF(R$6&gt;0,MIN(MAX(Assumptions!$B$18*Assumptions!$B$17,'Monthly Revenue'!Q11*(1+Assumptions!$B$19)),Assumptions!$B$20),0)</f>
        <v>24.379888399895144</v>
      </c>
      <c r="S11" s="81">
        <f>IF(S$6&gt;0,MIN(MAX(Assumptions!$B$18*Assumptions!$B$17,'Monthly Revenue'!R11*(1+Assumptions!$B$19)),Assumptions!$B$20),0)</f>
        <v>24.867486167893048</v>
      </c>
      <c r="T11" s="81">
        <f>IF(T$6&gt;0,MIN(MAX(Assumptions!$B$18*Assumptions!$B$17,'Monthly Revenue'!S11*(1+Assumptions!$B$19)),Assumptions!$B$20),0)</f>
        <v>25.364835891250909</v>
      </c>
      <c r="U11" s="81">
        <f>IF(U$6&gt;0,MIN(MAX(Assumptions!$B$18*Assumptions!$B$17,'Monthly Revenue'!T11*(1+Assumptions!$B$19)),Assumptions!$B$20),0)</f>
        <v>25.872132609075926</v>
      </c>
      <c r="V11" s="81">
        <f>IF(V$6&gt;0,MIN(MAX(Assumptions!$B$18*Assumptions!$B$17,'Monthly Revenue'!U11*(1+Assumptions!$B$19)),Assumptions!$B$20),0)</f>
        <v>26.389575261257445</v>
      </c>
      <c r="W11" s="81">
        <f>IF(W$6&gt;0,MIN(MAX(Assumptions!$B$18*Assumptions!$B$17,'Monthly Revenue'!V11*(1+Assumptions!$B$19)),Assumptions!$B$20),0)</f>
        <v>26.917366766482594</v>
      </c>
      <c r="X11" s="81">
        <f>IF(X$6&gt;0,MIN(MAX(Assumptions!$B$18*Assumptions!$B$17,'Monthly Revenue'!W11*(1+Assumptions!$B$19)),Assumptions!$B$20),0)</f>
        <v>27.455714101812248</v>
      </c>
      <c r="Y11" s="81">
        <f>IF(Y$6&gt;0,MIN(MAX(Assumptions!$B$18*Assumptions!$B$17,'Monthly Revenue'!X11*(1+Assumptions!$B$19)),Assumptions!$B$20),0)</f>
        <v>28.004828383848494</v>
      </c>
      <c r="Z11" s="81">
        <f>IF(Z$6&gt;0,MIN(MAX(Assumptions!$B$18*Assumptions!$B$17,'Monthly Revenue'!Y11*(1+Assumptions!$B$19)),Assumptions!$B$20),0)</f>
        <v>28.564924951525466</v>
      </c>
      <c r="AA11" s="81">
        <f>IF(AA$6&gt;0,MIN(MAX(Assumptions!$B$18*Assumptions!$B$17,'Monthly Revenue'!Z11*(1+Assumptions!$B$19)),Assumptions!$B$20),0)</f>
        <v>29.136223450555974</v>
      </c>
      <c r="AB11" s="81">
        <f>IF(AB$6&gt;0,MIN(MAX(Assumptions!$B$18*Assumptions!$B$17,'Monthly Revenue'!AA11*(1+Assumptions!$B$19)),Assumptions!$B$20),0)</f>
        <v>29.718947919567093</v>
      </c>
      <c r="AC11" s="81">
        <f>IF(AC$6&gt;0,MIN(MAX(Assumptions!$B$18*Assumptions!$B$17,'Monthly Revenue'!AB11*(1+Assumptions!$B$19)),Assumptions!$B$20),0)</f>
        <v>30.313326877958435</v>
      </c>
      <c r="AD11" s="81">
        <f>IF(AD$6&gt;0,MIN(MAX(Assumptions!$B$18*Assumptions!$B$17,'Monthly Revenue'!AC11*(1+Assumptions!$B$19)),Assumptions!$B$20),0)</f>
        <v>30.919593415517603</v>
      </c>
      <c r="AE11" s="81">
        <f>IF(AE$6&gt;0,MIN(MAX(Assumptions!$B$18*Assumptions!$B$17,'Monthly Revenue'!AD11*(1+Assumptions!$B$19)),Assumptions!$B$20),0)</f>
        <v>31.537985283827958</v>
      </c>
      <c r="AF11" s="81">
        <f>IF(AF$6&gt;0,MIN(MAX(Assumptions!$B$18*Assumptions!$B$17,'Monthly Revenue'!AE11*(1+Assumptions!$B$19)),Assumptions!$B$20),0)</f>
        <v>32.168744989504518</v>
      </c>
      <c r="AG11" s="81">
        <f>IF(AG$6&gt;0,MIN(MAX(Assumptions!$B$18*Assumptions!$B$17,'Monthly Revenue'!AF11*(1+Assumptions!$B$19)),Assumptions!$B$20),0)</f>
        <v>32.812119889294607</v>
      </c>
      <c r="AH11" s="81">
        <f>IF(AH$6&gt;0,MIN(MAX(Assumptions!$B$18*Assumptions!$B$17,'Monthly Revenue'!AG11*(1+Assumptions!$B$19)),Assumptions!$B$20),0)</f>
        <v>33.468362287080502</v>
      </c>
      <c r="AI11" s="81">
        <f>IF(AI$6&gt;0,MIN(MAX(Assumptions!$B$18*Assumptions!$B$17,'Monthly Revenue'!AH11*(1+Assumptions!$B$19)),Assumptions!$B$20),0)</f>
        <v>34.137729532822114</v>
      </c>
      <c r="AJ11" s="81">
        <f>IF(AJ$6&gt;0,MIN(MAX(Assumptions!$B$18*Assumptions!$B$17,'Monthly Revenue'!AI11*(1+Assumptions!$B$19)),Assumptions!$B$20),0)</f>
        <v>34.820484123478558</v>
      </c>
      <c r="AK11" s="81">
        <f>IF(AK$6&gt;0,MIN(MAX(Assumptions!$B$18*Assumptions!$B$17,'Monthly Revenue'!AJ11*(1+Assumptions!$B$19)),Assumptions!$B$20),0)</f>
        <v>35.516893805948129</v>
      </c>
      <c r="AL11" s="81">
        <f>IF(AL$6&gt;0,MIN(MAX(Assumptions!$B$18*Assumptions!$B$17,'Monthly Revenue'!AK11*(1+Assumptions!$B$19)),Assumptions!$B$20),0)</f>
        <v>36.227231682067092</v>
      </c>
      <c r="AM11" s="81">
        <f>IF(AM$6&gt;0,MIN(MAX(Assumptions!$B$18*Assumptions!$B$17,'Monthly Revenue'!AL11*(1+Assumptions!$B$19)),Assumptions!$B$20),0)</f>
        <v>36.951776315708436</v>
      </c>
      <c r="AN11" s="81">
        <f>IF(AN$6&gt;0,MIN(MAX(Assumptions!$B$18*Assumptions!$B$17,'Monthly Revenue'!AM11*(1+Assumptions!$B$19)),Assumptions!$B$20),0)</f>
        <v>37.690811842022605</v>
      </c>
    </row>
    <row r="12" spans="1:40" x14ac:dyDescent="0.25">
      <c r="A12" s="73" t="s">
        <v>10</v>
      </c>
      <c r="E12" s="81">
        <f>IF(E$6&gt;0,MIN(MAX(Assumptions!$F$18*Assumptions!$F$17,'Monthly Revenue'!D12*(1+Assumptions!$F$19)),Assumptions!$F$20),0)</f>
        <v>0</v>
      </c>
      <c r="F12" s="81">
        <f>IF(F$6&gt;0,MIN(MAX(Assumptions!$F$18*Assumptions!$F$17,'Monthly Revenue'!E12*(1+Assumptions!$F$19)),Assumptions!$F$20),0)</f>
        <v>0</v>
      </c>
      <c r="G12" s="81">
        <f>IF(G$6&gt;0,MIN(MAX(Assumptions!$F$18*Assumptions!$F$17,'Monthly Revenue'!F12*(1+Assumptions!$F$19)),Assumptions!$F$20),0)</f>
        <v>0</v>
      </c>
      <c r="H12" s="81">
        <f>IF(H$6&gt;0,MIN(MAX(Assumptions!$F$18*Assumptions!$F$17,'Monthly Revenue'!G12*(1+Assumptions!$F$19)),Assumptions!$F$20),0)</f>
        <v>26</v>
      </c>
      <c r="I12" s="81">
        <f>IF(I$6&gt;0,MIN(MAX(Assumptions!$F$18*Assumptions!$F$17,'Monthly Revenue'!H12*(1+Assumptions!$F$19)),Assumptions!$F$20),0)</f>
        <v>26.52</v>
      </c>
      <c r="J12" s="81">
        <f>IF(J$6&gt;0,MIN(MAX(Assumptions!$F$18*Assumptions!$F$17,'Monthly Revenue'!I12*(1+Assumptions!$F$19)),Assumptions!$F$20),0)</f>
        <v>27.0504</v>
      </c>
      <c r="K12" s="81">
        <f>IF(K$6&gt;0,MIN(MAX(Assumptions!$F$18*Assumptions!$F$17,'Monthly Revenue'!J12*(1+Assumptions!$F$19)),Assumptions!$F$20),0)</f>
        <v>27.591408000000001</v>
      </c>
      <c r="L12" s="81">
        <f>IF(L$6&gt;0,MIN(MAX(Assumptions!$F$18*Assumptions!$F$17,'Monthly Revenue'!K12*(1+Assumptions!$F$19)),Assumptions!$F$20),0)</f>
        <v>28.143236160000001</v>
      </c>
      <c r="M12" s="81">
        <f>IF(M$6&gt;0,MIN(MAX(Assumptions!$F$18*Assumptions!$F$17,'Monthly Revenue'!L12*(1+Assumptions!$F$19)),Assumptions!$F$20),0)</f>
        <v>28.706100883200001</v>
      </c>
      <c r="N12" s="81">
        <f>IF(N$6&gt;0,MIN(MAX(Assumptions!$F$18*Assumptions!$F$17,'Monthly Revenue'!M12*(1+Assumptions!$F$19)),Assumptions!$F$20),0)</f>
        <v>29.280222900864</v>
      </c>
      <c r="O12" s="81">
        <f>IF(O$6&gt;0,MIN(MAX(Assumptions!$F$18*Assumptions!$F$17,'Monthly Revenue'!N12*(1+Assumptions!$F$19)),Assumptions!$F$20),0)</f>
        <v>29.86582735888128</v>
      </c>
      <c r="P12" s="81">
        <f>IF(P$6&gt;0,MIN(MAX(Assumptions!$F$18*Assumptions!$F$17,'Monthly Revenue'!O12*(1+Assumptions!$F$19)),Assumptions!$F$20),0)</f>
        <v>30.463143906058907</v>
      </c>
      <c r="Q12" s="81">
        <f>IF(Q$6&gt;0,MIN(MAX(Assumptions!$F$18*Assumptions!$F$17,'Monthly Revenue'!P12*(1+Assumptions!$F$19)),Assumptions!$F$20),0)</f>
        <v>31.072406784180085</v>
      </c>
      <c r="R12" s="81">
        <f>IF(R$6&gt;0,MIN(MAX(Assumptions!$F$18*Assumptions!$F$17,'Monthly Revenue'!Q12*(1+Assumptions!$F$19)),Assumptions!$F$20),0)</f>
        <v>31.693854919863689</v>
      </c>
      <c r="S12" s="81">
        <f>IF(S$6&gt;0,MIN(MAX(Assumptions!$F$18*Assumptions!$F$17,'Monthly Revenue'!R12*(1+Assumptions!$F$19)),Assumptions!$F$20),0)</f>
        <v>32.32773201826096</v>
      </c>
      <c r="T12" s="81">
        <f>IF(T$6&gt;0,MIN(MAX(Assumptions!$F$18*Assumptions!$F$17,'Monthly Revenue'!S12*(1+Assumptions!$F$19)),Assumptions!$F$20),0)</f>
        <v>32.974286658626177</v>
      </c>
      <c r="U12" s="81">
        <f>IF(U$6&gt;0,MIN(MAX(Assumptions!$F$18*Assumptions!$F$17,'Monthly Revenue'!T12*(1+Assumptions!$F$19)),Assumptions!$F$20),0)</f>
        <v>33.633772391798701</v>
      </c>
      <c r="V12" s="81">
        <f>IF(V$6&gt;0,MIN(MAX(Assumptions!$F$18*Assumptions!$F$17,'Monthly Revenue'!U12*(1+Assumptions!$F$19)),Assumptions!$F$20),0)</f>
        <v>34.306447839634679</v>
      </c>
      <c r="W12" s="81">
        <f>IF(W$6&gt;0,MIN(MAX(Assumptions!$F$18*Assumptions!$F$17,'Monthly Revenue'!V12*(1+Assumptions!$F$19)),Assumptions!$F$20),0)</f>
        <v>34.992576796427372</v>
      </c>
      <c r="X12" s="81">
        <f>IF(X$6&gt;0,MIN(MAX(Assumptions!$F$18*Assumptions!$F$17,'Monthly Revenue'!W12*(1+Assumptions!$F$19)),Assumptions!$F$20),0)</f>
        <v>35.692428332355917</v>
      </c>
      <c r="Y12" s="81">
        <f>IF(Y$6&gt;0,MIN(MAX(Assumptions!$F$18*Assumptions!$F$17,'Monthly Revenue'!X12*(1+Assumptions!$F$19)),Assumptions!$F$20),0)</f>
        <v>36.406276899003032</v>
      </c>
      <c r="Z12" s="81">
        <f>IF(Z$6&gt;0,MIN(MAX(Assumptions!$F$18*Assumptions!$F$17,'Monthly Revenue'!Y12*(1+Assumptions!$F$19)),Assumptions!$F$20),0)</f>
        <v>37.134402436983095</v>
      </c>
      <c r="AA12" s="81">
        <f>IF(AA$6&gt;0,MIN(MAX(Assumptions!$F$18*Assumptions!$F$17,'Monthly Revenue'!Z12*(1+Assumptions!$F$19)),Assumptions!$F$20),0)</f>
        <v>37.877090485722761</v>
      </c>
      <c r="AB12" s="81">
        <f>IF(AB$6&gt;0,MIN(MAX(Assumptions!$F$18*Assumptions!$F$17,'Monthly Revenue'!AA12*(1+Assumptions!$F$19)),Assumptions!$F$20),0)</f>
        <v>38.634632295437214</v>
      </c>
      <c r="AC12" s="81">
        <f>IF(AC$6&gt;0,MIN(MAX(Assumptions!$F$18*Assumptions!$F$17,'Monthly Revenue'!AB12*(1+Assumptions!$F$19)),Assumptions!$F$20),0)</f>
        <v>39.407324941345962</v>
      </c>
      <c r="AD12" s="81">
        <f>IF(AD$6&gt;0,MIN(MAX(Assumptions!$F$18*Assumptions!$F$17,'Monthly Revenue'!AC12*(1+Assumptions!$F$19)),Assumptions!$F$20),0)</f>
        <v>40.195471440172881</v>
      </c>
      <c r="AE12" s="81">
        <f>IF(AE$6&gt;0,MIN(MAX(Assumptions!$F$18*Assumptions!$F$17,'Monthly Revenue'!AD12*(1+Assumptions!$F$19)),Assumptions!$F$20),0)</f>
        <v>40.999380868976338</v>
      </c>
      <c r="AF12" s="81">
        <f>IF(AF$6&gt;0,MIN(MAX(Assumptions!$F$18*Assumptions!$F$17,'Monthly Revenue'!AE12*(1+Assumptions!$F$19)),Assumptions!$F$20),0)</f>
        <v>41.819368486355863</v>
      </c>
      <c r="AG12" s="81">
        <f>IF(AG$6&gt;0,MIN(MAX(Assumptions!$F$18*Assumptions!$F$17,'Monthly Revenue'!AF12*(1+Assumptions!$F$19)),Assumptions!$F$20),0)</f>
        <v>42.655755856082983</v>
      </c>
      <c r="AH12" s="81">
        <f>IF(AH$6&gt;0,MIN(MAX(Assumptions!$F$18*Assumptions!$F$17,'Monthly Revenue'!AG12*(1+Assumptions!$F$19)),Assumptions!$F$20),0)</f>
        <v>43.508870973204644</v>
      </c>
      <c r="AI12" s="81">
        <f>IF(AI$6&gt;0,MIN(MAX(Assumptions!$F$18*Assumptions!$F$17,'Monthly Revenue'!AH12*(1+Assumptions!$F$19)),Assumptions!$F$20),0)</f>
        <v>44.379048392668736</v>
      </c>
      <c r="AJ12" s="81">
        <f>IF(AJ$6&gt;0,MIN(MAX(Assumptions!$F$18*Assumptions!$F$17,'Monthly Revenue'!AI12*(1+Assumptions!$F$19)),Assumptions!$F$20),0)</f>
        <v>45.26662936052211</v>
      </c>
      <c r="AK12" s="81">
        <f>IF(AK$6&gt;0,MIN(MAX(Assumptions!$F$18*Assumptions!$F$17,'Monthly Revenue'!AJ12*(1+Assumptions!$F$19)),Assumptions!$F$20),0)</f>
        <v>46.171961947732555</v>
      </c>
      <c r="AL12" s="81">
        <f>IF(AL$6&gt;0,MIN(MAX(Assumptions!$F$18*Assumptions!$F$17,'Monthly Revenue'!AK12*(1+Assumptions!$F$19)),Assumptions!$F$20),0)</f>
        <v>47.095401186687205</v>
      </c>
      <c r="AM12" s="81">
        <f>IF(AM$6&gt;0,MIN(MAX(Assumptions!$F$18*Assumptions!$F$17,'Monthly Revenue'!AL12*(1+Assumptions!$F$19)),Assumptions!$F$20),0)</f>
        <v>48.03730921042095</v>
      </c>
      <c r="AN12" s="81">
        <f>IF(AN$6&gt;0,MIN(MAX(Assumptions!$F$18*Assumptions!$F$17,'Monthly Revenue'!AM12*(1+Assumptions!$F$19)),Assumptions!$F$20),0)</f>
        <v>48.998055394629368</v>
      </c>
    </row>
    <row r="14" spans="1:40" x14ac:dyDescent="0.25">
      <c r="A14" s="85" t="s">
        <v>8</v>
      </c>
    </row>
    <row r="15" spans="1:40" x14ac:dyDescent="0.25">
      <c r="A15" s="73" t="s">
        <v>9</v>
      </c>
      <c r="E15" s="81">
        <f>IF(E$7&gt;0,MIN(MAX(Assumptions!$C$18*Assumptions!$C$17,'Monthly Revenue'!D15*(1+Assumptions!$C$19)),Assumptions!$C$20),0)</f>
        <v>0</v>
      </c>
      <c r="F15" s="81">
        <f>IF(F$7&gt;0,MIN(MAX(Assumptions!$C$18*Assumptions!$C$17,'Monthly Revenue'!E15*(1+Assumptions!$C$19)),Assumptions!$C$20),0)</f>
        <v>0</v>
      </c>
      <c r="G15" s="81">
        <f>IF(G$7&gt;0,MIN(MAX(Assumptions!$C$18*Assumptions!$C$17,'Monthly Revenue'!F15*(1+Assumptions!$C$19)),Assumptions!$C$20),0)</f>
        <v>0</v>
      </c>
      <c r="H15" s="81">
        <f>IF(H$7&gt;0,MIN(MAX(Assumptions!$C$18*Assumptions!$C$17,'Monthly Revenue'!G15*(1+Assumptions!$C$19)),Assumptions!$C$20),0)</f>
        <v>26</v>
      </c>
      <c r="I15" s="81">
        <f>IF(I$7&gt;0,MIN(MAX(Assumptions!$C$18*Assumptions!$C$17,'Monthly Revenue'!H15*(1+Assumptions!$C$19)),Assumptions!$C$20),0)</f>
        <v>27.04</v>
      </c>
      <c r="J15" s="81">
        <f>IF(J$7&gt;0,MIN(MAX(Assumptions!$C$18*Assumptions!$C$17,'Monthly Revenue'!I15*(1+Assumptions!$C$19)),Assumptions!$C$20),0)</f>
        <v>28.121600000000001</v>
      </c>
      <c r="K15" s="81">
        <f>IF(K$7&gt;0,MIN(MAX(Assumptions!$C$18*Assumptions!$C$17,'Monthly Revenue'!J15*(1+Assumptions!$C$19)),Assumptions!$C$20),0)</f>
        <v>29.246464000000003</v>
      </c>
      <c r="L15" s="81">
        <f>IF(L$7&gt;0,MIN(MAX(Assumptions!$C$18*Assumptions!$C$17,'Monthly Revenue'!K15*(1+Assumptions!$C$19)),Assumptions!$C$20),0)</f>
        <v>30.416322560000005</v>
      </c>
      <c r="M15" s="81">
        <f>IF(M$7&gt;0,MIN(MAX(Assumptions!$C$18*Assumptions!$C$17,'Monthly Revenue'!L15*(1+Assumptions!$C$19)),Assumptions!$C$20),0)</f>
        <v>31.632975462400005</v>
      </c>
      <c r="N15" s="81">
        <f>IF(N$7&gt;0,MIN(MAX(Assumptions!$C$18*Assumptions!$C$17,'Monthly Revenue'!M15*(1+Assumptions!$C$19)),Assumptions!$C$20),0)</f>
        <v>32.898294480896006</v>
      </c>
      <c r="O15" s="81">
        <f>IF(O$7&gt;0,MIN(MAX(Assumptions!$C$18*Assumptions!$C$17,'Monthly Revenue'!N15*(1+Assumptions!$C$19)),Assumptions!$C$20),0)</f>
        <v>34.214226260131845</v>
      </c>
      <c r="P15" s="81">
        <f>IF(P$7&gt;0,MIN(MAX(Assumptions!$C$18*Assumptions!$C$17,'Monthly Revenue'!O15*(1+Assumptions!$C$19)),Assumptions!$C$20),0)</f>
        <v>35.582795310537122</v>
      </c>
      <c r="Q15" s="81">
        <f>IF(Q$7&gt;0,MIN(MAX(Assumptions!$C$18*Assumptions!$C$17,'Monthly Revenue'!P15*(1+Assumptions!$C$19)),Assumptions!$C$20),0)</f>
        <v>37.00610712295861</v>
      </c>
      <c r="R15" s="81">
        <f>IF(R$7&gt;0,MIN(MAX(Assumptions!$C$18*Assumptions!$C$17,'Monthly Revenue'!Q15*(1+Assumptions!$C$19)),Assumptions!$C$20),0)</f>
        <v>38.48635140787696</v>
      </c>
      <c r="S15" s="81">
        <f>IF(S$7&gt;0,MIN(MAX(Assumptions!$C$18*Assumptions!$C$17,'Monthly Revenue'!R15*(1+Assumptions!$C$19)),Assumptions!$C$20),0)</f>
        <v>40.02580546419204</v>
      </c>
      <c r="T15" s="81">
        <f>IF(T$7&gt;0,MIN(MAX(Assumptions!$C$18*Assumptions!$C$17,'Monthly Revenue'!S15*(1+Assumptions!$C$19)),Assumptions!$C$20),0)</f>
        <v>41.626837682759721</v>
      </c>
      <c r="U15" s="81">
        <f>IF(U$7&gt;0,MIN(MAX(Assumptions!$C$18*Assumptions!$C$17,'Monthly Revenue'!T15*(1+Assumptions!$C$19)),Assumptions!$C$20),0)</f>
        <v>43.29191119007011</v>
      </c>
      <c r="V15" s="81">
        <f>IF(V$7&gt;0,MIN(MAX(Assumptions!$C$18*Assumptions!$C$17,'Monthly Revenue'!U15*(1+Assumptions!$C$19)),Assumptions!$C$20),0)</f>
        <v>45.023587637672918</v>
      </c>
      <c r="W15" s="81">
        <f>IF(W$7&gt;0,MIN(MAX(Assumptions!$C$18*Assumptions!$C$17,'Monthly Revenue'!V15*(1+Assumptions!$C$19)),Assumptions!$C$20),0)</f>
        <v>46.82453114317984</v>
      </c>
      <c r="X15" s="81">
        <f>IF(X$7&gt;0,MIN(MAX(Assumptions!$C$18*Assumptions!$C$17,'Monthly Revenue'!W15*(1+Assumptions!$C$19)),Assumptions!$C$20),0)</f>
        <v>48.697512388907036</v>
      </c>
      <c r="Y15" s="81">
        <f>IF(Y$7&gt;0,MIN(MAX(Assumptions!$C$18*Assumptions!$C$17,'Monthly Revenue'!X15*(1+Assumptions!$C$19)),Assumptions!$C$20),0)</f>
        <v>50.645412884463319</v>
      </c>
      <c r="Z15" s="81">
        <f>IF(Z$7&gt;0,MIN(MAX(Assumptions!$C$18*Assumptions!$C$17,'Monthly Revenue'!Y15*(1+Assumptions!$C$19)),Assumptions!$C$20),0)</f>
        <v>52.671229399841856</v>
      </c>
      <c r="AA15" s="81">
        <f>IF(AA$7&gt;0,MIN(MAX(Assumptions!$C$18*Assumptions!$C$17,'Monthly Revenue'!Z15*(1+Assumptions!$C$19)),Assumptions!$C$20),0)</f>
        <v>54.778078575835529</v>
      </c>
      <c r="AB15" s="81">
        <f>IF(AB$7&gt;0,MIN(MAX(Assumptions!$C$18*Assumptions!$C$17,'Monthly Revenue'!AA15*(1+Assumptions!$C$19)),Assumptions!$C$20),0)</f>
        <v>56.969201718868952</v>
      </c>
      <c r="AC15" s="81">
        <f>IF(AC$7&gt;0,MIN(MAX(Assumptions!$C$18*Assumptions!$C$17,'Monthly Revenue'!AB15*(1+Assumptions!$C$19)),Assumptions!$C$20),0)</f>
        <v>59.24796978762371</v>
      </c>
      <c r="AD15" s="81">
        <f>IF(AD$7&gt;0,MIN(MAX(Assumptions!$C$18*Assumptions!$C$17,'Monthly Revenue'!AC15*(1+Assumptions!$C$19)),Assumptions!$C$20),0)</f>
        <v>61.61788857912866</v>
      </c>
      <c r="AE15" s="81">
        <f>IF(AE$7&gt;0,MIN(MAX(Assumptions!$C$18*Assumptions!$C$17,'Monthly Revenue'!AD15*(1+Assumptions!$C$19)),Assumptions!$C$20),0)</f>
        <v>64.082604122293816</v>
      </c>
      <c r="AF15" s="81">
        <f>IF(AF$7&gt;0,MIN(MAX(Assumptions!$C$18*Assumptions!$C$17,'Monthly Revenue'!AE15*(1+Assumptions!$C$19)),Assumptions!$C$20),0)</f>
        <v>66.645908287185577</v>
      </c>
      <c r="AG15" s="81">
        <f>IF(AG$7&gt;0,MIN(MAX(Assumptions!$C$18*Assumptions!$C$17,'Monthly Revenue'!AF15*(1+Assumptions!$C$19)),Assumptions!$C$20),0)</f>
        <v>69.311744618673004</v>
      </c>
      <c r="AH15" s="81">
        <f>IF(AH$7&gt;0,MIN(MAX(Assumptions!$C$18*Assumptions!$C$17,'Monthly Revenue'!AG15*(1+Assumptions!$C$19)),Assumptions!$C$20),0)</f>
        <v>72.084214403419921</v>
      </c>
      <c r="AI15" s="81">
        <f>IF(AI$7&gt;0,MIN(MAX(Assumptions!$C$18*Assumptions!$C$17,'Monthly Revenue'!AH15*(1+Assumptions!$C$19)),Assumptions!$C$20),0)</f>
        <v>74.967582979556724</v>
      </c>
      <c r="AJ15" s="81">
        <f>IF(AJ$7&gt;0,MIN(MAX(Assumptions!$C$18*Assumptions!$C$17,'Monthly Revenue'!AI15*(1+Assumptions!$C$19)),Assumptions!$C$20),0)</f>
        <v>77.966286298738993</v>
      </c>
      <c r="AK15" s="81">
        <f>IF(AK$7&gt;0,MIN(MAX(Assumptions!$C$18*Assumptions!$C$17,'Monthly Revenue'!AJ15*(1+Assumptions!$C$19)),Assumptions!$C$20),0)</f>
        <v>80</v>
      </c>
      <c r="AL15" s="81">
        <f>IF(AL$7&gt;0,MIN(MAX(Assumptions!$C$18*Assumptions!$C$17,'Monthly Revenue'!AK15*(1+Assumptions!$C$19)),Assumptions!$C$20),0)</f>
        <v>80</v>
      </c>
      <c r="AM15" s="81">
        <f>IF(AM$7&gt;0,MIN(MAX(Assumptions!$C$18*Assumptions!$C$17,'Monthly Revenue'!AL15*(1+Assumptions!$C$19)),Assumptions!$C$20),0)</f>
        <v>80</v>
      </c>
      <c r="AN15" s="81">
        <f>IF(AN$7&gt;0,MIN(MAX(Assumptions!$C$18*Assumptions!$C$17,'Monthly Revenue'!AM15*(1+Assumptions!$C$19)),Assumptions!$C$20),0)</f>
        <v>80</v>
      </c>
    </row>
    <row r="16" spans="1:40" x14ac:dyDescent="0.25">
      <c r="A16" s="73" t="s">
        <v>10</v>
      </c>
      <c r="E16" s="81">
        <f>IF(E$7&gt;0,MIN(MAX(Assumptions!$G$18*Assumptions!$G$17,'Monthly Revenue'!D16*(1+Assumptions!$G$19)),Assumptions!$G$20),0)</f>
        <v>0</v>
      </c>
      <c r="F16" s="81">
        <f>IF(F$7&gt;0,MIN(MAX(Assumptions!$G$18*Assumptions!$G$17,'Monthly Revenue'!E16*(1+Assumptions!$G$19)),Assumptions!$G$20),0)</f>
        <v>0</v>
      </c>
      <c r="G16" s="81">
        <f>IF(G$7&gt;0,MIN(MAX(Assumptions!$G$18*Assumptions!$G$17,'Monthly Revenue'!F16*(1+Assumptions!$G$19)),Assumptions!$G$20),0)</f>
        <v>0</v>
      </c>
      <c r="H16" s="81">
        <f>IF(H$7&gt;0,MIN(MAX(Assumptions!$G$18*Assumptions!$G$17,'Monthly Revenue'!G16*(1+Assumptions!$G$19)),Assumptions!$G$20),0)</f>
        <v>30</v>
      </c>
      <c r="I16" s="81">
        <f>IF(I$7&gt;0,MIN(MAX(Assumptions!$G$18*Assumptions!$G$17,'Monthly Revenue'!H16*(1+Assumptions!$G$19)),Assumptions!$G$20),0)</f>
        <v>31.200000000000003</v>
      </c>
      <c r="J16" s="81">
        <f>IF(J$7&gt;0,MIN(MAX(Assumptions!$G$18*Assumptions!$G$17,'Monthly Revenue'!I16*(1+Assumptions!$G$19)),Assumptions!$G$20),0)</f>
        <v>32.448000000000008</v>
      </c>
      <c r="K16" s="81">
        <f>IF(K$7&gt;0,MIN(MAX(Assumptions!$G$18*Assumptions!$G$17,'Monthly Revenue'!J16*(1+Assumptions!$G$19)),Assumptions!$G$20),0)</f>
        <v>33.745920000000012</v>
      </c>
      <c r="L16" s="81">
        <f>IF(L$7&gt;0,MIN(MAX(Assumptions!$G$18*Assumptions!$G$17,'Monthly Revenue'!K16*(1+Assumptions!$G$19)),Assumptions!$G$20),0)</f>
        <v>35.095756800000011</v>
      </c>
      <c r="M16" s="81">
        <f>IF(M$7&gt;0,MIN(MAX(Assumptions!$G$18*Assumptions!$G$17,'Monthly Revenue'!L16*(1+Assumptions!$G$19)),Assumptions!$G$20),0)</f>
        <v>36.499587072000011</v>
      </c>
      <c r="N16" s="81">
        <f>IF(N$7&gt;0,MIN(MAX(Assumptions!$G$18*Assumptions!$G$17,'Monthly Revenue'!M16*(1+Assumptions!$G$19)),Assumptions!$G$20),0)</f>
        <v>37.95957055488001</v>
      </c>
      <c r="O16" s="81">
        <f>IF(O$7&gt;0,MIN(MAX(Assumptions!$G$18*Assumptions!$G$17,'Monthly Revenue'!N16*(1+Assumptions!$G$19)),Assumptions!$G$20),0)</f>
        <v>39.47795337707521</v>
      </c>
      <c r="P16" s="81">
        <f>IF(P$7&gt;0,MIN(MAX(Assumptions!$G$18*Assumptions!$G$17,'Monthly Revenue'!O16*(1+Assumptions!$G$19)),Assumptions!$G$20),0)</f>
        <v>41.057071512158217</v>
      </c>
      <c r="Q16" s="81">
        <f>IF(Q$7&gt;0,MIN(MAX(Assumptions!$G$18*Assumptions!$G$17,'Monthly Revenue'!P16*(1+Assumptions!$G$19)),Assumptions!$G$20),0)</f>
        <v>42.699354372644549</v>
      </c>
      <c r="R16" s="81">
        <f>IF(R$7&gt;0,MIN(MAX(Assumptions!$G$18*Assumptions!$G$17,'Monthly Revenue'!Q16*(1+Assumptions!$G$19)),Assumptions!$G$20),0)</f>
        <v>44.407328547550335</v>
      </c>
      <c r="S16" s="81">
        <f>IF(S$7&gt;0,MIN(MAX(Assumptions!$G$18*Assumptions!$G$17,'Monthly Revenue'!R16*(1+Assumptions!$G$19)),Assumptions!$G$20),0)</f>
        <v>46.183621689452352</v>
      </c>
      <c r="T16" s="81">
        <f>IF(T$7&gt;0,MIN(MAX(Assumptions!$G$18*Assumptions!$G$17,'Monthly Revenue'!S16*(1+Assumptions!$G$19)),Assumptions!$G$20),0)</f>
        <v>48.030966557030446</v>
      </c>
      <c r="U16" s="81">
        <f>IF(U$7&gt;0,MIN(MAX(Assumptions!$G$18*Assumptions!$G$17,'Monthly Revenue'!T16*(1+Assumptions!$G$19)),Assumptions!$G$20),0)</f>
        <v>49.952205219311665</v>
      </c>
      <c r="V16" s="81">
        <f>IF(V$7&gt;0,MIN(MAX(Assumptions!$G$18*Assumptions!$G$17,'Monthly Revenue'!U16*(1+Assumptions!$G$19)),Assumptions!$G$20),0)</f>
        <v>51.95029342808413</v>
      </c>
      <c r="W16" s="81">
        <f>IF(W$7&gt;0,MIN(MAX(Assumptions!$G$18*Assumptions!$G$17,'Monthly Revenue'!V16*(1+Assumptions!$G$19)),Assumptions!$G$20),0)</f>
        <v>54.028305165207499</v>
      </c>
      <c r="X16" s="81">
        <f>IF(X$7&gt;0,MIN(MAX(Assumptions!$G$18*Assumptions!$G$17,'Monthly Revenue'!W16*(1+Assumptions!$G$19)),Assumptions!$G$20),0)</f>
        <v>56.189437371815799</v>
      </c>
      <c r="Y16" s="81">
        <f>IF(Y$7&gt;0,MIN(MAX(Assumptions!$G$18*Assumptions!$G$17,'Monthly Revenue'!X16*(1+Assumptions!$G$19)),Assumptions!$G$20),0)</f>
        <v>58.437014866688436</v>
      </c>
      <c r="Z16" s="81">
        <f>IF(Z$7&gt;0,MIN(MAX(Assumptions!$G$18*Assumptions!$G$17,'Monthly Revenue'!Y16*(1+Assumptions!$G$19)),Assumptions!$G$20),0)</f>
        <v>60.774495461355976</v>
      </c>
      <c r="AA16" s="81">
        <f>IF(AA$7&gt;0,MIN(MAX(Assumptions!$G$18*Assumptions!$G$17,'Monthly Revenue'!Z16*(1+Assumptions!$G$19)),Assumptions!$G$20),0)</f>
        <v>63.205475279810216</v>
      </c>
      <c r="AB16" s="81">
        <f>IF(AB$7&gt;0,MIN(MAX(Assumptions!$G$18*Assumptions!$G$17,'Monthly Revenue'!AA16*(1+Assumptions!$G$19)),Assumptions!$G$20),0)</f>
        <v>65.733694291002621</v>
      </c>
      <c r="AC16" s="81">
        <f>IF(AC$7&gt;0,MIN(MAX(Assumptions!$G$18*Assumptions!$G$17,'Monthly Revenue'!AB16*(1+Assumptions!$G$19)),Assumptions!$G$20),0)</f>
        <v>68.363042062642734</v>
      </c>
      <c r="AD16" s="81">
        <f>IF(AD$7&gt;0,MIN(MAX(Assumptions!$G$18*Assumptions!$G$17,'Monthly Revenue'!AC16*(1+Assumptions!$G$19)),Assumptions!$G$20),0)</f>
        <v>71.097563745148449</v>
      </c>
      <c r="AE16" s="81">
        <f>IF(AE$7&gt;0,MIN(MAX(Assumptions!$G$18*Assumptions!$G$17,'Monthly Revenue'!AD16*(1+Assumptions!$G$19)),Assumptions!$G$20),0)</f>
        <v>73.941466294954395</v>
      </c>
      <c r="AF16" s="81">
        <f>IF(AF$7&gt;0,MIN(MAX(Assumptions!$G$18*Assumptions!$G$17,'Monthly Revenue'!AE16*(1+Assumptions!$G$19)),Assumptions!$G$20),0)</f>
        <v>76.899124946752579</v>
      </c>
      <c r="AG16" s="81">
        <f>IF(AG$7&gt;0,MIN(MAX(Assumptions!$G$18*Assumptions!$G$17,'Monthly Revenue'!AF16*(1+Assumptions!$G$19)),Assumptions!$G$20),0)</f>
        <v>79.975089944622681</v>
      </c>
      <c r="AH16" s="81">
        <f>IF(AH$7&gt;0,MIN(MAX(Assumptions!$G$18*Assumptions!$G$17,'Monthly Revenue'!AG16*(1+Assumptions!$G$19)),Assumptions!$G$20),0)</f>
        <v>83.17409354240759</v>
      </c>
      <c r="AI16" s="81">
        <f>IF(AI$7&gt;0,MIN(MAX(Assumptions!$G$18*Assumptions!$G$17,'Monthly Revenue'!AH16*(1+Assumptions!$G$19)),Assumptions!$G$20),0)</f>
        <v>86.501057284103894</v>
      </c>
      <c r="AJ16" s="81">
        <f>IF(AJ$7&gt;0,MIN(MAX(Assumptions!$G$18*Assumptions!$G$17,'Monthly Revenue'!AI16*(1+Assumptions!$G$19)),Assumptions!$G$20),0)</f>
        <v>89.961099575468054</v>
      </c>
      <c r="AK16" s="81">
        <f>IF(AK$7&gt;0,MIN(MAX(Assumptions!$G$18*Assumptions!$G$17,'Monthly Revenue'!AJ16*(1+Assumptions!$G$19)),Assumptions!$G$20),0)</f>
        <v>90</v>
      </c>
      <c r="AL16" s="81">
        <f>IF(AL$7&gt;0,MIN(MAX(Assumptions!$G$18*Assumptions!$G$17,'Monthly Revenue'!AK16*(1+Assumptions!$G$19)),Assumptions!$G$20),0)</f>
        <v>90</v>
      </c>
      <c r="AM16" s="81">
        <f>IF(AM$7&gt;0,MIN(MAX(Assumptions!$G$18*Assumptions!$G$17,'Monthly Revenue'!AL16*(1+Assumptions!$G$19)),Assumptions!$G$20),0)</f>
        <v>90</v>
      </c>
      <c r="AN16" s="81">
        <f>IF(AN$7&gt;0,MIN(MAX(Assumptions!$G$18*Assumptions!$G$17,'Monthly Revenue'!AM16*(1+Assumptions!$G$19)),Assumptions!$G$20),0)</f>
        <v>90</v>
      </c>
    </row>
    <row r="18" spans="1:40" x14ac:dyDescent="0.25">
      <c r="A18" s="71" t="s">
        <v>147</v>
      </c>
    </row>
    <row r="19" spans="1:40" customFormat="1" x14ac:dyDescent="0.25"/>
    <row r="20" spans="1:40" x14ac:dyDescent="0.25">
      <c r="A20" s="84" t="s">
        <v>7</v>
      </c>
    </row>
    <row r="21" spans="1:40" x14ac:dyDescent="0.25">
      <c r="A21" s="74" t="s">
        <v>9</v>
      </c>
    </row>
    <row r="22" spans="1:40" x14ac:dyDescent="0.25">
      <c r="A22" s="75" t="s">
        <v>12</v>
      </c>
      <c r="E22" s="80"/>
      <c r="F22" s="80"/>
      <c r="G22" s="80"/>
      <c r="H22" s="82">
        <v>300</v>
      </c>
      <c r="I22" s="82">
        <v>300</v>
      </c>
      <c r="J22" s="82">
        <v>300</v>
      </c>
      <c r="K22" s="82">
        <v>300</v>
      </c>
      <c r="L22" s="82">
        <v>300</v>
      </c>
      <c r="M22" s="82">
        <v>300</v>
      </c>
      <c r="N22" s="82">
        <v>300</v>
      </c>
      <c r="O22" s="82">
        <v>300</v>
      </c>
      <c r="P22" s="82">
        <v>300</v>
      </c>
      <c r="Q22" s="82">
        <v>300</v>
      </c>
      <c r="R22" s="82">
        <v>300</v>
      </c>
      <c r="S22" s="82">
        <v>300</v>
      </c>
      <c r="T22" s="81">
        <f>S22*(1+Assumptions!$B$13)</f>
        <v>315</v>
      </c>
      <c r="U22" s="81">
        <f>T22</f>
        <v>315</v>
      </c>
      <c r="V22" s="81">
        <f t="shared" ref="V22:AE22" si="27">U22</f>
        <v>315</v>
      </c>
      <c r="W22" s="81">
        <f t="shared" si="27"/>
        <v>315</v>
      </c>
      <c r="X22" s="81">
        <f t="shared" si="27"/>
        <v>315</v>
      </c>
      <c r="Y22" s="81">
        <f t="shared" si="27"/>
        <v>315</v>
      </c>
      <c r="Z22" s="81">
        <f t="shared" si="27"/>
        <v>315</v>
      </c>
      <c r="AA22" s="81">
        <f t="shared" si="27"/>
        <v>315</v>
      </c>
      <c r="AB22" s="81">
        <f t="shared" si="27"/>
        <v>315</v>
      </c>
      <c r="AC22" s="81">
        <f t="shared" si="27"/>
        <v>315</v>
      </c>
      <c r="AD22" s="81">
        <f t="shared" si="27"/>
        <v>315</v>
      </c>
      <c r="AE22" s="81">
        <f t="shared" si="27"/>
        <v>315</v>
      </c>
      <c r="AF22" s="81">
        <f>AE22*(1+Assumptions!$B$13)</f>
        <v>330.75</v>
      </c>
      <c r="AG22" s="81">
        <f>AF22</f>
        <v>330.75</v>
      </c>
      <c r="AH22" s="81">
        <f t="shared" ref="AH22:AN22" si="28">AG22</f>
        <v>330.75</v>
      </c>
      <c r="AI22" s="81">
        <f t="shared" si="28"/>
        <v>330.75</v>
      </c>
      <c r="AJ22" s="81">
        <f t="shared" si="28"/>
        <v>330.75</v>
      </c>
      <c r="AK22" s="81">
        <f t="shared" si="28"/>
        <v>330.75</v>
      </c>
      <c r="AL22" s="81">
        <f t="shared" si="28"/>
        <v>330.75</v>
      </c>
      <c r="AM22" s="81">
        <f t="shared" si="28"/>
        <v>330.75</v>
      </c>
      <c r="AN22" s="81">
        <f t="shared" si="28"/>
        <v>330.75</v>
      </c>
    </row>
    <row r="23" spans="1:40" x14ac:dyDescent="0.25">
      <c r="A23" s="75" t="s">
        <v>13</v>
      </c>
      <c r="E23" s="80"/>
      <c r="F23" s="80"/>
      <c r="G23" s="80"/>
      <c r="H23" s="82">
        <v>200</v>
      </c>
      <c r="I23" s="82">
        <v>200</v>
      </c>
      <c r="J23" s="82">
        <v>200</v>
      </c>
      <c r="K23" s="82">
        <v>200</v>
      </c>
      <c r="L23" s="82">
        <v>200</v>
      </c>
      <c r="M23" s="82">
        <v>200</v>
      </c>
      <c r="N23" s="82">
        <v>200</v>
      </c>
      <c r="O23" s="82">
        <v>200</v>
      </c>
      <c r="P23" s="82">
        <v>200</v>
      </c>
      <c r="Q23" s="82">
        <v>200</v>
      </c>
      <c r="R23" s="82">
        <v>200</v>
      </c>
      <c r="S23" s="82">
        <v>200</v>
      </c>
      <c r="T23" s="81">
        <f>S23*(1+Assumptions!$B$13)</f>
        <v>210</v>
      </c>
      <c r="U23" s="81">
        <f t="shared" ref="U23:AE24" si="29">T23</f>
        <v>210</v>
      </c>
      <c r="V23" s="81">
        <f t="shared" si="29"/>
        <v>210</v>
      </c>
      <c r="W23" s="81">
        <f t="shared" si="29"/>
        <v>210</v>
      </c>
      <c r="X23" s="81">
        <f t="shared" si="29"/>
        <v>210</v>
      </c>
      <c r="Y23" s="81">
        <f t="shared" si="29"/>
        <v>210</v>
      </c>
      <c r="Z23" s="81">
        <f t="shared" si="29"/>
        <v>210</v>
      </c>
      <c r="AA23" s="81">
        <f t="shared" si="29"/>
        <v>210</v>
      </c>
      <c r="AB23" s="81">
        <f t="shared" si="29"/>
        <v>210</v>
      </c>
      <c r="AC23" s="81">
        <f t="shared" si="29"/>
        <v>210</v>
      </c>
      <c r="AD23" s="81">
        <f t="shared" si="29"/>
        <v>210</v>
      </c>
      <c r="AE23" s="81">
        <f t="shared" si="29"/>
        <v>210</v>
      </c>
      <c r="AF23" s="81">
        <f>AE23*(1+Assumptions!$B$13)</f>
        <v>220.5</v>
      </c>
      <c r="AG23" s="81">
        <f t="shared" ref="AG23:AN24" si="30">AF23</f>
        <v>220.5</v>
      </c>
      <c r="AH23" s="81">
        <f t="shared" si="30"/>
        <v>220.5</v>
      </c>
      <c r="AI23" s="81">
        <f t="shared" si="30"/>
        <v>220.5</v>
      </c>
      <c r="AJ23" s="81">
        <f t="shared" si="30"/>
        <v>220.5</v>
      </c>
      <c r="AK23" s="81">
        <f t="shared" si="30"/>
        <v>220.5</v>
      </c>
      <c r="AL23" s="81">
        <f t="shared" si="30"/>
        <v>220.5</v>
      </c>
      <c r="AM23" s="81">
        <f t="shared" si="30"/>
        <v>220.5</v>
      </c>
      <c r="AN23" s="81">
        <f t="shared" si="30"/>
        <v>220.5</v>
      </c>
    </row>
    <row r="24" spans="1:40" x14ac:dyDescent="0.25">
      <c r="A24" s="75" t="s">
        <v>14</v>
      </c>
      <c r="E24" s="80"/>
      <c r="F24" s="80"/>
      <c r="G24" s="80"/>
      <c r="H24" s="82">
        <v>1000</v>
      </c>
      <c r="I24" s="82">
        <v>1000</v>
      </c>
      <c r="J24" s="82">
        <v>1000</v>
      </c>
      <c r="K24" s="82">
        <v>1000</v>
      </c>
      <c r="L24" s="82">
        <v>1000</v>
      </c>
      <c r="M24" s="82">
        <v>1000</v>
      </c>
      <c r="N24" s="82">
        <v>1000</v>
      </c>
      <c r="O24" s="82">
        <v>1000</v>
      </c>
      <c r="P24" s="82">
        <v>1000</v>
      </c>
      <c r="Q24" s="82">
        <v>1000</v>
      </c>
      <c r="R24" s="82">
        <v>1000</v>
      </c>
      <c r="S24" s="82">
        <v>1000</v>
      </c>
      <c r="T24" s="81">
        <f>S24*(1+Assumptions!$B$13)</f>
        <v>1050</v>
      </c>
      <c r="U24" s="81">
        <f t="shared" si="29"/>
        <v>1050</v>
      </c>
      <c r="V24" s="81">
        <f t="shared" si="29"/>
        <v>1050</v>
      </c>
      <c r="W24" s="81">
        <f t="shared" si="29"/>
        <v>1050</v>
      </c>
      <c r="X24" s="81">
        <f t="shared" si="29"/>
        <v>1050</v>
      </c>
      <c r="Y24" s="81">
        <f t="shared" si="29"/>
        <v>1050</v>
      </c>
      <c r="Z24" s="81">
        <f t="shared" si="29"/>
        <v>1050</v>
      </c>
      <c r="AA24" s="81">
        <f t="shared" si="29"/>
        <v>1050</v>
      </c>
      <c r="AB24" s="81">
        <f t="shared" si="29"/>
        <v>1050</v>
      </c>
      <c r="AC24" s="81">
        <f t="shared" si="29"/>
        <v>1050</v>
      </c>
      <c r="AD24" s="81">
        <f t="shared" si="29"/>
        <v>1050</v>
      </c>
      <c r="AE24" s="81">
        <f t="shared" si="29"/>
        <v>1050</v>
      </c>
      <c r="AF24" s="81">
        <f>AE24*(1+Assumptions!$B$13)</f>
        <v>1102.5</v>
      </c>
      <c r="AG24" s="81">
        <f t="shared" si="30"/>
        <v>1102.5</v>
      </c>
      <c r="AH24" s="81">
        <f t="shared" si="30"/>
        <v>1102.5</v>
      </c>
      <c r="AI24" s="81">
        <f t="shared" si="30"/>
        <v>1102.5</v>
      </c>
      <c r="AJ24" s="81">
        <f t="shared" si="30"/>
        <v>1102.5</v>
      </c>
      <c r="AK24" s="81">
        <f t="shared" si="30"/>
        <v>1102.5</v>
      </c>
      <c r="AL24" s="81">
        <f t="shared" si="30"/>
        <v>1102.5</v>
      </c>
      <c r="AM24" s="81">
        <f t="shared" si="30"/>
        <v>1102.5</v>
      </c>
      <c r="AN24" s="81">
        <f t="shared" si="30"/>
        <v>1102.5</v>
      </c>
    </row>
    <row r="25" spans="1:40" x14ac:dyDescent="0.25">
      <c r="A25" s="78" t="s">
        <v>39</v>
      </c>
      <c r="E25" s="83">
        <f>SUM(E22:E24)</f>
        <v>0</v>
      </c>
      <c r="F25" s="83">
        <f t="shared" ref="F25:AN25" si="31">SUM(F22:F24)</f>
        <v>0</v>
      </c>
      <c r="G25" s="83">
        <f t="shared" si="31"/>
        <v>0</v>
      </c>
      <c r="H25" s="83">
        <f t="shared" si="31"/>
        <v>1500</v>
      </c>
      <c r="I25" s="83">
        <f t="shared" si="31"/>
        <v>1500</v>
      </c>
      <c r="J25" s="83">
        <f t="shared" si="31"/>
        <v>1500</v>
      </c>
      <c r="K25" s="83">
        <f t="shared" si="31"/>
        <v>1500</v>
      </c>
      <c r="L25" s="83">
        <f t="shared" si="31"/>
        <v>1500</v>
      </c>
      <c r="M25" s="83">
        <f t="shared" si="31"/>
        <v>1500</v>
      </c>
      <c r="N25" s="83">
        <f t="shared" si="31"/>
        <v>1500</v>
      </c>
      <c r="O25" s="83">
        <f t="shared" si="31"/>
        <v>1500</v>
      </c>
      <c r="P25" s="83">
        <f t="shared" si="31"/>
        <v>1500</v>
      </c>
      <c r="Q25" s="83">
        <f t="shared" si="31"/>
        <v>1500</v>
      </c>
      <c r="R25" s="83">
        <f t="shared" si="31"/>
        <v>1500</v>
      </c>
      <c r="S25" s="83">
        <f t="shared" si="31"/>
        <v>1500</v>
      </c>
      <c r="T25" s="83">
        <f t="shared" si="31"/>
        <v>1575</v>
      </c>
      <c r="U25" s="83">
        <f t="shared" si="31"/>
        <v>1575</v>
      </c>
      <c r="V25" s="83">
        <f t="shared" si="31"/>
        <v>1575</v>
      </c>
      <c r="W25" s="83">
        <f t="shared" si="31"/>
        <v>1575</v>
      </c>
      <c r="X25" s="83">
        <f t="shared" si="31"/>
        <v>1575</v>
      </c>
      <c r="Y25" s="83">
        <f t="shared" si="31"/>
        <v>1575</v>
      </c>
      <c r="Z25" s="83">
        <f t="shared" si="31"/>
        <v>1575</v>
      </c>
      <c r="AA25" s="83">
        <f t="shared" si="31"/>
        <v>1575</v>
      </c>
      <c r="AB25" s="83">
        <f t="shared" si="31"/>
        <v>1575</v>
      </c>
      <c r="AC25" s="83">
        <f t="shared" si="31"/>
        <v>1575</v>
      </c>
      <c r="AD25" s="83">
        <f t="shared" si="31"/>
        <v>1575</v>
      </c>
      <c r="AE25" s="83">
        <f t="shared" si="31"/>
        <v>1575</v>
      </c>
      <c r="AF25" s="83">
        <f t="shared" si="31"/>
        <v>1653.75</v>
      </c>
      <c r="AG25" s="83">
        <f t="shared" si="31"/>
        <v>1653.75</v>
      </c>
      <c r="AH25" s="83">
        <f t="shared" si="31"/>
        <v>1653.75</v>
      </c>
      <c r="AI25" s="83">
        <f t="shared" si="31"/>
        <v>1653.75</v>
      </c>
      <c r="AJ25" s="83">
        <f t="shared" si="31"/>
        <v>1653.75</v>
      </c>
      <c r="AK25" s="83">
        <f t="shared" si="31"/>
        <v>1653.75</v>
      </c>
      <c r="AL25" s="83">
        <f t="shared" si="31"/>
        <v>1653.75</v>
      </c>
      <c r="AM25" s="83">
        <f t="shared" si="31"/>
        <v>1653.75</v>
      </c>
      <c r="AN25" s="83">
        <f t="shared" si="31"/>
        <v>1653.75</v>
      </c>
    </row>
    <row r="26" spans="1:40" x14ac:dyDescent="0.25">
      <c r="A26" s="76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</row>
    <row r="27" spans="1:40" x14ac:dyDescent="0.25">
      <c r="A27" s="74" t="s">
        <v>10</v>
      </c>
    </row>
    <row r="28" spans="1:40" x14ac:dyDescent="0.25">
      <c r="A28" s="75" t="s">
        <v>12</v>
      </c>
      <c r="E28" s="80"/>
      <c r="F28" s="80"/>
      <c r="G28" s="80"/>
      <c r="H28" s="82">
        <v>400</v>
      </c>
      <c r="I28" s="82">
        <v>400</v>
      </c>
      <c r="J28" s="82">
        <v>400</v>
      </c>
      <c r="K28" s="82">
        <v>400</v>
      </c>
      <c r="L28" s="82">
        <v>400</v>
      </c>
      <c r="M28" s="82">
        <v>400</v>
      </c>
      <c r="N28" s="82">
        <v>400</v>
      </c>
      <c r="O28" s="82">
        <v>400</v>
      </c>
      <c r="P28" s="82">
        <v>400</v>
      </c>
      <c r="Q28" s="82">
        <v>400</v>
      </c>
      <c r="R28" s="82">
        <v>400</v>
      </c>
      <c r="S28" s="82">
        <v>400</v>
      </c>
      <c r="T28" s="81">
        <f>S28*(1+Assumptions!$F$13)</f>
        <v>420</v>
      </c>
      <c r="U28" s="81">
        <f>T28</f>
        <v>420</v>
      </c>
      <c r="V28" s="81">
        <f t="shared" ref="V28:AE28" si="32">U28</f>
        <v>420</v>
      </c>
      <c r="W28" s="81">
        <f t="shared" si="32"/>
        <v>420</v>
      </c>
      <c r="X28" s="81">
        <f t="shared" si="32"/>
        <v>420</v>
      </c>
      <c r="Y28" s="81">
        <f t="shared" si="32"/>
        <v>420</v>
      </c>
      <c r="Z28" s="81">
        <f t="shared" si="32"/>
        <v>420</v>
      </c>
      <c r="AA28" s="81">
        <f t="shared" si="32"/>
        <v>420</v>
      </c>
      <c r="AB28" s="81">
        <f t="shared" si="32"/>
        <v>420</v>
      </c>
      <c r="AC28" s="81">
        <f t="shared" si="32"/>
        <v>420</v>
      </c>
      <c r="AD28" s="81">
        <f t="shared" si="32"/>
        <v>420</v>
      </c>
      <c r="AE28" s="81">
        <f t="shared" si="32"/>
        <v>420</v>
      </c>
      <c r="AF28" s="81">
        <f>AE28*(1+Assumptions!$F$13)</f>
        <v>441</v>
      </c>
      <c r="AG28" s="81">
        <f>AF28</f>
        <v>441</v>
      </c>
      <c r="AH28" s="81">
        <f t="shared" ref="AH28:AN28" si="33">AG28</f>
        <v>441</v>
      </c>
      <c r="AI28" s="81">
        <f t="shared" si="33"/>
        <v>441</v>
      </c>
      <c r="AJ28" s="81">
        <f t="shared" si="33"/>
        <v>441</v>
      </c>
      <c r="AK28" s="81">
        <f t="shared" si="33"/>
        <v>441</v>
      </c>
      <c r="AL28" s="81">
        <f t="shared" si="33"/>
        <v>441</v>
      </c>
      <c r="AM28" s="81">
        <f t="shared" si="33"/>
        <v>441</v>
      </c>
      <c r="AN28" s="81">
        <f t="shared" si="33"/>
        <v>441</v>
      </c>
    </row>
    <row r="29" spans="1:40" x14ac:dyDescent="0.25">
      <c r="A29" s="75" t="s">
        <v>13</v>
      </c>
      <c r="E29" s="80"/>
      <c r="F29" s="80"/>
      <c r="G29" s="80"/>
      <c r="H29" s="82">
        <v>200</v>
      </c>
      <c r="I29" s="82">
        <v>200</v>
      </c>
      <c r="J29" s="82">
        <v>200</v>
      </c>
      <c r="K29" s="82">
        <v>200</v>
      </c>
      <c r="L29" s="82">
        <v>200</v>
      </c>
      <c r="M29" s="82">
        <v>200</v>
      </c>
      <c r="N29" s="82">
        <v>200</v>
      </c>
      <c r="O29" s="82">
        <v>200</v>
      </c>
      <c r="P29" s="82">
        <v>200</v>
      </c>
      <c r="Q29" s="82">
        <v>200</v>
      </c>
      <c r="R29" s="82">
        <v>200</v>
      </c>
      <c r="S29" s="82">
        <v>200</v>
      </c>
      <c r="T29" s="81">
        <f>S29*(1+Assumptions!$F$13)</f>
        <v>210</v>
      </c>
      <c r="U29" s="81">
        <f t="shared" ref="U29:AE30" si="34">T29</f>
        <v>210</v>
      </c>
      <c r="V29" s="81">
        <f t="shared" si="34"/>
        <v>210</v>
      </c>
      <c r="W29" s="81">
        <f t="shared" si="34"/>
        <v>210</v>
      </c>
      <c r="X29" s="81">
        <f t="shared" si="34"/>
        <v>210</v>
      </c>
      <c r="Y29" s="81">
        <f t="shared" si="34"/>
        <v>210</v>
      </c>
      <c r="Z29" s="81">
        <f t="shared" si="34"/>
        <v>210</v>
      </c>
      <c r="AA29" s="81">
        <f t="shared" si="34"/>
        <v>210</v>
      </c>
      <c r="AB29" s="81">
        <f t="shared" si="34"/>
        <v>210</v>
      </c>
      <c r="AC29" s="81">
        <f t="shared" si="34"/>
        <v>210</v>
      </c>
      <c r="AD29" s="81">
        <f t="shared" si="34"/>
        <v>210</v>
      </c>
      <c r="AE29" s="81">
        <f t="shared" si="34"/>
        <v>210</v>
      </c>
      <c r="AF29" s="81">
        <f>AE29*(1+Assumptions!$F$13)</f>
        <v>220.5</v>
      </c>
      <c r="AG29" s="81">
        <f t="shared" ref="AG29:AN30" si="35">AF29</f>
        <v>220.5</v>
      </c>
      <c r="AH29" s="81">
        <f t="shared" si="35"/>
        <v>220.5</v>
      </c>
      <c r="AI29" s="81">
        <f t="shared" si="35"/>
        <v>220.5</v>
      </c>
      <c r="AJ29" s="81">
        <f t="shared" si="35"/>
        <v>220.5</v>
      </c>
      <c r="AK29" s="81">
        <f t="shared" si="35"/>
        <v>220.5</v>
      </c>
      <c r="AL29" s="81">
        <f t="shared" si="35"/>
        <v>220.5</v>
      </c>
      <c r="AM29" s="81">
        <f t="shared" si="35"/>
        <v>220.5</v>
      </c>
      <c r="AN29" s="81">
        <f t="shared" si="35"/>
        <v>220.5</v>
      </c>
    </row>
    <row r="30" spans="1:40" x14ac:dyDescent="0.25">
      <c r="A30" s="75" t="s">
        <v>14</v>
      </c>
      <c r="E30" s="80"/>
      <c r="F30" s="80"/>
      <c r="G30" s="80"/>
      <c r="H30" s="82">
        <v>1000</v>
      </c>
      <c r="I30" s="82">
        <v>1000</v>
      </c>
      <c r="J30" s="82">
        <v>1000</v>
      </c>
      <c r="K30" s="82">
        <v>1000</v>
      </c>
      <c r="L30" s="82">
        <v>1000</v>
      </c>
      <c r="M30" s="82">
        <v>1000</v>
      </c>
      <c r="N30" s="82">
        <v>1000</v>
      </c>
      <c r="O30" s="82">
        <v>1000</v>
      </c>
      <c r="P30" s="82">
        <v>1000</v>
      </c>
      <c r="Q30" s="82">
        <v>1000</v>
      </c>
      <c r="R30" s="82">
        <v>1000</v>
      </c>
      <c r="S30" s="82">
        <v>1000</v>
      </c>
      <c r="T30" s="81">
        <f>S30*(1+Assumptions!$F$13)</f>
        <v>1050</v>
      </c>
      <c r="U30" s="81">
        <f t="shared" si="34"/>
        <v>1050</v>
      </c>
      <c r="V30" s="81">
        <f t="shared" si="34"/>
        <v>1050</v>
      </c>
      <c r="W30" s="81">
        <f t="shared" si="34"/>
        <v>1050</v>
      </c>
      <c r="X30" s="81">
        <f t="shared" si="34"/>
        <v>1050</v>
      </c>
      <c r="Y30" s="81">
        <f t="shared" si="34"/>
        <v>1050</v>
      </c>
      <c r="Z30" s="81">
        <f t="shared" si="34"/>
        <v>1050</v>
      </c>
      <c r="AA30" s="81">
        <f t="shared" si="34"/>
        <v>1050</v>
      </c>
      <c r="AB30" s="81">
        <f t="shared" si="34"/>
        <v>1050</v>
      </c>
      <c r="AC30" s="81">
        <f t="shared" si="34"/>
        <v>1050</v>
      </c>
      <c r="AD30" s="81">
        <f t="shared" si="34"/>
        <v>1050</v>
      </c>
      <c r="AE30" s="81">
        <f t="shared" si="34"/>
        <v>1050</v>
      </c>
      <c r="AF30" s="81">
        <f>AE30*(1+Assumptions!$F$13)</f>
        <v>1102.5</v>
      </c>
      <c r="AG30" s="81">
        <f t="shared" si="35"/>
        <v>1102.5</v>
      </c>
      <c r="AH30" s="81">
        <f t="shared" si="35"/>
        <v>1102.5</v>
      </c>
      <c r="AI30" s="81">
        <f t="shared" si="35"/>
        <v>1102.5</v>
      </c>
      <c r="AJ30" s="81">
        <f t="shared" si="35"/>
        <v>1102.5</v>
      </c>
      <c r="AK30" s="81">
        <f t="shared" si="35"/>
        <v>1102.5</v>
      </c>
      <c r="AL30" s="81">
        <f t="shared" si="35"/>
        <v>1102.5</v>
      </c>
      <c r="AM30" s="81">
        <f t="shared" si="35"/>
        <v>1102.5</v>
      </c>
      <c r="AN30" s="81">
        <f t="shared" si="35"/>
        <v>1102.5</v>
      </c>
    </row>
    <row r="31" spans="1:40" x14ac:dyDescent="0.25">
      <c r="A31" s="79" t="s">
        <v>39</v>
      </c>
      <c r="E31" s="83">
        <f>SUM(E28:E30)</f>
        <v>0</v>
      </c>
      <c r="F31" s="83">
        <f t="shared" ref="F31:AN31" si="36">SUM(F28:F30)</f>
        <v>0</v>
      </c>
      <c r="G31" s="83">
        <f t="shared" si="36"/>
        <v>0</v>
      </c>
      <c r="H31" s="83">
        <f t="shared" si="36"/>
        <v>1600</v>
      </c>
      <c r="I31" s="83">
        <f t="shared" si="36"/>
        <v>1600</v>
      </c>
      <c r="J31" s="83">
        <f t="shared" si="36"/>
        <v>1600</v>
      </c>
      <c r="K31" s="83">
        <f t="shared" si="36"/>
        <v>1600</v>
      </c>
      <c r="L31" s="83">
        <f t="shared" si="36"/>
        <v>1600</v>
      </c>
      <c r="M31" s="83">
        <f t="shared" si="36"/>
        <v>1600</v>
      </c>
      <c r="N31" s="83">
        <f t="shared" si="36"/>
        <v>1600</v>
      </c>
      <c r="O31" s="83">
        <f t="shared" si="36"/>
        <v>1600</v>
      </c>
      <c r="P31" s="83">
        <f t="shared" si="36"/>
        <v>1600</v>
      </c>
      <c r="Q31" s="83">
        <f t="shared" si="36"/>
        <v>1600</v>
      </c>
      <c r="R31" s="83">
        <f t="shared" si="36"/>
        <v>1600</v>
      </c>
      <c r="S31" s="83">
        <f t="shared" si="36"/>
        <v>1600</v>
      </c>
      <c r="T31" s="83">
        <f t="shared" si="36"/>
        <v>1680</v>
      </c>
      <c r="U31" s="83">
        <f t="shared" si="36"/>
        <v>1680</v>
      </c>
      <c r="V31" s="83">
        <f t="shared" si="36"/>
        <v>1680</v>
      </c>
      <c r="W31" s="83">
        <f t="shared" si="36"/>
        <v>1680</v>
      </c>
      <c r="X31" s="83">
        <f t="shared" si="36"/>
        <v>1680</v>
      </c>
      <c r="Y31" s="83">
        <f t="shared" si="36"/>
        <v>1680</v>
      </c>
      <c r="Z31" s="83">
        <f t="shared" si="36"/>
        <v>1680</v>
      </c>
      <c r="AA31" s="83">
        <f t="shared" si="36"/>
        <v>1680</v>
      </c>
      <c r="AB31" s="83">
        <f t="shared" si="36"/>
        <v>1680</v>
      </c>
      <c r="AC31" s="83">
        <f t="shared" si="36"/>
        <v>1680</v>
      </c>
      <c r="AD31" s="83">
        <f t="shared" si="36"/>
        <v>1680</v>
      </c>
      <c r="AE31" s="83">
        <f t="shared" si="36"/>
        <v>1680</v>
      </c>
      <c r="AF31" s="83">
        <f t="shared" si="36"/>
        <v>1764</v>
      </c>
      <c r="AG31" s="83">
        <f t="shared" si="36"/>
        <v>1764</v>
      </c>
      <c r="AH31" s="83">
        <f t="shared" si="36"/>
        <v>1764</v>
      </c>
      <c r="AI31" s="83">
        <f t="shared" si="36"/>
        <v>1764</v>
      </c>
      <c r="AJ31" s="83">
        <f t="shared" si="36"/>
        <v>1764</v>
      </c>
      <c r="AK31" s="83">
        <f t="shared" si="36"/>
        <v>1764</v>
      </c>
      <c r="AL31" s="83">
        <f t="shared" si="36"/>
        <v>1764</v>
      </c>
      <c r="AM31" s="83">
        <f t="shared" si="36"/>
        <v>1764</v>
      </c>
      <c r="AN31" s="83">
        <f t="shared" si="36"/>
        <v>1764</v>
      </c>
    </row>
    <row r="33" spans="1:40" x14ac:dyDescent="0.25">
      <c r="A33" s="85" t="s">
        <v>8</v>
      </c>
    </row>
    <row r="34" spans="1:40" x14ac:dyDescent="0.25">
      <c r="A34" s="74" t="s">
        <v>9</v>
      </c>
    </row>
    <row r="35" spans="1:40" x14ac:dyDescent="0.25">
      <c r="A35" s="75" t="s">
        <v>12</v>
      </c>
      <c r="E35" s="80"/>
      <c r="F35" s="80"/>
      <c r="G35" s="80"/>
      <c r="H35" s="82">
        <v>500</v>
      </c>
      <c r="I35" s="82">
        <v>500</v>
      </c>
      <c r="J35" s="82">
        <v>500</v>
      </c>
      <c r="K35" s="82">
        <v>500</v>
      </c>
      <c r="L35" s="82">
        <v>500</v>
      </c>
      <c r="M35" s="82">
        <v>500</v>
      </c>
      <c r="N35" s="82">
        <v>500</v>
      </c>
      <c r="O35" s="82">
        <v>500</v>
      </c>
      <c r="P35" s="82">
        <v>500</v>
      </c>
      <c r="Q35" s="82">
        <v>500</v>
      </c>
      <c r="R35" s="82">
        <v>500</v>
      </c>
      <c r="S35" s="82">
        <v>500</v>
      </c>
      <c r="T35" s="81">
        <f>S35*(1+Assumptions!C13)</f>
        <v>525</v>
      </c>
      <c r="U35" s="81">
        <f>T35</f>
        <v>525</v>
      </c>
      <c r="V35" s="81">
        <f t="shared" ref="V35:AE35" si="37">U35</f>
        <v>525</v>
      </c>
      <c r="W35" s="81">
        <f t="shared" si="37"/>
        <v>525</v>
      </c>
      <c r="X35" s="81">
        <f t="shared" si="37"/>
        <v>525</v>
      </c>
      <c r="Y35" s="81">
        <f t="shared" si="37"/>
        <v>525</v>
      </c>
      <c r="Z35" s="81">
        <f t="shared" si="37"/>
        <v>525</v>
      </c>
      <c r="AA35" s="81">
        <f t="shared" si="37"/>
        <v>525</v>
      </c>
      <c r="AB35" s="81">
        <f t="shared" si="37"/>
        <v>525</v>
      </c>
      <c r="AC35" s="81">
        <f t="shared" si="37"/>
        <v>525</v>
      </c>
      <c r="AD35" s="81">
        <f t="shared" si="37"/>
        <v>525</v>
      </c>
      <c r="AE35" s="81">
        <f t="shared" si="37"/>
        <v>525</v>
      </c>
      <c r="AF35" s="81">
        <f>AE35*(1+Assumptions!$C$13)</f>
        <v>551.25</v>
      </c>
      <c r="AG35" s="81">
        <f>AF35</f>
        <v>551.25</v>
      </c>
      <c r="AH35" s="81">
        <f t="shared" ref="AH35:AN35" si="38">AG35</f>
        <v>551.25</v>
      </c>
      <c r="AI35" s="81">
        <f t="shared" si="38"/>
        <v>551.25</v>
      </c>
      <c r="AJ35" s="81">
        <f t="shared" si="38"/>
        <v>551.25</v>
      </c>
      <c r="AK35" s="81">
        <f t="shared" si="38"/>
        <v>551.25</v>
      </c>
      <c r="AL35" s="81">
        <f t="shared" si="38"/>
        <v>551.25</v>
      </c>
      <c r="AM35" s="81">
        <f t="shared" si="38"/>
        <v>551.25</v>
      </c>
      <c r="AN35" s="81">
        <f t="shared" si="38"/>
        <v>551.25</v>
      </c>
    </row>
    <row r="36" spans="1:40" x14ac:dyDescent="0.25">
      <c r="A36" s="75" t="s">
        <v>13</v>
      </c>
      <c r="E36" s="80"/>
      <c r="F36" s="80"/>
      <c r="G36" s="80"/>
      <c r="H36" s="82">
        <v>200</v>
      </c>
      <c r="I36" s="82">
        <v>200</v>
      </c>
      <c r="J36" s="82">
        <v>200</v>
      </c>
      <c r="K36" s="82">
        <v>200</v>
      </c>
      <c r="L36" s="82">
        <v>200</v>
      </c>
      <c r="M36" s="82">
        <v>200</v>
      </c>
      <c r="N36" s="82">
        <v>200</v>
      </c>
      <c r="O36" s="82">
        <v>200</v>
      </c>
      <c r="P36" s="82">
        <v>200</v>
      </c>
      <c r="Q36" s="82">
        <v>200</v>
      </c>
      <c r="R36" s="82">
        <v>200</v>
      </c>
      <c r="S36" s="82">
        <v>200</v>
      </c>
      <c r="T36" s="81">
        <f>S36*(1+Assumptions!C14)</f>
        <v>200</v>
      </c>
      <c r="U36" s="81">
        <f t="shared" ref="U36:AE37" si="39">T36</f>
        <v>200</v>
      </c>
      <c r="V36" s="81">
        <f t="shared" si="39"/>
        <v>200</v>
      </c>
      <c r="W36" s="81">
        <f t="shared" si="39"/>
        <v>200</v>
      </c>
      <c r="X36" s="81">
        <f t="shared" si="39"/>
        <v>200</v>
      </c>
      <c r="Y36" s="81">
        <f t="shared" si="39"/>
        <v>200</v>
      </c>
      <c r="Z36" s="81">
        <f t="shared" si="39"/>
        <v>200</v>
      </c>
      <c r="AA36" s="81">
        <f t="shared" si="39"/>
        <v>200</v>
      </c>
      <c r="AB36" s="81">
        <f t="shared" si="39"/>
        <v>200</v>
      </c>
      <c r="AC36" s="81">
        <f t="shared" si="39"/>
        <v>200</v>
      </c>
      <c r="AD36" s="81">
        <f t="shared" si="39"/>
        <v>200</v>
      </c>
      <c r="AE36" s="81">
        <f t="shared" si="39"/>
        <v>200</v>
      </c>
      <c r="AF36" s="81">
        <f>AE36*(1+Assumptions!$C$13)</f>
        <v>210</v>
      </c>
      <c r="AG36" s="81">
        <f t="shared" ref="AG36:AN37" si="40">AF36</f>
        <v>210</v>
      </c>
      <c r="AH36" s="81">
        <f t="shared" si="40"/>
        <v>210</v>
      </c>
      <c r="AI36" s="81">
        <f t="shared" si="40"/>
        <v>210</v>
      </c>
      <c r="AJ36" s="81">
        <f t="shared" si="40"/>
        <v>210</v>
      </c>
      <c r="AK36" s="81">
        <f t="shared" si="40"/>
        <v>210</v>
      </c>
      <c r="AL36" s="81">
        <f t="shared" si="40"/>
        <v>210</v>
      </c>
      <c r="AM36" s="81">
        <f t="shared" si="40"/>
        <v>210</v>
      </c>
      <c r="AN36" s="81">
        <f t="shared" si="40"/>
        <v>210</v>
      </c>
    </row>
    <row r="37" spans="1:40" x14ac:dyDescent="0.25">
      <c r="A37" s="75" t="s">
        <v>14</v>
      </c>
      <c r="E37" s="80"/>
      <c r="F37" s="80"/>
      <c r="G37" s="80"/>
      <c r="H37" s="82">
        <v>1000</v>
      </c>
      <c r="I37" s="82">
        <v>1000</v>
      </c>
      <c r="J37" s="82">
        <v>1000</v>
      </c>
      <c r="K37" s="82">
        <v>1000</v>
      </c>
      <c r="L37" s="82">
        <v>1000</v>
      </c>
      <c r="M37" s="82">
        <v>1000</v>
      </c>
      <c r="N37" s="82">
        <v>1000</v>
      </c>
      <c r="O37" s="82">
        <v>1000</v>
      </c>
      <c r="P37" s="82">
        <v>1000</v>
      </c>
      <c r="Q37" s="82">
        <v>1000</v>
      </c>
      <c r="R37" s="82">
        <v>1000</v>
      </c>
      <c r="S37" s="82">
        <v>1000</v>
      </c>
      <c r="T37" s="81">
        <f>S37*(1+Assumptions!C15)</f>
        <v>1000</v>
      </c>
      <c r="U37" s="81">
        <f t="shared" si="39"/>
        <v>1000</v>
      </c>
      <c r="V37" s="81">
        <f t="shared" si="39"/>
        <v>1000</v>
      </c>
      <c r="W37" s="81">
        <f t="shared" si="39"/>
        <v>1000</v>
      </c>
      <c r="X37" s="81">
        <f t="shared" si="39"/>
        <v>1000</v>
      </c>
      <c r="Y37" s="81">
        <f t="shared" si="39"/>
        <v>1000</v>
      </c>
      <c r="Z37" s="81">
        <f t="shared" si="39"/>
        <v>1000</v>
      </c>
      <c r="AA37" s="81">
        <f t="shared" si="39"/>
        <v>1000</v>
      </c>
      <c r="AB37" s="81">
        <f t="shared" si="39"/>
        <v>1000</v>
      </c>
      <c r="AC37" s="81">
        <f t="shared" si="39"/>
        <v>1000</v>
      </c>
      <c r="AD37" s="81">
        <f t="shared" si="39"/>
        <v>1000</v>
      </c>
      <c r="AE37" s="81">
        <f t="shared" si="39"/>
        <v>1000</v>
      </c>
      <c r="AF37" s="81">
        <f>AE37*(1+Assumptions!$C$13)</f>
        <v>1050</v>
      </c>
      <c r="AG37" s="81">
        <f t="shared" si="40"/>
        <v>1050</v>
      </c>
      <c r="AH37" s="81">
        <f t="shared" si="40"/>
        <v>1050</v>
      </c>
      <c r="AI37" s="81">
        <f t="shared" si="40"/>
        <v>1050</v>
      </c>
      <c r="AJ37" s="81">
        <f t="shared" si="40"/>
        <v>1050</v>
      </c>
      <c r="AK37" s="81">
        <f t="shared" si="40"/>
        <v>1050</v>
      </c>
      <c r="AL37" s="81">
        <f t="shared" si="40"/>
        <v>1050</v>
      </c>
      <c r="AM37" s="81">
        <f t="shared" si="40"/>
        <v>1050</v>
      </c>
      <c r="AN37" s="81">
        <f t="shared" si="40"/>
        <v>1050</v>
      </c>
    </row>
    <row r="38" spans="1:40" x14ac:dyDescent="0.25">
      <c r="A38" s="78" t="s">
        <v>39</v>
      </c>
      <c r="E38" s="83">
        <f>SUM(E35:E37)</f>
        <v>0</v>
      </c>
      <c r="F38" s="83">
        <f t="shared" ref="F38:AN38" si="41">SUM(F35:F37)</f>
        <v>0</v>
      </c>
      <c r="G38" s="83">
        <f t="shared" si="41"/>
        <v>0</v>
      </c>
      <c r="H38" s="83">
        <f t="shared" si="41"/>
        <v>1700</v>
      </c>
      <c r="I38" s="83">
        <f t="shared" si="41"/>
        <v>1700</v>
      </c>
      <c r="J38" s="83">
        <f t="shared" si="41"/>
        <v>1700</v>
      </c>
      <c r="K38" s="83">
        <f t="shared" si="41"/>
        <v>1700</v>
      </c>
      <c r="L38" s="83">
        <f t="shared" si="41"/>
        <v>1700</v>
      </c>
      <c r="M38" s="83">
        <f t="shared" si="41"/>
        <v>1700</v>
      </c>
      <c r="N38" s="83">
        <f t="shared" si="41"/>
        <v>1700</v>
      </c>
      <c r="O38" s="83">
        <f t="shared" si="41"/>
        <v>1700</v>
      </c>
      <c r="P38" s="83">
        <f t="shared" si="41"/>
        <v>1700</v>
      </c>
      <c r="Q38" s="83">
        <f t="shared" si="41"/>
        <v>1700</v>
      </c>
      <c r="R38" s="83">
        <f t="shared" si="41"/>
        <v>1700</v>
      </c>
      <c r="S38" s="83">
        <f t="shared" si="41"/>
        <v>1700</v>
      </c>
      <c r="T38" s="83">
        <f t="shared" si="41"/>
        <v>1725</v>
      </c>
      <c r="U38" s="83">
        <f t="shared" si="41"/>
        <v>1725</v>
      </c>
      <c r="V38" s="83">
        <f t="shared" si="41"/>
        <v>1725</v>
      </c>
      <c r="W38" s="83">
        <f t="shared" si="41"/>
        <v>1725</v>
      </c>
      <c r="X38" s="83">
        <f t="shared" si="41"/>
        <v>1725</v>
      </c>
      <c r="Y38" s="83">
        <f t="shared" si="41"/>
        <v>1725</v>
      </c>
      <c r="Z38" s="83">
        <f t="shared" si="41"/>
        <v>1725</v>
      </c>
      <c r="AA38" s="83">
        <f t="shared" si="41"/>
        <v>1725</v>
      </c>
      <c r="AB38" s="83">
        <f t="shared" si="41"/>
        <v>1725</v>
      </c>
      <c r="AC38" s="83">
        <f t="shared" si="41"/>
        <v>1725</v>
      </c>
      <c r="AD38" s="83">
        <f t="shared" si="41"/>
        <v>1725</v>
      </c>
      <c r="AE38" s="83">
        <f t="shared" si="41"/>
        <v>1725</v>
      </c>
      <c r="AF38" s="83">
        <f t="shared" si="41"/>
        <v>1811.25</v>
      </c>
      <c r="AG38" s="83">
        <f t="shared" si="41"/>
        <v>1811.25</v>
      </c>
      <c r="AH38" s="83">
        <f t="shared" si="41"/>
        <v>1811.25</v>
      </c>
      <c r="AI38" s="83">
        <f t="shared" si="41"/>
        <v>1811.25</v>
      </c>
      <c r="AJ38" s="83">
        <f t="shared" si="41"/>
        <v>1811.25</v>
      </c>
      <c r="AK38" s="83">
        <f t="shared" si="41"/>
        <v>1811.25</v>
      </c>
      <c r="AL38" s="83">
        <f t="shared" si="41"/>
        <v>1811.25</v>
      </c>
      <c r="AM38" s="83">
        <f t="shared" si="41"/>
        <v>1811.25</v>
      </c>
      <c r="AN38" s="83">
        <f t="shared" si="41"/>
        <v>1811.25</v>
      </c>
    </row>
    <row r="39" spans="1:40" x14ac:dyDescent="0.25">
      <c r="A39" s="76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</row>
    <row r="40" spans="1:40" x14ac:dyDescent="0.25">
      <c r="A40" s="74" t="s">
        <v>10</v>
      </c>
    </row>
    <row r="41" spans="1:40" x14ac:dyDescent="0.25">
      <c r="A41" s="75" t="s">
        <v>12</v>
      </c>
      <c r="E41" s="80"/>
      <c r="F41" s="80"/>
      <c r="G41" s="80"/>
      <c r="H41" s="82">
        <v>650</v>
      </c>
      <c r="I41" s="82">
        <v>650</v>
      </c>
      <c r="J41" s="82">
        <v>650</v>
      </c>
      <c r="K41" s="82">
        <v>650</v>
      </c>
      <c r="L41" s="82">
        <v>650</v>
      </c>
      <c r="M41" s="82">
        <v>650</v>
      </c>
      <c r="N41" s="82">
        <v>650</v>
      </c>
      <c r="O41" s="82">
        <v>650</v>
      </c>
      <c r="P41" s="82">
        <v>650</v>
      </c>
      <c r="Q41" s="82">
        <v>650</v>
      </c>
      <c r="R41" s="82">
        <v>650</v>
      </c>
      <c r="S41" s="82">
        <v>650</v>
      </c>
      <c r="T41" s="81">
        <f>S41*(1+Assumptions!$G$13)</f>
        <v>682.5</v>
      </c>
      <c r="U41" s="81">
        <f>T41</f>
        <v>682.5</v>
      </c>
      <c r="V41" s="81">
        <f t="shared" ref="V41:AE41" si="42">U41</f>
        <v>682.5</v>
      </c>
      <c r="W41" s="81">
        <f t="shared" si="42"/>
        <v>682.5</v>
      </c>
      <c r="X41" s="81">
        <f t="shared" si="42"/>
        <v>682.5</v>
      </c>
      <c r="Y41" s="81">
        <f t="shared" si="42"/>
        <v>682.5</v>
      </c>
      <c r="Z41" s="81">
        <f t="shared" si="42"/>
        <v>682.5</v>
      </c>
      <c r="AA41" s="81">
        <f t="shared" si="42"/>
        <v>682.5</v>
      </c>
      <c r="AB41" s="81">
        <f t="shared" si="42"/>
        <v>682.5</v>
      </c>
      <c r="AC41" s="81">
        <f t="shared" si="42"/>
        <v>682.5</v>
      </c>
      <c r="AD41" s="81">
        <f t="shared" si="42"/>
        <v>682.5</v>
      </c>
      <c r="AE41" s="81">
        <f t="shared" si="42"/>
        <v>682.5</v>
      </c>
      <c r="AF41" s="81">
        <f>AE41*(1+Assumptions!$G$13)</f>
        <v>716.625</v>
      </c>
      <c r="AG41" s="81">
        <f>AF41</f>
        <v>716.625</v>
      </c>
      <c r="AH41" s="81">
        <f t="shared" ref="AH41:AN41" si="43">AG41</f>
        <v>716.625</v>
      </c>
      <c r="AI41" s="81">
        <f t="shared" si="43"/>
        <v>716.625</v>
      </c>
      <c r="AJ41" s="81">
        <f t="shared" si="43"/>
        <v>716.625</v>
      </c>
      <c r="AK41" s="81">
        <f t="shared" si="43"/>
        <v>716.625</v>
      </c>
      <c r="AL41" s="81">
        <f t="shared" si="43"/>
        <v>716.625</v>
      </c>
      <c r="AM41" s="81">
        <f t="shared" si="43"/>
        <v>716.625</v>
      </c>
      <c r="AN41" s="81">
        <f t="shared" si="43"/>
        <v>716.625</v>
      </c>
    </row>
    <row r="42" spans="1:40" x14ac:dyDescent="0.25">
      <c r="A42" s="75" t="s">
        <v>13</v>
      </c>
      <c r="E42" s="80"/>
      <c r="F42" s="80"/>
      <c r="G42" s="80"/>
      <c r="H42" s="82">
        <v>250</v>
      </c>
      <c r="I42" s="82">
        <v>250</v>
      </c>
      <c r="J42" s="82">
        <v>250</v>
      </c>
      <c r="K42" s="82">
        <v>250</v>
      </c>
      <c r="L42" s="82">
        <v>250</v>
      </c>
      <c r="M42" s="82">
        <v>250</v>
      </c>
      <c r="N42" s="82">
        <v>250</v>
      </c>
      <c r="O42" s="82">
        <v>250</v>
      </c>
      <c r="P42" s="82">
        <v>250</v>
      </c>
      <c r="Q42" s="82">
        <v>250</v>
      </c>
      <c r="R42" s="82">
        <v>250</v>
      </c>
      <c r="S42" s="82">
        <v>250</v>
      </c>
      <c r="T42" s="81">
        <f>S42*(1+Assumptions!$G$13)</f>
        <v>262.5</v>
      </c>
      <c r="U42" s="81">
        <f t="shared" ref="U42:AE43" si="44">T42</f>
        <v>262.5</v>
      </c>
      <c r="V42" s="81">
        <f t="shared" si="44"/>
        <v>262.5</v>
      </c>
      <c r="W42" s="81">
        <f t="shared" si="44"/>
        <v>262.5</v>
      </c>
      <c r="X42" s="81">
        <f t="shared" si="44"/>
        <v>262.5</v>
      </c>
      <c r="Y42" s="81">
        <f t="shared" si="44"/>
        <v>262.5</v>
      </c>
      <c r="Z42" s="81">
        <f t="shared" si="44"/>
        <v>262.5</v>
      </c>
      <c r="AA42" s="81">
        <f t="shared" si="44"/>
        <v>262.5</v>
      </c>
      <c r="AB42" s="81">
        <f t="shared" si="44"/>
        <v>262.5</v>
      </c>
      <c r="AC42" s="81">
        <f t="shared" si="44"/>
        <v>262.5</v>
      </c>
      <c r="AD42" s="81">
        <f t="shared" si="44"/>
        <v>262.5</v>
      </c>
      <c r="AE42" s="81">
        <f t="shared" si="44"/>
        <v>262.5</v>
      </c>
      <c r="AF42" s="81">
        <f>AE42*(1+Assumptions!$G$13)</f>
        <v>275.625</v>
      </c>
      <c r="AG42" s="81">
        <f t="shared" ref="AG42:AN43" si="45">AF42</f>
        <v>275.625</v>
      </c>
      <c r="AH42" s="81">
        <f t="shared" si="45"/>
        <v>275.625</v>
      </c>
      <c r="AI42" s="81">
        <f t="shared" si="45"/>
        <v>275.625</v>
      </c>
      <c r="AJ42" s="81">
        <f t="shared" si="45"/>
        <v>275.625</v>
      </c>
      <c r="AK42" s="81">
        <f t="shared" si="45"/>
        <v>275.625</v>
      </c>
      <c r="AL42" s="81">
        <f t="shared" si="45"/>
        <v>275.625</v>
      </c>
      <c r="AM42" s="81">
        <f t="shared" si="45"/>
        <v>275.625</v>
      </c>
      <c r="AN42" s="81">
        <f t="shared" si="45"/>
        <v>275.625</v>
      </c>
    </row>
    <row r="43" spans="1:40" x14ac:dyDescent="0.25">
      <c r="A43" s="75" t="s">
        <v>14</v>
      </c>
      <c r="E43" s="80"/>
      <c r="F43" s="80"/>
      <c r="G43" s="80"/>
      <c r="H43" s="82">
        <v>1000</v>
      </c>
      <c r="I43" s="82">
        <v>1000</v>
      </c>
      <c r="J43" s="82">
        <v>1000</v>
      </c>
      <c r="K43" s="82">
        <v>1000</v>
      </c>
      <c r="L43" s="82">
        <v>1000</v>
      </c>
      <c r="M43" s="82">
        <v>1000</v>
      </c>
      <c r="N43" s="82">
        <v>1000</v>
      </c>
      <c r="O43" s="82">
        <v>1000</v>
      </c>
      <c r="P43" s="82">
        <v>1000</v>
      </c>
      <c r="Q43" s="82">
        <v>1000</v>
      </c>
      <c r="R43" s="82">
        <v>1000</v>
      </c>
      <c r="S43" s="82">
        <v>1000</v>
      </c>
      <c r="T43" s="81">
        <f>S43*(1+Assumptions!$G$13)</f>
        <v>1050</v>
      </c>
      <c r="U43" s="81">
        <f t="shared" si="44"/>
        <v>1050</v>
      </c>
      <c r="V43" s="81">
        <f t="shared" si="44"/>
        <v>1050</v>
      </c>
      <c r="W43" s="81">
        <f t="shared" si="44"/>
        <v>1050</v>
      </c>
      <c r="X43" s="81">
        <f t="shared" si="44"/>
        <v>1050</v>
      </c>
      <c r="Y43" s="81">
        <f t="shared" si="44"/>
        <v>1050</v>
      </c>
      <c r="Z43" s="81">
        <f t="shared" si="44"/>
        <v>1050</v>
      </c>
      <c r="AA43" s="81">
        <f t="shared" si="44"/>
        <v>1050</v>
      </c>
      <c r="AB43" s="81">
        <f t="shared" si="44"/>
        <v>1050</v>
      </c>
      <c r="AC43" s="81">
        <f t="shared" si="44"/>
        <v>1050</v>
      </c>
      <c r="AD43" s="81">
        <f t="shared" si="44"/>
        <v>1050</v>
      </c>
      <c r="AE43" s="81">
        <f t="shared" si="44"/>
        <v>1050</v>
      </c>
      <c r="AF43" s="81">
        <f>AE43*(1+Assumptions!$G$13)</f>
        <v>1102.5</v>
      </c>
      <c r="AG43" s="81">
        <f t="shared" si="45"/>
        <v>1102.5</v>
      </c>
      <c r="AH43" s="81">
        <f t="shared" si="45"/>
        <v>1102.5</v>
      </c>
      <c r="AI43" s="81">
        <f t="shared" si="45"/>
        <v>1102.5</v>
      </c>
      <c r="AJ43" s="81">
        <f t="shared" si="45"/>
        <v>1102.5</v>
      </c>
      <c r="AK43" s="81">
        <f t="shared" si="45"/>
        <v>1102.5</v>
      </c>
      <c r="AL43" s="81">
        <f t="shared" si="45"/>
        <v>1102.5</v>
      </c>
      <c r="AM43" s="81">
        <f t="shared" si="45"/>
        <v>1102.5</v>
      </c>
      <c r="AN43" s="81">
        <f t="shared" si="45"/>
        <v>1102.5</v>
      </c>
    </row>
    <row r="44" spans="1:40" x14ac:dyDescent="0.25">
      <c r="A44" s="79" t="s">
        <v>39</v>
      </c>
      <c r="E44" s="83">
        <f>SUM(E41:E43)</f>
        <v>0</v>
      </c>
      <c r="F44" s="83">
        <f t="shared" ref="F44:AN44" si="46">SUM(F41:F43)</f>
        <v>0</v>
      </c>
      <c r="G44" s="83">
        <f t="shared" si="46"/>
        <v>0</v>
      </c>
      <c r="H44" s="83">
        <f t="shared" si="46"/>
        <v>1900</v>
      </c>
      <c r="I44" s="83">
        <f t="shared" si="46"/>
        <v>1900</v>
      </c>
      <c r="J44" s="83">
        <f t="shared" si="46"/>
        <v>1900</v>
      </c>
      <c r="K44" s="83">
        <f t="shared" si="46"/>
        <v>1900</v>
      </c>
      <c r="L44" s="83">
        <f t="shared" si="46"/>
        <v>1900</v>
      </c>
      <c r="M44" s="83">
        <f t="shared" si="46"/>
        <v>1900</v>
      </c>
      <c r="N44" s="83">
        <f t="shared" si="46"/>
        <v>1900</v>
      </c>
      <c r="O44" s="83">
        <f t="shared" si="46"/>
        <v>1900</v>
      </c>
      <c r="P44" s="83">
        <f t="shared" si="46"/>
        <v>1900</v>
      </c>
      <c r="Q44" s="83">
        <f t="shared" si="46"/>
        <v>1900</v>
      </c>
      <c r="R44" s="83">
        <f t="shared" si="46"/>
        <v>1900</v>
      </c>
      <c r="S44" s="83">
        <f t="shared" si="46"/>
        <v>1900</v>
      </c>
      <c r="T44" s="83">
        <f t="shared" si="46"/>
        <v>1995</v>
      </c>
      <c r="U44" s="83">
        <f t="shared" si="46"/>
        <v>1995</v>
      </c>
      <c r="V44" s="83">
        <f t="shared" si="46"/>
        <v>1995</v>
      </c>
      <c r="W44" s="83">
        <f t="shared" si="46"/>
        <v>1995</v>
      </c>
      <c r="X44" s="83">
        <f t="shared" si="46"/>
        <v>1995</v>
      </c>
      <c r="Y44" s="83">
        <f t="shared" si="46"/>
        <v>1995</v>
      </c>
      <c r="Z44" s="83">
        <f t="shared" si="46"/>
        <v>1995</v>
      </c>
      <c r="AA44" s="83">
        <f t="shared" si="46"/>
        <v>1995</v>
      </c>
      <c r="AB44" s="83">
        <f t="shared" si="46"/>
        <v>1995</v>
      </c>
      <c r="AC44" s="83">
        <f t="shared" si="46"/>
        <v>1995</v>
      </c>
      <c r="AD44" s="83">
        <f t="shared" si="46"/>
        <v>1995</v>
      </c>
      <c r="AE44" s="83">
        <f t="shared" si="46"/>
        <v>1995</v>
      </c>
      <c r="AF44" s="83">
        <f t="shared" si="46"/>
        <v>2094.75</v>
      </c>
      <c r="AG44" s="83">
        <f t="shared" si="46"/>
        <v>2094.75</v>
      </c>
      <c r="AH44" s="83">
        <f t="shared" si="46"/>
        <v>2094.75</v>
      </c>
      <c r="AI44" s="83">
        <f t="shared" si="46"/>
        <v>2094.75</v>
      </c>
      <c r="AJ44" s="83">
        <f t="shared" si="46"/>
        <v>2094.75</v>
      </c>
      <c r="AK44" s="83">
        <f t="shared" si="46"/>
        <v>2094.75</v>
      </c>
      <c r="AL44" s="83">
        <f t="shared" si="46"/>
        <v>2094.75</v>
      </c>
      <c r="AM44" s="83">
        <f t="shared" si="46"/>
        <v>2094.75</v>
      </c>
      <c r="AN44" s="83">
        <f t="shared" si="46"/>
        <v>2094.75</v>
      </c>
    </row>
    <row r="46" spans="1:40" x14ac:dyDescent="0.25">
      <c r="A46" s="91" t="s">
        <v>148</v>
      </c>
      <c r="B46" s="88"/>
      <c r="C46" s="88"/>
      <c r="D46" s="88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8" spans="1:40" x14ac:dyDescent="0.25">
      <c r="A48" s="84" t="s">
        <v>7</v>
      </c>
    </row>
    <row r="49" spans="1:40" x14ac:dyDescent="0.25">
      <c r="A49" s="74" t="s">
        <v>9</v>
      </c>
    </row>
    <row r="50" spans="1:40" x14ac:dyDescent="0.25">
      <c r="A50" s="75" t="s">
        <v>12</v>
      </c>
      <c r="E50" s="72">
        <f>E22*E$11*E6</f>
        <v>0</v>
      </c>
      <c r="F50" s="72">
        <f t="shared" ref="F50:AN50" si="47">F22*F$11*F6</f>
        <v>0</v>
      </c>
      <c r="G50" s="72">
        <f t="shared" si="47"/>
        <v>0</v>
      </c>
      <c r="H50" s="72">
        <f t="shared" si="47"/>
        <v>138000</v>
      </c>
      <c r="I50" s="72">
        <f t="shared" si="47"/>
        <v>128520</v>
      </c>
      <c r="J50" s="72">
        <f t="shared" si="47"/>
        <v>137332.79999999999</v>
      </c>
      <c r="K50" s="72">
        <f t="shared" si="47"/>
        <v>140079.45600000001</v>
      </c>
      <c r="L50" s="72">
        <f t="shared" si="47"/>
        <v>136386.45216000002</v>
      </c>
      <c r="M50" s="72">
        <f t="shared" si="47"/>
        <v>152363.15084160003</v>
      </c>
      <c r="N50" s="72">
        <f t="shared" si="47"/>
        <v>141896.46482726402</v>
      </c>
      <c r="O50" s="72">
        <f t="shared" si="47"/>
        <v>137842.28011791361</v>
      </c>
      <c r="P50" s="72">
        <f t="shared" si="47"/>
        <v>161688.99457831265</v>
      </c>
      <c r="Q50" s="72">
        <f t="shared" si="47"/>
        <v>157752.21905814504</v>
      </c>
      <c r="R50" s="72">
        <f t="shared" si="47"/>
        <v>153593.29691933939</v>
      </c>
      <c r="S50" s="72">
        <f t="shared" si="47"/>
        <v>164125.40870809412</v>
      </c>
      <c r="T50" s="72">
        <f t="shared" si="47"/>
        <v>175778.31272636878</v>
      </c>
      <c r="U50" s="72">
        <f t="shared" si="47"/>
        <v>179293.87898089614</v>
      </c>
      <c r="V50" s="72">
        <f t="shared" si="47"/>
        <v>182879.75656051407</v>
      </c>
      <c r="W50" s="72">
        <f t="shared" si="47"/>
        <v>178058.38116028236</v>
      </c>
      <c r="X50" s="72">
        <f t="shared" si="47"/>
        <v>190268.0987255589</v>
      </c>
      <c r="Y50" s="72">
        <f t="shared" si="47"/>
        <v>202894.98164098235</v>
      </c>
      <c r="Z50" s="72">
        <f t="shared" si="47"/>
        <v>188956.97855434095</v>
      </c>
      <c r="AA50" s="72">
        <f t="shared" si="47"/>
        <v>183558.20773850265</v>
      </c>
      <c r="AB50" s="72">
        <f t="shared" si="47"/>
        <v>215313.7776772636</v>
      </c>
      <c r="AC50" s="72">
        <f t="shared" si="47"/>
        <v>200522.65729769506</v>
      </c>
      <c r="AD50" s="72">
        <f t="shared" si="47"/>
        <v>214272.78236953702</v>
      </c>
      <c r="AE50" s="72">
        <f t="shared" si="47"/>
        <v>218558.23801692776</v>
      </c>
      <c r="AF50" s="72">
        <f t="shared" si="47"/>
        <v>223436.06051085101</v>
      </c>
      <c r="AG50" s="72">
        <f t="shared" si="47"/>
        <v>249609.9990278364</v>
      </c>
      <c r="AH50" s="72">
        <f t="shared" si="47"/>
        <v>243532.53818194129</v>
      </c>
      <c r="AI50" s="72">
        <f t="shared" si="47"/>
        <v>237112.13490259918</v>
      </c>
      <c r="AJ50" s="72">
        <f t="shared" si="47"/>
        <v>253371.25272449173</v>
      </c>
      <c r="AK50" s="72">
        <f t="shared" si="47"/>
        <v>258438.67777898154</v>
      </c>
      <c r="AL50" s="72">
        <f t="shared" si="47"/>
        <v>263607.45133456122</v>
      </c>
      <c r="AM50" s="72">
        <f t="shared" si="47"/>
        <v>244436.00032841132</v>
      </c>
      <c r="AN50" s="72">
        <f t="shared" si="47"/>
        <v>286723.42838522646</v>
      </c>
    </row>
    <row r="51" spans="1:40" x14ac:dyDescent="0.25">
      <c r="A51" s="75" t="s">
        <v>13</v>
      </c>
      <c r="E51" s="72">
        <f>E23*E$11*E7</f>
        <v>0</v>
      </c>
      <c r="F51" s="72">
        <f t="shared" ref="F51:AN51" si="48">F23*F$11*F6</f>
        <v>0</v>
      </c>
      <c r="G51" s="72">
        <f t="shared" si="48"/>
        <v>0</v>
      </c>
      <c r="H51" s="72">
        <f t="shared" si="48"/>
        <v>92000</v>
      </c>
      <c r="I51" s="72">
        <f t="shared" si="48"/>
        <v>85679.999999999985</v>
      </c>
      <c r="J51" s="72">
        <f t="shared" si="48"/>
        <v>91555.200000000012</v>
      </c>
      <c r="K51" s="72">
        <f t="shared" si="48"/>
        <v>93386.304000000004</v>
      </c>
      <c r="L51" s="72">
        <f t="shared" si="48"/>
        <v>90924.30144000001</v>
      </c>
      <c r="M51" s="72">
        <f t="shared" si="48"/>
        <v>101575.4338944</v>
      </c>
      <c r="N51" s="72">
        <f t="shared" si="48"/>
        <v>94597.643218176017</v>
      </c>
      <c r="O51" s="72">
        <f t="shared" si="48"/>
        <v>91894.8534119424</v>
      </c>
      <c r="P51" s="72">
        <f t="shared" si="48"/>
        <v>107792.66305220845</v>
      </c>
      <c r="Q51" s="72">
        <f t="shared" si="48"/>
        <v>105168.14603876337</v>
      </c>
      <c r="R51" s="72">
        <f t="shared" si="48"/>
        <v>102395.53127955961</v>
      </c>
      <c r="S51" s="72">
        <f t="shared" si="48"/>
        <v>109416.93913872942</v>
      </c>
      <c r="T51" s="72">
        <f t="shared" si="48"/>
        <v>117185.5418175792</v>
      </c>
      <c r="U51" s="72">
        <f t="shared" si="48"/>
        <v>119529.25265393077</v>
      </c>
      <c r="V51" s="72">
        <f t="shared" si="48"/>
        <v>121919.8377070094</v>
      </c>
      <c r="W51" s="72">
        <f t="shared" si="48"/>
        <v>118705.58744018823</v>
      </c>
      <c r="X51" s="72">
        <f t="shared" si="48"/>
        <v>126845.39915037258</v>
      </c>
      <c r="Y51" s="72">
        <f t="shared" si="48"/>
        <v>135263.32109398823</v>
      </c>
      <c r="Z51" s="72">
        <f t="shared" si="48"/>
        <v>125971.3190362273</v>
      </c>
      <c r="AA51" s="72">
        <f t="shared" si="48"/>
        <v>122372.13849233509</v>
      </c>
      <c r="AB51" s="72">
        <f t="shared" si="48"/>
        <v>143542.51845150904</v>
      </c>
      <c r="AC51" s="72">
        <f t="shared" si="48"/>
        <v>133681.77153179669</v>
      </c>
      <c r="AD51" s="72">
        <f t="shared" si="48"/>
        <v>142848.52157969133</v>
      </c>
      <c r="AE51" s="72">
        <f t="shared" si="48"/>
        <v>145705.49201128515</v>
      </c>
      <c r="AF51" s="72">
        <f t="shared" si="48"/>
        <v>148957.37367390067</v>
      </c>
      <c r="AG51" s="72">
        <f t="shared" si="48"/>
        <v>166406.66601855759</v>
      </c>
      <c r="AH51" s="72">
        <f t="shared" si="48"/>
        <v>162355.02545462752</v>
      </c>
      <c r="AI51" s="72">
        <f t="shared" si="48"/>
        <v>158074.75660173281</v>
      </c>
      <c r="AJ51" s="72">
        <f t="shared" si="48"/>
        <v>168914.16848299449</v>
      </c>
      <c r="AK51" s="72">
        <f t="shared" si="48"/>
        <v>172292.45185265437</v>
      </c>
      <c r="AL51" s="72">
        <f t="shared" si="48"/>
        <v>175738.30088970746</v>
      </c>
      <c r="AM51" s="72">
        <f t="shared" si="48"/>
        <v>162957.33355227418</v>
      </c>
      <c r="AN51" s="72">
        <f t="shared" si="48"/>
        <v>191148.95225681766</v>
      </c>
    </row>
    <row r="52" spans="1:40" x14ac:dyDescent="0.25">
      <c r="A52" s="75" t="s">
        <v>14</v>
      </c>
      <c r="E52" s="72">
        <f>E24*E$11*E8</f>
        <v>0</v>
      </c>
      <c r="F52" s="72">
        <f t="shared" ref="F52:AN52" si="49">F24*F$11*F6</f>
        <v>0</v>
      </c>
      <c r="G52" s="72">
        <f t="shared" si="49"/>
        <v>0</v>
      </c>
      <c r="H52" s="72">
        <f t="shared" si="49"/>
        <v>460000</v>
      </c>
      <c r="I52" s="72">
        <f t="shared" si="49"/>
        <v>428400</v>
      </c>
      <c r="J52" s="72">
        <f t="shared" si="49"/>
        <v>457776</v>
      </c>
      <c r="K52" s="72">
        <f t="shared" si="49"/>
        <v>466931.52</v>
      </c>
      <c r="L52" s="72">
        <f t="shared" si="49"/>
        <v>454621.50720000005</v>
      </c>
      <c r="M52" s="72">
        <f t="shared" si="49"/>
        <v>507877.16947200004</v>
      </c>
      <c r="N52" s="72">
        <f t="shared" si="49"/>
        <v>472988.21609088004</v>
      </c>
      <c r="O52" s="72">
        <f t="shared" si="49"/>
        <v>459474.26705971197</v>
      </c>
      <c r="P52" s="72">
        <f t="shared" si="49"/>
        <v>538963.31526104221</v>
      </c>
      <c r="Q52" s="72">
        <f t="shared" si="49"/>
        <v>525840.73019381682</v>
      </c>
      <c r="R52" s="72">
        <f t="shared" si="49"/>
        <v>511977.65639779798</v>
      </c>
      <c r="S52" s="72">
        <f t="shared" si="49"/>
        <v>547084.69569364702</v>
      </c>
      <c r="T52" s="72">
        <f t="shared" si="49"/>
        <v>585927.70908789604</v>
      </c>
      <c r="U52" s="72">
        <f t="shared" si="49"/>
        <v>597646.26326965389</v>
      </c>
      <c r="V52" s="72">
        <f t="shared" si="49"/>
        <v>609599.188535047</v>
      </c>
      <c r="W52" s="72">
        <f t="shared" si="49"/>
        <v>593527.93720094126</v>
      </c>
      <c r="X52" s="72">
        <f t="shared" si="49"/>
        <v>634226.99575186288</v>
      </c>
      <c r="Y52" s="72">
        <f t="shared" si="49"/>
        <v>676316.60546994116</v>
      </c>
      <c r="Z52" s="72">
        <f t="shared" si="49"/>
        <v>629856.59518113651</v>
      </c>
      <c r="AA52" s="72">
        <f t="shared" si="49"/>
        <v>611860.69246167538</v>
      </c>
      <c r="AB52" s="72">
        <f t="shared" si="49"/>
        <v>717712.59225754533</v>
      </c>
      <c r="AC52" s="72">
        <f t="shared" si="49"/>
        <v>668408.85765898344</v>
      </c>
      <c r="AD52" s="72">
        <f t="shared" si="49"/>
        <v>714242.60789845663</v>
      </c>
      <c r="AE52" s="72">
        <f t="shared" si="49"/>
        <v>728527.46005642577</v>
      </c>
      <c r="AF52" s="72">
        <f t="shared" si="49"/>
        <v>744786.86836950341</v>
      </c>
      <c r="AG52" s="72">
        <f t="shared" si="49"/>
        <v>832033.33009278798</v>
      </c>
      <c r="AH52" s="72">
        <f t="shared" si="49"/>
        <v>811775.12727313768</v>
      </c>
      <c r="AI52" s="72">
        <f t="shared" si="49"/>
        <v>790373.78300866403</v>
      </c>
      <c r="AJ52" s="72">
        <f t="shared" si="49"/>
        <v>844570.84241497249</v>
      </c>
      <c r="AK52" s="72">
        <f t="shared" si="49"/>
        <v>861462.25926327182</v>
      </c>
      <c r="AL52" s="72">
        <f t="shared" si="49"/>
        <v>878691.50444853725</v>
      </c>
      <c r="AM52" s="72">
        <f t="shared" si="49"/>
        <v>814786.66776137101</v>
      </c>
      <c r="AN52" s="72">
        <f t="shared" si="49"/>
        <v>955744.76128408825</v>
      </c>
    </row>
    <row r="53" spans="1:40" x14ac:dyDescent="0.25">
      <c r="A53" s="87" t="s">
        <v>39</v>
      </c>
      <c r="B53" s="88"/>
      <c r="C53" s="88"/>
      <c r="D53" s="88"/>
      <c r="E53" s="89">
        <f>SUM(E50:E52)</f>
        <v>0</v>
      </c>
      <c r="F53" s="89">
        <f t="shared" ref="F53:AN53" si="50">SUM(F50:F52)</f>
        <v>0</v>
      </c>
      <c r="G53" s="89">
        <f t="shared" si="50"/>
        <v>0</v>
      </c>
      <c r="H53" s="89">
        <f t="shared" si="50"/>
        <v>690000</v>
      </c>
      <c r="I53" s="89">
        <f t="shared" si="50"/>
        <v>642600</v>
      </c>
      <c r="J53" s="89">
        <f t="shared" si="50"/>
        <v>686664</v>
      </c>
      <c r="K53" s="89">
        <f t="shared" si="50"/>
        <v>700397.28</v>
      </c>
      <c r="L53" s="89">
        <f t="shared" si="50"/>
        <v>681932.26080000005</v>
      </c>
      <c r="M53" s="89">
        <f t="shared" si="50"/>
        <v>761815.75420800014</v>
      </c>
      <c r="N53" s="89">
        <f t="shared" si="50"/>
        <v>709482.32413632004</v>
      </c>
      <c r="O53" s="89">
        <f t="shared" si="50"/>
        <v>689211.40058956796</v>
      </c>
      <c r="P53" s="89">
        <f t="shared" si="50"/>
        <v>808444.97289156332</v>
      </c>
      <c r="Q53" s="89">
        <f t="shared" si="50"/>
        <v>788761.09529072524</v>
      </c>
      <c r="R53" s="89">
        <f t="shared" si="50"/>
        <v>767966.48459669692</v>
      </c>
      <c r="S53" s="89">
        <f t="shared" si="50"/>
        <v>820627.04354047053</v>
      </c>
      <c r="T53" s="89">
        <f t="shared" si="50"/>
        <v>878891.56363184401</v>
      </c>
      <c r="U53" s="89">
        <f t="shared" si="50"/>
        <v>896469.39490448078</v>
      </c>
      <c r="V53" s="89">
        <f t="shared" si="50"/>
        <v>914398.78280257049</v>
      </c>
      <c r="W53" s="89">
        <f t="shared" si="50"/>
        <v>890291.90580141183</v>
      </c>
      <c r="X53" s="89">
        <f t="shared" si="50"/>
        <v>951340.49362779432</v>
      </c>
      <c r="Y53" s="89">
        <f t="shared" si="50"/>
        <v>1014474.9082049117</v>
      </c>
      <c r="Z53" s="89">
        <f t="shared" si="50"/>
        <v>944784.89277170482</v>
      </c>
      <c r="AA53" s="89">
        <f t="shared" si="50"/>
        <v>917791.03869251313</v>
      </c>
      <c r="AB53" s="89">
        <f t="shared" si="50"/>
        <v>1076568.888386318</v>
      </c>
      <c r="AC53" s="89">
        <f t="shared" si="50"/>
        <v>1002613.2864884752</v>
      </c>
      <c r="AD53" s="89">
        <f t="shared" si="50"/>
        <v>1071363.911847685</v>
      </c>
      <c r="AE53" s="89">
        <f t="shared" si="50"/>
        <v>1092791.1900846385</v>
      </c>
      <c r="AF53" s="89">
        <f t="shared" si="50"/>
        <v>1117180.3025542551</v>
      </c>
      <c r="AG53" s="89">
        <f t="shared" si="50"/>
        <v>1248049.9951391821</v>
      </c>
      <c r="AH53" s="89">
        <f t="shared" si="50"/>
        <v>1217662.6909097065</v>
      </c>
      <c r="AI53" s="89">
        <f t="shared" si="50"/>
        <v>1185560.6745129959</v>
      </c>
      <c r="AJ53" s="89">
        <f t="shared" si="50"/>
        <v>1266856.2636224586</v>
      </c>
      <c r="AK53" s="89">
        <f t="shared" si="50"/>
        <v>1292193.3888949077</v>
      </c>
      <c r="AL53" s="89">
        <f t="shared" si="50"/>
        <v>1318037.2566728059</v>
      </c>
      <c r="AM53" s="89">
        <f t="shared" si="50"/>
        <v>1222180.0016420565</v>
      </c>
      <c r="AN53" s="89">
        <f t="shared" si="50"/>
        <v>1433617.1419261324</v>
      </c>
    </row>
    <row r="54" spans="1:40" x14ac:dyDescent="0.25">
      <c r="A54" s="76"/>
    </row>
    <row r="55" spans="1:40" x14ac:dyDescent="0.25">
      <c r="A55" s="74" t="s">
        <v>10</v>
      </c>
    </row>
    <row r="56" spans="1:40" x14ac:dyDescent="0.25">
      <c r="A56" s="75" t="s">
        <v>12</v>
      </c>
      <c r="E56" s="72">
        <f>E$12*E28*E6</f>
        <v>0</v>
      </c>
      <c r="F56" s="72">
        <f t="shared" ref="F56:AN56" si="51">F$12*F28*F6</f>
        <v>0</v>
      </c>
      <c r="G56" s="72">
        <f t="shared" si="51"/>
        <v>0</v>
      </c>
      <c r="H56" s="72">
        <f t="shared" si="51"/>
        <v>239200</v>
      </c>
      <c r="I56" s="72">
        <f t="shared" si="51"/>
        <v>222768</v>
      </c>
      <c r="J56" s="72">
        <f t="shared" si="51"/>
        <v>238043.51999999999</v>
      </c>
      <c r="K56" s="72">
        <f t="shared" si="51"/>
        <v>242804.3904</v>
      </c>
      <c r="L56" s="72">
        <f t="shared" si="51"/>
        <v>236403.18374400001</v>
      </c>
      <c r="M56" s="72">
        <f t="shared" si="51"/>
        <v>264096.12812544004</v>
      </c>
      <c r="N56" s="72">
        <f t="shared" si="51"/>
        <v>245953.8723672576</v>
      </c>
      <c r="O56" s="72">
        <f t="shared" si="51"/>
        <v>238926.61887105025</v>
      </c>
      <c r="P56" s="72">
        <f t="shared" si="51"/>
        <v>280260.92393574194</v>
      </c>
      <c r="Q56" s="72">
        <f t="shared" si="51"/>
        <v>273437.17970078473</v>
      </c>
      <c r="R56" s="72">
        <f t="shared" si="51"/>
        <v>266228.38132685499</v>
      </c>
      <c r="S56" s="72">
        <f t="shared" si="51"/>
        <v>284484.04176069645</v>
      </c>
      <c r="T56" s="72">
        <f t="shared" si="51"/>
        <v>304682.40872570587</v>
      </c>
      <c r="U56" s="72">
        <f t="shared" si="51"/>
        <v>310776.05690021999</v>
      </c>
      <c r="V56" s="72">
        <f t="shared" si="51"/>
        <v>316991.57803822443</v>
      </c>
      <c r="W56" s="72">
        <f t="shared" si="51"/>
        <v>308634.52734448941</v>
      </c>
      <c r="X56" s="72">
        <f t="shared" si="51"/>
        <v>329798.03779096866</v>
      </c>
      <c r="Y56" s="72">
        <f t="shared" si="51"/>
        <v>351684.63484436931</v>
      </c>
      <c r="Z56" s="72">
        <f t="shared" si="51"/>
        <v>327525.4294941909</v>
      </c>
      <c r="AA56" s="72">
        <f t="shared" si="51"/>
        <v>318167.56008007121</v>
      </c>
      <c r="AB56" s="72">
        <f t="shared" si="51"/>
        <v>373210.5479739235</v>
      </c>
      <c r="AC56" s="72">
        <f t="shared" si="51"/>
        <v>347572.60598267143</v>
      </c>
      <c r="AD56" s="72">
        <f t="shared" si="51"/>
        <v>371406.1561071974</v>
      </c>
      <c r="AE56" s="72">
        <f t="shared" si="51"/>
        <v>378834.27922934142</v>
      </c>
      <c r="AF56" s="72">
        <f t="shared" si="51"/>
        <v>387289.17155214166</v>
      </c>
      <c r="AG56" s="72">
        <f t="shared" si="51"/>
        <v>432657.33164824964</v>
      </c>
      <c r="AH56" s="72">
        <f t="shared" si="51"/>
        <v>422123.06618203147</v>
      </c>
      <c r="AI56" s="72">
        <f t="shared" si="51"/>
        <v>410994.36716450518</v>
      </c>
      <c r="AJ56" s="72">
        <f t="shared" si="51"/>
        <v>439176.83805578545</v>
      </c>
      <c r="AK56" s="72">
        <f t="shared" si="51"/>
        <v>447960.37481690128</v>
      </c>
      <c r="AL56" s="72">
        <f t="shared" si="51"/>
        <v>456919.58231323928</v>
      </c>
      <c r="AM56" s="72">
        <f t="shared" si="51"/>
        <v>423689.06723591278</v>
      </c>
      <c r="AN56" s="72">
        <f t="shared" si="51"/>
        <v>496987.27586772566</v>
      </c>
    </row>
    <row r="57" spans="1:40" x14ac:dyDescent="0.25">
      <c r="A57" s="75" t="s">
        <v>13</v>
      </c>
      <c r="E57" s="72">
        <f>E$12*E29*E6</f>
        <v>0</v>
      </c>
      <c r="F57" s="72">
        <f t="shared" ref="F57:AN57" si="52">F$12*F29*F6</f>
        <v>0</v>
      </c>
      <c r="G57" s="72">
        <f t="shared" si="52"/>
        <v>0</v>
      </c>
      <c r="H57" s="72">
        <f t="shared" si="52"/>
        <v>119600</v>
      </c>
      <c r="I57" s="72">
        <f t="shared" si="52"/>
        <v>111384</v>
      </c>
      <c r="J57" s="72">
        <f t="shared" si="52"/>
        <v>119021.75999999999</v>
      </c>
      <c r="K57" s="72">
        <f t="shared" si="52"/>
        <v>121402.1952</v>
      </c>
      <c r="L57" s="72">
        <f t="shared" si="52"/>
        <v>118201.591872</v>
      </c>
      <c r="M57" s="72">
        <f t="shared" si="52"/>
        <v>132048.06406272002</v>
      </c>
      <c r="N57" s="72">
        <f t="shared" si="52"/>
        <v>122976.9361836288</v>
      </c>
      <c r="O57" s="72">
        <f t="shared" si="52"/>
        <v>119463.30943552512</v>
      </c>
      <c r="P57" s="72">
        <f t="shared" si="52"/>
        <v>140130.46196787097</v>
      </c>
      <c r="Q57" s="72">
        <f t="shared" si="52"/>
        <v>136718.58985039237</v>
      </c>
      <c r="R57" s="72">
        <f t="shared" si="52"/>
        <v>133114.19066342749</v>
      </c>
      <c r="S57" s="72">
        <f t="shared" si="52"/>
        <v>142242.02088034822</v>
      </c>
      <c r="T57" s="72">
        <f t="shared" si="52"/>
        <v>152341.20436285294</v>
      </c>
      <c r="U57" s="72">
        <f t="shared" si="52"/>
        <v>155388.02845011</v>
      </c>
      <c r="V57" s="72">
        <f t="shared" si="52"/>
        <v>158495.78901911221</v>
      </c>
      <c r="W57" s="72">
        <f t="shared" si="52"/>
        <v>154317.26367224471</v>
      </c>
      <c r="X57" s="72">
        <f t="shared" si="52"/>
        <v>164899.01889548433</v>
      </c>
      <c r="Y57" s="72">
        <f t="shared" si="52"/>
        <v>175842.31742218466</v>
      </c>
      <c r="Z57" s="72">
        <f t="shared" si="52"/>
        <v>163762.71474709545</v>
      </c>
      <c r="AA57" s="72">
        <f t="shared" si="52"/>
        <v>159083.78004003561</v>
      </c>
      <c r="AB57" s="72">
        <f t="shared" si="52"/>
        <v>186605.27398696175</v>
      </c>
      <c r="AC57" s="72">
        <f t="shared" si="52"/>
        <v>173786.30299133572</v>
      </c>
      <c r="AD57" s="72">
        <f t="shared" si="52"/>
        <v>185703.0780535987</v>
      </c>
      <c r="AE57" s="72">
        <f t="shared" si="52"/>
        <v>189417.13961467071</v>
      </c>
      <c r="AF57" s="72">
        <f t="shared" si="52"/>
        <v>193644.58577607083</v>
      </c>
      <c r="AG57" s="72">
        <f t="shared" si="52"/>
        <v>216328.66582412482</v>
      </c>
      <c r="AH57" s="72">
        <f t="shared" si="52"/>
        <v>211061.53309101574</v>
      </c>
      <c r="AI57" s="72">
        <f t="shared" si="52"/>
        <v>205497.18358225259</v>
      </c>
      <c r="AJ57" s="72">
        <f t="shared" si="52"/>
        <v>219588.41902789273</v>
      </c>
      <c r="AK57" s="72">
        <f t="shared" si="52"/>
        <v>223980.18740845064</v>
      </c>
      <c r="AL57" s="72">
        <f t="shared" si="52"/>
        <v>228459.79115661964</v>
      </c>
      <c r="AM57" s="72">
        <f t="shared" si="52"/>
        <v>211844.53361795639</v>
      </c>
      <c r="AN57" s="72">
        <f t="shared" si="52"/>
        <v>248493.63793386283</v>
      </c>
    </row>
    <row r="58" spans="1:40" x14ac:dyDescent="0.25">
      <c r="A58" s="75" t="s">
        <v>14</v>
      </c>
      <c r="E58" s="72">
        <f>E$12*E30*E6</f>
        <v>0</v>
      </c>
      <c r="F58" s="72">
        <f t="shared" ref="F58:AN58" si="53">F$12*F30*F6</f>
        <v>0</v>
      </c>
      <c r="G58" s="72">
        <f t="shared" si="53"/>
        <v>0</v>
      </c>
      <c r="H58" s="72">
        <f t="shared" si="53"/>
        <v>598000</v>
      </c>
      <c r="I58" s="72">
        <f t="shared" si="53"/>
        <v>556920</v>
      </c>
      <c r="J58" s="72">
        <f t="shared" si="53"/>
        <v>595108.80000000005</v>
      </c>
      <c r="K58" s="72">
        <f t="shared" si="53"/>
        <v>607010.97600000002</v>
      </c>
      <c r="L58" s="72">
        <f t="shared" si="53"/>
        <v>591007.95935999998</v>
      </c>
      <c r="M58" s="72">
        <f t="shared" si="53"/>
        <v>660240.32031360001</v>
      </c>
      <c r="N58" s="72">
        <f t="shared" si="53"/>
        <v>614884.68091814395</v>
      </c>
      <c r="O58" s="72">
        <f t="shared" si="53"/>
        <v>597316.54717762559</v>
      </c>
      <c r="P58" s="72">
        <f t="shared" si="53"/>
        <v>700652.30983935483</v>
      </c>
      <c r="Q58" s="72">
        <f t="shared" si="53"/>
        <v>683592.94925196189</v>
      </c>
      <c r="R58" s="72">
        <f t="shared" si="53"/>
        <v>665570.95331713744</v>
      </c>
      <c r="S58" s="72">
        <f t="shared" si="53"/>
        <v>711210.10440174106</v>
      </c>
      <c r="T58" s="72">
        <f t="shared" si="53"/>
        <v>761706.02181426471</v>
      </c>
      <c r="U58" s="72">
        <f t="shared" si="53"/>
        <v>776940.14225054998</v>
      </c>
      <c r="V58" s="72">
        <f t="shared" si="53"/>
        <v>792478.9450955611</v>
      </c>
      <c r="W58" s="72">
        <f t="shared" si="53"/>
        <v>771586.31836122356</v>
      </c>
      <c r="X58" s="72">
        <f t="shared" si="53"/>
        <v>824495.0944774216</v>
      </c>
      <c r="Y58" s="72">
        <f t="shared" si="53"/>
        <v>879211.58711092314</v>
      </c>
      <c r="Z58" s="72">
        <f t="shared" si="53"/>
        <v>818813.57373547717</v>
      </c>
      <c r="AA58" s="72">
        <f t="shared" si="53"/>
        <v>795418.90020017803</v>
      </c>
      <c r="AB58" s="72">
        <f t="shared" si="53"/>
        <v>933026.3699348087</v>
      </c>
      <c r="AC58" s="72">
        <f t="shared" si="53"/>
        <v>868931.51495667838</v>
      </c>
      <c r="AD58" s="72">
        <f t="shared" si="53"/>
        <v>928515.39026799356</v>
      </c>
      <c r="AE58" s="72">
        <f t="shared" si="53"/>
        <v>947085.69807335339</v>
      </c>
      <c r="AF58" s="72">
        <f t="shared" si="53"/>
        <v>968222.92888035416</v>
      </c>
      <c r="AG58" s="72">
        <f t="shared" si="53"/>
        <v>1081643.3291206243</v>
      </c>
      <c r="AH58" s="72">
        <f t="shared" si="53"/>
        <v>1055307.6654550787</v>
      </c>
      <c r="AI58" s="72">
        <f t="shared" si="53"/>
        <v>1027485.9179112628</v>
      </c>
      <c r="AJ58" s="72">
        <f t="shared" si="53"/>
        <v>1097942.0951394639</v>
      </c>
      <c r="AK58" s="72">
        <f t="shared" si="53"/>
        <v>1119900.9370422531</v>
      </c>
      <c r="AL58" s="72">
        <f t="shared" si="53"/>
        <v>1142298.9557830982</v>
      </c>
      <c r="AM58" s="72">
        <f t="shared" si="53"/>
        <v>1059222.6680897819</v>
      </c>
      <c r="AN58" s="72">
        <f t="shared" si="53"/>
        <v>1242468.1896693141</v>
      </c>
    </row>
    <row r="59" spans="1:40" x14ac:dyDescent="0.25">
      <c r="A59" s="90" t="s">
        <v>39</v>
      </c>
      <c r="B59" s="88"/>
      <c r="C59" s="88"/>
      <c r="D59" s="88"/>
      <c r="E59" s="89">
        <f>SUM(E56:E58)</f>
        <v>0</v>
      </c>
      <c r="F59" s="89">
        <f t="shared" ref="F59:AN59" si="54">SUM(F56:F58)</f>
        <v>0</v>
      </c>
      <c r="G59" s="89">
        <f t="shared" si="54"/>
        <v>0</v>
      </c>
      <c r="H59" s="89">
        <f t="shared" si="54"/>
        <v>956800</v>
      </c>
      <c r="I59" s="89">
        <f t="shared" si="54"/>
        <v>891072</v>
      </c>
      <c r="J59" s="89">
        <f t="shared" si="54"/>
        <v>952174.08000000007</v>
      </c>
      <c r="K59" s="89">
        <f t="shared" si="54"/>
        <v>971217.56160000002</v>
      </c>
      <c r="L59" s="89">
        <f t="shared" si="54"/>
        <v>945612.73497599992</v>
      </c>
      <c r="M59" s="89">
        <f t="shared" si="54"/>
        <v>1056384.5125017599</v>
      </c>
      <c r="N59" s="89">
        <f t="shared" si="54"/>
        <v>983815.48946903041</v>
      </c>
      <c r="O59" s="89">
        <f t="shared" si="54"/>
        <v>955706.47548420099</v>
      </c>
      <c r="P59" s="89">
        <f t="shared" si="54"/>
        <v>1121043.6957429678</v>
      </c>
      <c r="Q59" s="89">
        <f t="shared" si="54"/>
        <v>1093748.7188031389</v>
      </c>
      <c r="R59" s="89">
        <f t="shared" si="54"/>
        <v>1064913.5253074199</v>
      </c>
      <c r="S59" s="89">
        <f t="shared" si="54"/>
        <v>1137936.1670427858</v>
      </c>
      <c r="T59" s="89">
        <f t="shared" si="54"/>
        <v>1218729.6349028235</v>
      </c>
      <c r="U59" s="89">
        <f t="shared" si="54"/>
        <v>1243104.22760088</v>
      </c>
      <c r="V59" s="89">
        <f t="shared" si="54"/>
        <v>1267966.3121528977</v>
      </c>
      <c r="W59" s="89">
        <f t="shared" si="54"/>
        <v>1234538.1093779576</v>
      </c>
      <c r="X59" s="89">
        <f t="shared" si="54"/>
        <v>1319192.1511638747</v>
      </c>
      <c r="Y59" s="89">
        <f t="shared" si="54"/>
        <v>1406738.539377477</v>
      </c>
      <c r="Z59" s="89">
        <f t="shared" si="54"/>
        <v>1310101.7179767634</v>
      </c>
      <c r="AA59" s="89">
        <f t="shared" si="54"/>
        <v>1272670.2403202849</v>
      </c>
      <c r="AB59" s="89">
        <f t="shared" si="54"/>
        <v>1492842.191895694</v>
      </c>
      <c r="AC59" s="89">
        <f t="shared" si="54"/>
        <v>1390290.4239306855</v>
      </c>
      <c r="AD59" s="89">
        <f t="shared" si="54"/>
        <v>1485624.6244287896</v>
      </c>
      <c r="AE59" s="89">
        <f t="shared" si="54"/>
        <v>1515337.1169173655</v>
      </c>
      <c r="AF59" s="89">
        <f t="shared" si="54"/>
        <v>1549156.6862085667</v>
      </c>
      <c r="AG59" s="89">
        <f t="shared" si="54"/>
        <v>1730629.3265929988</v>
      </c>
      <c r="AH59" s="89">
        <f t="shared" si="54"/>
        <v>1688492.2647281259</v>
      </c>
      <c r="AI59" s="89">
        <f t="shared" si="54"/>
        <v>1643977.4686580207</v>
      </c>
      <c r="AJ59" s="89">
        <f t="shared" si="54"/>
        <v>1756707.3522231421</v>
      </c>
      <c r="AK59" s="89">
        <f t="shared" si="54"/>
        <v>1791841.4992676051</v>
      </c>
      <c r="AL59" s="89">
        <f t="shared" si="54"/>
        <v>1827678.3292529571</v>
      </c>
      <c r="AM59" s="89">
        <f t="shared" si="54"/>
        <v>1694756.2689436511</v>
      </c>
      <c r="AN59" s="89">
        <f t="shared" si="54"/>
        <v>1987949.1034709024</v>
      </c>
    </row>
    <row r="61" spans="1:40" x14ac:dyDescent="0.25">
      <c r="A61" s="85" t="s">
        <v>8</v>
      </c>
    </row>
    <row r="62" spans="1:40" x14ac:dyDescent="0.25">
      <c r="A62" s="74" t="s">
        <v>9</v>
      </c>
    </row>
    <row r="63" spans="1:40" x14ac:dyDescent="0.25">
      <c r="A63" s="75" t="s">
        <v>12</v>
      </c>
      <c r="E63" s="72">
        <f>E35*E$15*E7</f>
        <v>0</v>
      </c>
      <c r="F63" s="72">
        <f t="shared" ref="F63:AN63" si="55">F35*F$15*F7</f>
        <v>0</v>
      </c>
      <c r="G63" s="72">
        <f t="shared" si="55"/>
        <v>0</v>
      </c>
      <c r="H63" s="72">
        <f t="shared" si="55"/>
        <v>104000</v>
      </c>
      <c r="I63" s="72">
        <f t="shared" si="55"/>
        <v>135200</v>
      </c>
      <c r="J63" s="72">
        <f t="shared" si="55"/>
        <v>112486.40000000001</v>
      </c>
      <c r="K63" s="72">
        <f t="shared" si="55"/>
        <v>131609.08800000002</v>
      </c>
      <c r="L63" s="72">
        <f t="shared" si="55"/>
        <v>136873.45152000003</v>
      </c>
      <c r="M63" s="72">
        <f t="shared" si="55"/>
        <v>126531.90184960002</v>
      </c>
      <c r="N63" s="72">
        <f t="shared" si="55"/>
        <v>164491.47240448004</v>
      </c>
      <c r="O63" s="72">
        <f t="shared" si="55"/>
        <v>136856.90504052737</v>
      </c>
      <c r="P63" s="72">
        <f t="shared" si="55"/>
        <v>142331.18124214848</v>
      </c>
      <c r="Q63" s="72">
        <f t="shared" si="55"/>
        <v>148024.42849183443</v>
      </c>
      <c r="R63" s="72">
        <f t="shared" si="55"/>
        <v>192431.7570393848</v>
      </c>
      <c r="S63" s="72">
        <f t="shared" si="55"/>
        <v>160103.22185676816</v>
      </c>
      <c r="T63" s="72">
        <f t="shared" si="55"/>
        <v>196686.80805103967</v>
      </c>
      <c r="U63" s="72">
        <f t="shared" si="55"/>
        <v>204554.28037308127</v>
      </c>
      <c r="V63" s="72">
        <f t="shared" si="55"/>
        <v>189099.06807822626</v>
      </c>
      <c r="W63" s="72">
        <f t="shared" si="55"/>
        <v>245828.78850169416</v>
      </c>
      <c r="X63" s="72">
        <f t="shared" si="55"/>
        <v>204529.55203340956</v>
      </c>
      <c r="Y63" s="72">
        <f t="shared" si="55"/>
        <v>212710.73411474595</v>
      </c>
      <c r="Z63" s="72">
        <f t="shared" si="55"/>
        <v>276523.95434916974</v>
      </c>
      <c r="AA63" s="72">
        <f t="shared" si="55"/>
        <v>230067.93001850921</v>
      </c>
      <c r="AB63" s="72">
        <f t="shared" si="55"/>
        <v>239270.6472192496</v>
      </c>
      <c r="AC63" s="72">
        <f t="shared" si="55"/>
        <v>279946.65724652202</v>
      </c>
      <c r="AD63" s="72">
        <f t="shared" si="55"/>
        <v>291144.52353638288</v>
      </c>
      <c r="AE63" s="72">
        <f t="shared" si="55"/>
        <v>269146.93731363403</v>
      </c>
      <c r="AF63" s="72">
        <f t="shared" si="55"/>
        <v>367385.56943311053</v>
      </c>
      <c r="AG63" s="72">
        <f t="shared" si="55"/>
        <v>305664.79376834794</v>
      </c>
      <c r="AH63" s="72">
        <f t="shared" si="55"/>
        <v>317891.38551908184</v>
      </c>
      <c r="AI63" s="72">
        <f t="shared" si="55"/>
        <v>413258.80117480643</v>
      </c>
      <c r="AJ63" s="72">
        <f t="shared" si="55"/>
        <v>343831.32257743896</v>
      </c>
      <c r="AK63" s="72">
        <f t="shared" si="55"/>
        <v>396900</v>
      </c>
      <c r="AL63" s="72">
        <f t="shared" si="55"/>
        <v>396900</v>
      </c>
      <c r="AM63" s="72">
        <f t="shared" si="55"/>
        <v>352800</v>
      </c>
      <c r="AN63" s="72">
        <f t="shared" si="55"/>
        <v>352800</v>
      </c>
    </row>
    <row r="64" spans="1:40" x14ac:dyDescent="0.25">
      <c r="A64" s="75" t="s">
        <v>13</v>
      </c>
      <c r="E64" s="72">
        <f>E36*E$15*E7</f>
        <v>0</v>
      </c>
      <c r="F64" s="72">
        <f t="shared" ref="F64:AN64" si="56">F36*F$15*F7</f>
        <v>0</v>
      </c>
      <c r="G64" s="72">
        <f t="shared" si="56"/>
        <v>0</v>
      </c>
      <c r="H64" s="72">
        <f t="shared" si="56"/>
        <v>41600</v>
      </c>
      <c r="I64" s="72">
        <f t="shared" si="56"/>
        <v>54080</v>
      </c>
      <c r="J64" s="72">
        <f t="shared" si="56"/>
        <v>44994.559999999998</v>
      </c>
      <c r="K64" s="72">
        <f t="shared" si="56"/>
        <v>52643.635200000012</v>
      </c>
      <c r="L64" s="72">
        <f t="shared" si="56"/>
        <v>54749.380608000007</v>
      </c>
      <c r="M64" s="72">
        <f t="shared" si="56"/>
        <v>50612.760739840007</v>
      </c>
      <c r="N64" s="72">
        <f t="shared" si="56"/>
        <v>65796.588961792018</v>
      </c>
      <c r="O64" s="72">
        <f t="shared" si="56"/>
        <v>54742.762016210952</v>
      </c>
      <c r="P64" s="72">
        <f t="shared" si="56"/>
        <v>56932.472496859395</v>
      </c>
      <c r="Q64" s="72">
        <f t="shared" si="56"/>
        <v>59209.771396733777</v>
      </c>
      <c r="R64" s="72">
        <f t="shared" si="56"/>
        <v>76972.702815753917</v>
      </c>
      <c r="S64" s="72">
        <f t="shared" si="56"/>
        <v>64041.288742707264</v>
      </c>
      <c r="T64" s="72">
        <f t="shared" si="56"/>
        <v>74928.307828967503</v>
      </c>
      <c r="U64" s="72">
        <f t="shared" si="56"/>
        <v>77925.440142126201</v>
      </c>
      <c r="V64" s="72">
        <f t="shared" si="56"/>
        <v>72037.740220276668</v>
      </c>
      <c r="W64" s="72">
        <f t="shared" si="56"/>
        <v>93649.06228635968</v>
      </c>
      <c r="X64" s="72">
        <f t="shared" si="56"/>
        <v>77916.019822251255</v>
      </c>
      <c r="Y64" s="72">
        <f t="shared" si="56"/>
        <v>81032.660615141314</v>
      </c>
      <c r="Z64" s="72">
        <f t="shared" si="56"/>
        <v>105342.45879968372</v>
      </c>
      <c r="AA64" s="72">
        <f t="shared" si="56"/>
        <v>87644.92572133684</v>
      </c>
      <c r="AB64" s="72">
        <f t="shared" si="56"/>
        <v>91150.722750190325</v>
      </c>
      <c r="AC64" s="72">
        <f t="shared" si="56"/>
        <v>106646.34561772268</v>
      </c>
      <c r="AD64" s="72">
        <f t="shared" si="56"/>
        <v>110912.19944243158</v>
      </c>
      <c r="AE64" s="72">
        <f t="shared" si="56"/>
        <v>102532.1665956701</v>
      </c>
      <c r="AF64" s="72">
        <f t="shared" si="56"/>
        <v>139956.40740308972</v>
      </c>
      <c r="AG64" s="72">
        <f t="shared" si="56"/>
        <v>116443.73095937064</v>
      </c>
      <c r="AH64" s="72">
        <f t="shared" si="56"/>
        <v>121101.48019774546</v>
      </c>
      <c r="AI64" s="72">
        <f t="shared" si="56"/>
        <v>157431.92425706913</v>
      </c>
      <c r="AJ64" s="72">
        <f t="shared" si="56"/>
        <v>130983.3609818815</v>
      </c>
      <c r="AK64" s="72">
        <f t="shared" si="56"/>
        <v>151200</v>
      </c>
      <c r="AL64" s="72">
        <f t="shared" si="56"/>
        <v>151200</v>
      </c>
      <c r="AM64" s="72">
        <f t="shared" si="56"/>
        <v>134400</v>
      </c>
      <c r="AN64" s="72">
        <f t="shared" si="56"/>
        <v>134400</v>
      </c>
    </row>
    <row r="65" spans="1:40" x14ac:dyDescent="0.25">
      <c r="A65" s="75" t="s">
        <v>14</v>
      </c>
      <c r="E65" s="72">
        <f>E37*E$15*E7</f>
        <v>0</v>
      </c>
      <c r="F65" s="72">
        <f t="shared" ref="F65:AN65" si="57">F37*F$15*F7</f>
        <v>0</v>
      </c>
      <c r="G65" s="72">
        <f t="shared" si="57"/>
        <v>0</v>
      </c>
      <c r="H65" s="72">
        <f t="shared" si="57"/>
        <v>208000</v>
      </c>
      <c r="I65" s="72">
        <f t="shared" si="57"/>
        <v>270400</v>
      </c>
      <c r="J65" s="72">
        <f t="shared" si="57"/>
        <v>224972.80000000002</v>
      </c>
      <c r="K65" s="72">
        <f t="shared" si="57"/>
        <v>263218.17600000004</v>
      </c>
      <c r="L65" s="72">
        <f t="shared" si="57"/>
        <v>273746.90304000006</v>
      </c>
      <c r="M65" s="72">
        <f t="shared" si="57"/>
        <v>253063.80369920004</v>
      </c>
      <c r="N65" s="72">
        <f t="shared" si="57"/>
        <v>328982.94480896008</v>
      </c>
      <c r="O65" s="72">
        <f t="shared" si="57"/>
        <v>273713.81008105475</v>
      </c>
      <c r="P65" s="72">
        <f t="shared" si="57"/>
        <v>284662.36248429696</v>
      </c>
      <c r="Q65" s="72">
        <f t="shared" si="57"/>
        <v>296048.85698366887</v>
      </c>
      <c r="R65" s="72">
        <f t="shared" si="57"/>
        <v>384863.5140787696</v>
      </c>
      <c r="S65" s="72">
        <f t="shared" si="57"/>
        <v>320206.44371353631</v>
      </c>
      <c r="T65" s="72">
        <f t="shared" si="57"/>
        <v>374641.53914483753</v>
      </c>
      <c r="U65" s="72">
        <f t="shared" si="57"/>
        <v>389627.20071063098</v>
      </c>
      <c r="V65" s="72">
        <f t="shared" si="57"/>
        <v>360188.70110138337</v>
      </c>
      <c r="W65" s="72">
        <f t="shared" si="57"/>
        <v>468245.31143179839</v>
      </c>
      <c r="X65" s="72">
        <f t="shared" si="57"/>
        <v>389580.09911125631</v>
      </c>
      <c r="Y65" s="72">
        <f t="shared" si="57"/>
        <v>405163.30307570653</v>
      </c>
      <c r="Z65" s="72">
        <f t="shared" si="57"/>
        <v>526712.29399841849</v>
      </c>
      <c r="AA65" s="72">
        <f t="shared" si="57"/>
        <v>438224.62860668421</v>
      </c>
      <c r="AB65" s="72">
        <f t="shared" si="57"/>
        <v>455753.6137509516</v>
      </c>
      <c r="AC65" s="72">
        <f t="shared" si="57"/>
        <v>533231.72808861337</v>
      </c>
      <c r="AD65" s="72">
        <f t="shared" si="57"/>
        <v>554560.99721215793</v>
      </c>
      <c r="AE65" s="72">
        <f t="shared" si="57"/>
        <v>512660.83297835052</v>
      </c>
      <c r="AF65" s="72">
        <f t="shared" si="57"/>
        <v>699782.03701544856</v>
      </c>
      <c r="AG65" s="72">
        <f t="shared" si="57"/>
        <v>582218.6547968532</v>
      </c>
      <c r="AH65" s="72">
        <f t="shared" si="57"/>
        <v>605507.40098872734</v>
      </c>
      <c r="AI65" s="72">
        <f t="shared" si="57"/>
        <v>787159.62128534564</v>
      </c>
      <c r="AJ65" s="72">
        <f t="shared" si="57"/>
        <v>654916.80490940751</v>
      </c>
      <c r="AK65" s="72">
        <f t="shared" si="57"/>
        <v>756000</v>
      </c>
      <c r="AL65" s="72">
        <f t="shared" si="57"/>
        <v>756000</v>
      </c>
      <c r="AM65" s="72">
        <f t="shared" si="57"/>
        <v>672000</v>
      </c>
      <c r="AN65" s="72">
        <f t="shared" si="57"/>
        <v>672000</v>
      </c>
    </row>
    <row r="66" spans="1:40" x14ac:dyDescent="0.25">
      <c r="A66" s="87" t="s">
        <v>39</v>
      </c>
      <c r="B66" s="88"/>
      <c r="C66" s="88"/>
      <c r="D66" s="88"/>
      <c r="E66" s="89">
        <f>SUM(E63:E65)</f>
        <v>0</v>
      </c>
      <c r="F66" s="89">
        <f t="shared" ref="F66:AN66" si="58">SUM(F63:F65)</f>
        <v>0</v>
      </c>
      <c r="G66" s="89">
        <f t="shared" si="58"/>
        <v>0</v>
      </c>
      <c r="H66" s="89">
        <f t="shared" si="58"/>
        <v>353600</v>
      </c>
      <c r="I66" s="89">
        <f t="shared" si="58"/>
        <v>459680</v>
      </c>
      <c r="J66" s="89">
        <f t="shared" si="58"/>
        <v>382453.76000000001</v>
      </c>
      <c r="K66" s="89">
        <f t="shared" si="58"/>
        <v>447470.8992000001</v>
      </c>
      <c r="L66" s="89">
        <f t="shared" si="58"/>
        <v>465369.7351680001</v>
      </c>
      <c r="M66" s="89">
        <f t="shared" si="58"/>
        <v>430208.46628864005</v>
      </c>
      <c r="N66" s="89">
        <f t="shared" si="58"/>
        <v>559271.00617523212</v>
      </c>
      <c r="O66" s="89">
        <f t="shared" si="58"/>
        <v>465313.47713779309</v>
      </c>
      <c r="P66" s="89">
        <f t="shared" si="58"/>
        <v>483926.01622330485</v>
      </c>
      <c r="Q66" s="89">
        <f t="shared" si="58"/>
        <v>503283.05687223707</v>
      </c>
      <c r="R66" s="89">
        <f t="shared" si="58"/>
        <v>654267.97393390839</v>
      </c>
      <c r="S66" s="89">
        <f t="shared" si="58"/>
        <v>544350.95431301172</v>
      </c>
      <c r="T66" s="89">
        <f t="shared" si="58"/>
        <v>646256.65502484469</v>
      </c>
      <c r="U66" s="89">
        <f t="shared" si="58"/>
        <v>672106.92122583848</v>
      </c>
      <c r="V66" s="89">
        <f t="shared" si="58"/>
        <v>621325.50939988624</v>
      </c>
      <c r="W66" s="89">
        <f t="shared" si="58"/>
        <v>807723.16221985221</v>
      </c>
      <c r="X66" s="89">
        <f t="shared" si="58"/>
        <v>672025.67096691718</v>
      </c>
      <c r="Y66" s="89">
        <f t="shared" si="58"/>
        <v>698906.69780559372</v>
      </c>
      <c r="Z66" s="89">
        <f t="shared" si="58"/>
        <v>908578.70714727195</v>
      </c>
      <c r="AA66" s="89">
        <f t="shared" si="58"/>
        <v>755937.48434653028</v>
      </c>
      <c r="AB66" s="89">
        <f t="shared" si="58"/>
        <v>786174.98372039152</v>
      </c>
      <c r="AC66" s="89">
        <f t="shared" si="58"/>
        <v>919824.73095285799</v>
      </c>
      <c r="AD66" s="89">
        <f t="shared" si="58"/>
        <v>956617.72019097232</v>
      </c>
      <c r="AE66" s="89">
        <f t="shared" si="58"/>
        <v>884339.93688765471</v>
      </c>
      <c r="AF66" s="89">
        <f t="shared" si="58"/>
        <v>1207124.0138516487</v>
      </c>
      <c r="AG66" s="89">
        <f t="shared" si="58"/>
        <v>1004327.1795245718</v>
      </c>
      <c r="AH66" s="89">
        <f t="shared" si="58"/>
        <v>1044500.2667055547</v>
      </c>
      <c r="AI66" s="89">
        <f t="shared" si="58"/>
        <v>1357850.3467172212</v>
      </c>
      <c r="AJ66" s="89">
        <f t="shared" si="58"/>
        <v>1129731.488468728</v>
      </c>
      <c r="AK66" s="89">
        <f t="shared" si="58"/>
        <v>1304100</v>
      </c>
      <c r="AL66" s="89">
        <f t="shared" si="58"/>
        <v>1304100</v>
      </c>
      <c r="AM66" s="89">
        <f t="shared" si="58"/>
        <v>1159200</v>
      </c>
      <c r="AN66" s="89">
        <f t="shared" si="58"/>
        <v>1159200</v>
      </c>
    </row>
    <row r="67" spans="1:40" x14ac:dyDescent="0.25">
      <c r="A67" s="76"/>
    </row>
    <row r="68" spans="1:40" x14ac:dyDescent="0.25">
      <c r="A68" s="74" t="s">
        <v>10</v>
      </c>
    </row>
    <row r="69" spans="1:40" x14ac:dyDescent="0.25">
      <c r="A69" s="75" t="s">
        <v>12</v>
      </c>
      <c r="E69" s="72">
        <f>E$16*E41*E7</f>
        <v>0</v>
      </c>
      <c r="F69" s="72">
        <f t="shared" ref="F69:AN69" si="59">F$16*F41*F7</f>
        <v>0</v>
      </c>
      <c r="G69" s="72">
        <f t="shared" si="59"/>
        <v>0</v>
      </c>
      <c r="H69" s="72">
        <f t="shared" si="59"/>
        <v>156000</v>
      </c>
      <c r="I69" s="72">
        <f t="shared" si="59"/>
        <v>202800.00000000003</v>
      </c>
      <c r="J69" s="72">
        <f t="shared" si="59"/>
        <v>168729.60000000003</v>
      </c>
      <c r="K69" s="72">
        <f t="shared" si="59"/>
        <v>197413.63200000007</v>
      </c>
      <c r="L69" s="72">
        <f t="shared" si="59"/>
        <v>205310.17728000006</v>
      </c>
      <c r="M69" s="72">
        <f t="shared" si="59"/>
        <v>189797.85277440006</v>
      </c>
      <c r="N69" s="72">
        <f t="shared" si="59"/>
        <v>246737.20860672006</v>
      </c>
      <c r="O69" s="72">
        <f t="shared" si="59"/>
        <v>205285.35756079108</v>
      </c>
      <c r="P69" s="72">
        <f t="shared" si="59"/>
        <v>213496.77186322273</v>
      </c>
      <c r="Q69" s="72">
        <f t="shared" si="59"/>
        <v>222036.64273775165</v>
      </c>
      <c r="R69" s="72">
        <f t="shared" si="59"/>
        <v>288647.63555907714</v>
      </c>
      <c r="S69" s="72">
        <f t="shared" si="59"/>
        <v>240154.83278515222</v>
      </c>
      <c r="T69" s="72">
        <f t="shared" si="59"/>
        <v>295030.21207655949</v>
      </c>
      <c r="U69" s="72">
        <f t="shared" si="59"/>
        <v>306831.42055962194</v>
      </c>
      <c r="V69" s="72">
        <f t="shared" si="59"/>
        <v>283648.60211733932</v>
      </c>
      <c r="W69" s="72">
        <f t="shared" si="59"/>
        <v>368743.18275254115</v>
      </c>
      <c r="X69" s="72">
        <f t="shared" si="59"/>
        <v>306794.32805011427</v>
      </c>
      <c r="Y69" s="72">
        <f t="shared" si="59"/>
        <v>319066.10117211886</v>
      </c>
      <c r="Z69" s="72">
        <f t="shared" si="59"/>
        <v>414785.93152375455</v>
      </c>
      <c r="AA69" s="72">
        <f t="shared" si="59"/>
        <v>345101.89502776379</v>
      </c>
      <c r="AB69" s="72">
        <f t="shared" si="59"/>
        <v>358905.97082887433</v>
      </c>
      <c r="AC69" s="72">
        <f t="shared" si="59"/>
        <v>419919.98586978304</v>
      </c>
      <c r="AD69" s="72">
        <f t="shared" si="59"/>
        <v>436716.78530457435</v>
      </c>
      <c r="AE69" s="72">
        <f t="shared" si="59"/>
        <v>403720.40597045101</v>
      </c>
      <c r="AF69" s="72">
        <f t="shared" si="59"/>
        <v>551078.35414966568</v>
      </c>
      <c r="AG69" s="72">
        <f t="shared" si="59"/>
        <v>458497.19065252185</v>
      </c>
      <c r="AH69" s="72">
        <f t="shared" si="59"/>
        <v>476837.07827862271</v>
      </c>
      <c r="AI69" s="72">
        <f t="shared" si="59"/>
        <v>619888.20176220953</v>
      </c>
      <c r="AJ69" s="72">
        <f t="shared" si="59"/>
        <v>515746.98386615835</v>
      </c>
      <c r="AK69" s="72">
        <f t="shared" si="59"/>
        <v>580466.25</v>
      </c>
      <c r="AL69" s="72">
        <f t="shared" si="59"/>
        <v>580466.25</v>
      </c>
      <c r="AM69" s="72">
        <f t="shared" si="59"/>
        <v>515970</v>
      </c>
      <c r="AN69" s="72">
        <f t="shared" si="59"/>
        <v>515970</v>
      </c>
    </row>
    <row r="70" spans="1:40" x14ac:dyDescent="0.25">
      <c r="A70" s="75" t="s">
        <v>13</v>
      </c>
      <c r="E70" s="72">
        <f>E$16*E42*E7</f>
        <v>0</v>
      </c>
      <c r="F70" s="72">
        <f t="shared" ref="F70:AN70" si="60">F$16*F42*F7</f>
        <v>0</v>
      </c>
      <c r="G70" s="72">
        <f t="shared" si="60"/>
        <v>0</v>
      </c>
      <c r="H70" s="72">
        <f t="shared" si="60"/>
        <v>60000</v>
      </c>
      <c r="I70" s="72">
        <f t="shared" si="60"/>
        <v>78000.000000000015</v>
      </c>
      <c r="J70" s="72">
        <f t="shared" si="60"/>
        <v>64896.000000000015</v>
      </c>
      <c r="K70" s="72">
        <f t="shared" si="60"/>
        <v>75928.320000000036</v>
      </c>
      <c r="L70" s="72">
        <f t="shared" si="60"/>
        <v>78965.452800000028</v>
      </c>
      <c r="M70" s="72">
        <f t="shared" si="60"/>
        <v>72999.174144000019</v>
      </c>
      <c r="N70" s="72">
        <f t="shared" si="60"/>
        <v>94898.92638720003</v>
      </c>
      <c r="O70" s="72">
        <f t="shared" si="60"/>
        <v>78955.906754150419</v>
      </c>
      <c r="P70" s="72">
        <f t="shared" si="60"/>
        <v>82114.143024316436</v>
      </c>
      <c r="Q70" s="72">
        <f t="shared" si="60"/>
        <v>85398.708745289099</v>
      </c>
      <c r="R70" s="72">
        <f t="shared" si="60"/>
        <v>111018.32136887584</v>
      </c>
      <c r="S70" s="72">
        <f t="shared" si="60"/>
        <v>92367.243378904706</v>
      </c>
      <c r="T70" s="72">
        <f t="shared" si="60"/>
        <v>113473.15849098442</v>
      </c>
      <c r="U70" s="72">
        <f t="shared" si="60"/>
        <v>118012.0848306238</v>
      </c>
      <c r="V70" s="72">
        <f t="shared" si="60"/>
        <v>109095.61619897667</v>
      </c>
      <c r="W70" s="72">
        <f t="shared" si="60"/>
        <v>141824.30105866969</v>
      </c>
      <c r="X70" s="72">
        <f t="shared" si="60"/>
        <v>117997.81848081318</v>
      </c>
      <c r="Y70" s="72">
        <f t="shared" si="60"/>
        <v>122717.73122004571</v>
      </c>
      <c r="Z70" s="72">
        <f t="shared" si="60"/>
        <v>159533.05058605943</v>
      </c>
      <c r="AA70" s="72">
        <f t="shared" si="60"/>
        <v>132731.49808760145</v>
      </c>
      <c r="AB70" s="72">
        <f t="shared" si="60"/>
        <v>138040.7580111055</v>
      </c>
      <c r="AC70" s="72">
        <f t="shared" si="60"/>
        <v>161507.68687299345</v>
      </c>
      <c r="AD70" s="72">
        <f t="shared" si="60"/>
        <v>167967.99434791319</v>
      </c>
      <c r="AE70" s="72">
        <f t="shared" si="60"/>
        <v>155277.07921940423</v>
      </c>
      <c r="AF70" s="72">
        <f t="shared" si="60"/>
        <v>211953.21313448681</v>
      </c>
      <c r="AG70" s="72">
        <f t="shared" si="60"/>
        <v>176345.07332789301</v>
      </c>
      <c r="AH70" s="72">
        <f t="shared" si="60"/>
        <v>183398.87626100873</v>
      </c>
      <c r="AI70" s="72">
        <f t="shared" si="60"/>
        <v>238418.53913931135</v>
      </c>
      <c r="AJ70" s="72">
        <f t="shared" si="60"/>
        <v>198364.22456390705</v>
      </c>
      <c r="AK70" s="72">
        <f t="shared" si="60"/>
        <v>223256.25</v>
      </c>
      <c r="AL70" s="72">
        <f t="shared" si="60"/>
        <v>223256.25</v>
      </c>
      <c r="AM70" s="72">
        <f t="shared" si="60"/>
        <v>198450</v>
      </c>
      <c r="AN70" s="72">
        <f t="shared" si="60"/>
        <v>198450</v>
      </c>
    </row>
    <row r="71" spans="1:40" x14ac:dyDescent="0.25">
      <c r="A71" s="75" t="s">
        <v>14</v>
      </c>
      <c r="E71" s="72">
        <f>E$16*E43*E7</f>
        <v>0</v>
      </c>
      <c r="F71" s="72">
        <f t="shared" ref="F71:AN71" si="61">F$16*F43*F7</f>
        <v>0</v>
      </c>
      <c r="G71" s="72">
        <f t="shared" si="61"/>
        <v>0</v>
      </c>
      <c r="H71" s="72">
        <f t="shared" si="61"/>
        <v>240000</v>
      </c>
      <c r="I71" s="72">
        <f t="shared" si="61"/>
        <v>312000.00000000006</v>
      </c>
      <c r="J71" s="72">
        <f t="shared" si="61"/>
        <v>259584.00000000006</v>
      </c>
      <c r="K71" s="72">
        <f t="shared" si="61"/>
        <v>303713.28000000014</v>
      </c>
      <c r="L71" s="72">
        <f t="shared" si="61"/>
        <v>315861.81120000011</v>
      </c>
      <c r="M71" s="72">
        <f t="shared" si="61"/>
        <v>291996.69657600007</v>
      </c>
      <c r="N71" s="72">
        <f t="shared" si="61"/>
        <v>379595.70554880012</v>
      </c>
      <c r="O71" s="72">
        <f t="shared" si="61"/>
        <v>315823.62701660168</v>
      </c>
      <c r="P71" s="72">
        <f t="shared" si="61"/>
        <v>328456.57209726574</v>
      </c>
      <c r="Q71" s="72">
        <f t="shared" si="61"/>
        <v>341594.8349811564</v>
      </c>
      <c r="R71" s="72">
        <f t="shared" si="61"/>
        <v>444073.28547550336</v>
      </c>
      <c r="S71" s="72">
        <f t="shared" si="61"/>
        <v>369468.97351561883</v>
      </c>
      <c r="T71" s="72">
        <f t="shared" si="61"/>
        <v>453892.6339639377</v>
      </c>
      <c r="U71" s="72">
        <f t="shared" si="61"/>
        <v>472048.33932249522</v>
      </c>
      <c r="V71" s="72">
        <f t="shared" si="61"/>
        <v>436382.46479590668</v>
      </c>
      <c r="W71" s="72">
        <f t="shared" si="61"/>
        <v>567297.20423467876</v>
      </c>
      <c r="X71" s="72">
        <f t="shared" si="61"/>
        <v>471991.27392325271</v>
      </c>
      <c r="Y71" s="72">
        <f t="shared" si="61"/>
        <v>490870.92488018284</v>
      </c>
      <c r="Z71" s="72">
        <f t="shared" si="61"/>
        <v>638132.20234423771</v>
      </c>
      <c r="AA71" s="72">
        <f t="shared" si="61"/>
        <v>530925.99235040578</v>
      </c>
      <c r="AB71" s="72">
        <f t="shared" si="61"/>
        <v>552163.032044422</v>
      </c>
      <c r="AC71" s="72">
        <f t="shared" si="61"/>
        <v>646030.7474919738</v>
      </c>
      <c r="AD71" s="72">
        <f t="shared" si="61"/>
        <v>671871.97739165276</v>
      </c>
      <c r="AE71" s="72">
        <f t="shared" si="61"/>
        <v>621108.31687761692</v>
      </c>
      <c r="AF71" s="72">
        <f t="shared" si="61"/>
        <v>847812.85253794724</v>
      </c>
      <c r="AG71" s="72">
        <f t="shared" si="61"/>
        <v>705380.29331157205</v>
      </c>
      <c r="AH71" s="72">
        <f t="shared" si="61"/>
        <v>733595.50504403492</v>
      </c>
      <c r="AI71" s="72">
        <f t="shared" si="61"/>
        <v>953674.15655724541</v>
      </c>
      <c r="AJ71" s="72">
        <f t="shared" si="61"/>
        <v>793456.89825562818</v>
      </c>
      <c r="AK71" s="72">
        <f t="shared" si="61"/>
        <v>893025</v>
      </c>
      <c r="AL71" s="72">
        <f t="shared" si="61"/>
        <v>893025</v>
      </c>
      <c r="AM71" s="72">
        <f t="shared" si="61"/>
        <v>793800</v>
      </c>
      <c r="AN71" s="72">
        <f t="shared" si="61"/>
        <v>793800</v>
      </c>
    </row>
    <row r="72" spans="1:40" x14ac:dyDescent="0.25">
      <c r="A72" s="90" t="s">
        <v>39</v>
      </c>
      <c r="B72" s="88"/>
      <c r="C72" s="88"/>
      <c r="D72" s="88"/>
      <c r="E72" s="89">
        <f>SUM(E69:E71)</f>
        <v>0</v>
      </c>
      <c r="F72" s="89">
        <f t="shared" ref="F72:AN72" si="62">SUM(F69:F71)</f>
        <v>0</v>
      </c>
      <c r="G72" s="89">
        <f t="shared" si="62"/>
        <v>0</v>
      </c>
      <c r="H72" s="89">
        <f t="shared" si="62"/>
        <v>456000</v>
      </c>
      <c r="I72" s="89">
        <f t="shared" si="62"/>
        <v>592800.00000000012</v>
      </c>
      <c r="J72" s="89">
        <f t="shared" si="62"/>
        <v>493209.60000000009</v>
      </c>
      <c r="K72" s="89">
        <f t="shared" si="62"/>
        <v>577055.23200000031</v>
      </c>
      <c r="L72" s="89">
        <f t="shared" si="62"/>
        <v>600137.44128000014</v>
      </c>
      <c r="M72" s="89">
        <f t="shared" si="62"/>
        <v>554793.72349440015</v>
      </c>
      <c r="N72" s="89">
        <f t="shared" si="62"/>
        <v>721231.84054272017</v>
      </c>
      <c r="O72" s="89">
        <f t="shared" si="62"/>
        <v>600064.89133154321</v>
      </c>
      <c r="P72" s="89">
        <f t="shared" si="62"/>
        <v>624067.48698480497</v>
      </c>
      <c r="Q72" s="89">
        <f t="shared" si="62"/>
        <v>649030.18646419712</v>
      </c>
      <c r="R72" s="89">
        <f t="shared" si="62"/>
        <v>843739.24240345636</v>
      </c>
      <c r="S72" s="89">
        <f t="shared" si="62"/>
        <v>701991.04967967572</v>
      </c>
      <c r="T72" s="89">
        <f t="shared" si="62"/>
        <v>862396.00453148154</v>
      </c>
      <c r="U72" s="89">
        <f t="shared" si="62"/>
        <v>896891.84471274097</v>
      </c>
      <c r="V72" s="89">
        <f t="shared" si="62"/>
        <v>829126.6831122227</v>
      </c>
      <c r="W72" s="89">
        <f t="shared" si="62"/>
        <v>1077864.6880458896</v>
      </c>
      <c r="X72" s="89">
        <f t="shared" si="62"/>
        <v>896783.4204541801</v>
      </c>
      <c r="Y72" s="89">
        <f t="shared" si="62"/>
        <v>932654.75727234734</v>
      </c>
      <c r="Z72" s="89">
        <f t="shared" si="62"/>
        <v>1212451.1844540518</v>
      </c>
      <c r="AA72" s="89">
        <f t="shared" si="62"/>
        <v>1008759.385465771</v>
      </c>
      <c r="AB72" s="89">
        <f t="shared" si="62"/>
        <v>1049109.7608844019</v>
      </c>
      <c r="AC72" s="89">
        <f t="shared" si="62"/>
        <v>1227458.4202347503</v>
      </c>
      <c r="AD72" s="89">
        <f t="shared" si="62"/>
        <v>1276556.7570441402</v>
      </c>
      <c r="AE72" s="89">
        <f t="shared" si="62"/>
        <v>1180105.8020674721</v>
      </c>
      <c r="AF72" s="89">
        <f t="shared" si="62"/>
        <v>1610844.4198220996</v>
      </c>
      <c r="AG72" s="89">
        <f t="shared" si="62"/>
        <v>1340222.5572919869</v>
      </c>
      <c r="AH72" s="89">
        <f t="shared" si="62"/>
        <v>1393831.4595836664</v>
      </c>
      <c r="AI72" s="89">
        <f t="shared" si="62"/>
        <v>1811980.8974587664</v>
      </c>
      <c r="AJ72" s="89">
        <f t="shared" si="62"/>
        <v>1507568.1066856936</v>
      </c>
      <c r="AK72" s="89">
        <f t="shared" si="62"/>
        <v>1696747.5</v>
      </c>
      <c r="AL72" s="89">
        <f t="shared" si="62"/>
        <v>1696747.5</v>
      </c>
      <c r="AM72" s="89">
        <f t="shared" si="62"/>
        <v>1508220</v>
      </c>
      <c r="AN72" s="89">
        <f t="shared" si="62"/>
        <v>1508220</v>
      </c>
    </row>
    <row r="74" spans="1:40" x14ac:dyDescent="0.25">
      <c r="A74" s="86" t="s">
        <v>149</v>
      </c>
    </row>
    <row r="75" spans="1:40" x14ac:dyDescent="0.25">
      <c r="A75" s="93" t="s">
        <v>12</v>
      </c>
      <c r="E75" s="72">
        <f>SUM(E50,E56,E63,E69)</f>
        <v>0</v>
      </c>
      <c r="F75" s="72">
        <f t="shared" ref="F75:AN77" si="63">SUM(F50,F56,F63,F69)</f>
        <v>0</v>
      </c>
      <c r="G75" s="72">
        <f t="shared" si="63"/>
        <v>0</v>
      </c>
      <c r="H75" s="72">
        <f t="shared" si="63"/>
        <v>637200</v>
      </c>
      <c r="I75" s="72">
        <f t="shared" si="63"/>
        <v>689288</v>
      </c>
      <c r="J75" s="72">
        <f t="shared" si="63"/>
        <v>656592.32000000007</v>
      </c>
      <c r="K75" s="72">
        <f t="shared" si="63"/>
        <v>711906.56640000013</v>
      </c>
      <c r="L75" s="72">
        <f t="shared" si="63"/>
        <v>714973.26470400009</v>
      </c>
      <c r="M75" s="72">
        <f t="shared" si="63"/>
        <v>732789.03359104018</v>
      </c>
      <c r="N75" s="72">
        <f t="shared" si="63"/>
        <v>799079.01820572175</v>
      </c>
      <c r="O75" s="72">
        <f t="shared" si="63"/>
        <v>718911.16159028234</v>
      </c>
      <c r="P75" s="72">
        <f t="shared" si="63"/>
        <v>797777.87161942583</v>
      </c>
      <c r="Q75" s="72">
        <f t="shared" si="63"/>
        <v>801250.46998851583</v>
      </c>
      <c r="R75" s="72">
        <f t="shared" si="63"/>
        <v>900901.07084465632</v>
      </c>
      <c r="S75" s="72">
        <f t="shared" si="63"/>
        <v>848867.50511071098</v>
      </c>
      <c r="T75" s="72">
        <f t="shared" si="63"/>
        <v>972177.74157967372</v>
      </c>
      <c r="U75" s="72">
        <f t="shared" si="63"/>
        <v>1001455.6368138194</v>
      </c>
      <c r="V75" s="72">
        <f t="shared" si="63"/>
        <v>972619.00479430403</v>
      </c>
      <c r="W75" s="72">
        <f t="shared" si="63"/>
        <v>1101264.8797590071</v>
      </c>
      <c r="X75" s="72">
        <f t="shared" si="63"/>
        <v>1031390.0166000514</v>
      </c>
      <c r="Y75" s="72">
        <f t="shared" si="63"/>
        <v>1086356.4517722165</v>
      </c>
      <c r="Z75" s="72">
        <f t="shared" si="63"/>
        <v>1207792.2939214562</v>
      </c>
      <c r="AA75" s="72">
        <f t="shared" si="63"/>
        <v>1076895.5928648468</v>
      </c>
      <c r="AB75" s="72">
        <f t="shared" si="63"/>
        <v>1186700.943699311</v>
      </c>
      <c r="AC75" s="72">
        <f t="shared" si="63"/>
        <v>1247961.9063966717</v>
      </c>
      <c r="AD75" s="72">
        <f t="shared" si="63"/>
        <v>1313540.2473176916</v>
      </c>
      <c r="AE75" s="72">
        <f t="shared" si="63"/>
        <v>1270259.8605303541</v>
      </c>
      <c r="AF75" s="72">
        <f t="shared" si="63"/>
        <v>1529189.1556457689</v>
      </c>
      <c r="AG75" s="72">
        <f t="shared" si="63"/>
        <v>1446429.3150969557</v>
      </c>
      <c r="AH75" s="72">
        <f t="shared" si="63"/>
        <v>1460384.0681616773</v>
      </c>
      <c r="AI75" s="72">
        <f t="shared" si="63"/>
        <v>1681253.5050041205</v>
      </c>
      <c r="AJ75" s="72">
        <f t="shared" si="63"/>
        <v>1552126.3972238745</v>
      </c>
      <c r="AK75" s="72">
        <f t="shared" si="63"/>
        <v>1683765.3025958827</v>
      </c>
      <c r="AL75" s="72">
        <f t="shared" si="63"/>
        <v>1697893.2836478006</v>
      </c>
      <c r="AM75" s="72">
        <f t="shared" si="63"/>
        <v>1536895.067564324</v>
      </c>
      <c r="AN75" s="72">
        <f t="shared" si="63"/>
        <v>1652480.7042529522</v>
      </c>
    </row>
    <row r="76" spans="1:40" x14ac:dyDescent="0.25">
      <c r="A76" s="93" t="s">
        <v>13</v>
      </c>
      <c r="E76" s="72">
        <f t="shared" ref="E76:T77" si="64">SUM(E51,E57,E64,E70)</f>
        <v>0</v>
      </c>
      <c r="F76" s="72">
        <f t="shared" si="64"/>
        <v>0</v>
      </c>
      <c r="G76" s="72">
        <f t="shared" si="64"/>
        <v>0</v>
      </c>
      <c r="H76" s="72">
        <f t="shared" si="64"/>
        <v>313200</v>
      </c>
      <c r="I76" s="72">
        <f t="shared" si="64"/>
        <v>329144</v>
      </c>
      <c r="J76" s="72">
        <f t="shared" si="64"/>
        <v>320467.52</v>
      </c>
      <c r="K76" s="72">
        <f t="shared" si="64"/>
        <v>343360.45440000005</v>
      </c>
      <c r="L76" s="72">
        <f t="shared" si="64"/>
        <v>342840.72672000009</v>
      </c>
      <c r="M76" s="72">
        <f t="shared" si="64"/>
        <v>357235.43284095998</v>
      </c>
      <c r="N76" s="72">
        <f t="shared" si="64"/>
        <v>378270.09475079685</v>
      </c>
      <c r="O76" s="72">
        <f t="shared" si="64"/>
        <v>345056.83161782887</v>
      </c>
      <c r="P76" s="72">
        <f t="shared" si="64"/>
        <v>386969.74054125522</v>
      </c>
      <c r="Q76" s="72">
        <f t="shared" si="64"/>
        <v>386495.2160311786</v>
      </c>
      <c r="R76" s="72">
        <f t="shared" si="64"/>
        <v>423500.74612761691</v>
      </c>
      <c r="S76" s="72">
        <f t="shared" si="64"/>
        <v>408067.49214068963</v>
      </c>
      <c r="T76" s="72">
        <f t="shared" si="64"/>
        <v>457928.21250038408</v>
      </c>
      <c r="U76" s="72">
        <f t="shared" si="63"/>
        <v>470854.80607679079</v>
      </c>
      <c r="V76" s="72">
        <f t="shared" si="63"/>
        <v>461548.98314537492</v>
      </c>
      <c r="W76" s="72">
        <f t="shared" si="63"/>
        <v>508496.21445746231</v>
      </c>
      <c r="X76" s="72">
        <f t="shared" si="63"/>
        <v>487658.25634892134</v>
      </c>
      <c r="Y76" s="72">
        <f t="shared" si="63"/>
        <v>514856.03035135992</v>
      </c>
      <c r="Z76" s="72">
        <f t="shared" si="63"/>
        <v>554609.54316906596</v>
      </c>
      <c r="AA76" s="72">
        <f t="shared" si="63"/>
        <v>501832.34234130901</v>
      </c>
      <c r="AB76" s="72">
        <f t="shared" si="63"/>
        <v>559339.27319976653</v>
      </c>
      <c r="AC76" s="72">
        <f t="shared" si="63"/>
        <v>575622.10701384849</v>
      </c>
      <c r="AD76" s="72">
        <f t="shared" si="63"/>
        <v>607431.79342363472</v>
      </c>
      <c r="AE76" s="72">
        <f t="shared" si="63"/>
        <v>592931.87744103023</v>
      </c>
      <c r="AF76" s="72">
        <f t="shared" si="63"/>
        <v>694511.57998754806</v>
      </c>
      <c r="AG76" s="72">
        <f t="shared" si="63"/>
        <v>675524.1361299461</v>
      </c>
      <c r="AH76" s="72">
        <f t="shared" si="63"/>
        <v>677916.91500439751</v>
      </c>
      <c r="AI76" s="72">
        <f t="shared" si="63"/>
        <v>759422.40358036594</v>
      </c>
      <c r="AJ76" s="72">
        <f t="shared" si="63"/>
        <v>717850.1730566757</v>
      </c>
      <c r="AK76" s="72">
        <f t="shared" si="63"/>
        <v>770728.88926110498</v>
      </c>
      <c r="AL76" s="72">
        <f t="shared" si="63"/>
        <v>778654.34204632707</v>
      </c>
      <c r="AM76" s="72">
        <f t="shared" si="63"/>
        <v>707651.8671702306</v>
      </c>
      <c r="AN76" s="72">
        <f t="shared" si="63"/>
        <v>772492.59019068046</v>
      </c>
    </row>
    <row r="77" spans="1:40" x14ac:dyDescent="0.25">
      <c r="A77" s="93" t="s">
        <v>14</v>
      </c>
      <c r="E77" s="72">
        <f t="shared" si="64"/>
        <v>0</v>
      </c>
      <c r="F77" s="72">
        <f t="shared" si="63"/>
        <v>0</v>
      </c>
      <c r="G77" s="72">
        <f t="shared" si="63"/>
        <v>0</v>
      </c>
      <c r="H77" s="72">
        <f t="shared" si="63"/>
        <v>1506000</v>
      </c>
      <c r="I77" s="72">
        <f t="shared" si="63"/>
        <v>1567720</v>
      </c>
      <c r="J77" s="72">
        <f t="shared" si="63"/>
        <v>1537441.6</v>
      </c>
      <c r="K77" s="72">
        <f t="shared" si="63"/>
        <v>1640873.952</v>
      </c>
      <c r="L77" s="72">
        <f t="shared" si="63"/>
        <v>1635238.1808000002</v>
      </c>
      <c r="M77" s="72">
        <f t="shared" si="63"/>
        <v>1713177.9900608002</v>
      </c>
      <c r="N77" s="72">
        <f t="shared" si="63"/>
        <v>1796451.547366784</v>
      </c>
      <c r="O77" s="72">
        <f t="shared" si="63"/>
        <v>1646328.2513349939</v>
      </c>
      <c r="P77" s="72">
        <f t="shared" si="63"/>
        <v>1852734.5596819599</v>
      </c>
      <c r="Q77" s="72">
        <f t="shared" si="63"/>
        <v>1847077.3714106041</v>
      </c>
      <c r="R77" s="72">
        <f t="shared" si="63"/>
        <v>2006485.4092692086</v>
      </c>
      <c r="S77" s="72">
        <f t="shared" si="63"/>
        <v>1947970.2173245433</v>
      </c>
      <c r="T77" s="72">
        <f t="shared" si="63"/>
        <v>2176167.9040109362</v>
      </c>
      <c r="U77" s="72">
        <f t="shared" si="63"/>
        <v>2236261.9455533302</v>
      </c>
      <c r="V77" s="72">
        <f t="shared" si="63"/>
        <v>2198649.2995278984</v>
      </c>
      <c r="W77" s="72">
        <f t="shared" si="63"/>
        <v>2400656.7712286422</v>
      </c>
      <c r="X77" s="72">
        <f t="shared" si="63"/>
        <v>2320293.4632637934</v>
      </c>
      <c r="Y77" s="72">
        <f t="shared" si="63"/>
        <v>2451562.4205367537</v>
      </c>
      <c r="Z77" s="72">
        <f t="shared" si="63"/>
        <v>2613514.66525927</v>
      </c>
      <c r="AA77" s="72">
        <f t="shared" si="63"/>
        <v>2376430.2136189435</v>
      </c>
      <c r="AB77" s="72">
        <f t="shared" si="63"/>
        <v>2658655.6079877275</v>
      </c>
      <c r="AC77" s="72">
        <f t="shared" si="63"/>
        <v>2716602.848196249</v>
      </c>
      <c r="AD77" s="72">
        <f t="shared" si="63"/>
        <v>2869190.9727702611</v>
      </c>
      <c r="AE77" s="72">
        <f t="shared" si="63"/>
        <v>2809382.3079857468</v>
      </c>
      <c r="AF77" s="72">
        <f t="shared" si="63"/>
        <v>3260604.6868032534</v>
      </c>
      <c r="AG77" s="72">
        <f t="shared" si="63"/>
        <v>3201275.6073218375</v>
      </c>
      <c r="AH77" s="72">
        <f t="shared" si="63"/>
        <v>3206185.6987609789</v>
      </c>
      <c r="AI77" s="72">
        <f t="shared" si="63"/>
        <v>3558693.4787625177</v>
      </c>
      <c r="AJ77" s="72">
        <f t="shared" si="63"/>
        <v>3390886.640719472</v>
      </c>
      <c r="AK77" s="72">
        <f t="shared" si="63"/>
        <v>3630388.196305525</v>
      </c>
      <c r="AL77" s="72">
        <f t="shared" si="63"/>
        <v>3670015.4602316357</v>
      </c>
      <c r="AM77" s="72">
        <f t="shared" si="63"/>
        <v>3339809.3358511529</v>
      </c>
      <c r="AN77" s="72">
        <f t="shared" si="63"/>
        <v>3664012.9509534026</v>
      </c>
    </row>
    <row r="78" spans="1:40" x14ac:dyDescent="0.25">
      <c r="A78" s="94" t="s">
        <v>39</v>
      </c>
      <c r="B78" s="88"/>
      <c r="C78" s="88"/>
      <c r="D78" s="88"/>
      <c r="E78" s="89">
        <f>SUM(E75:E77)</f>
        <v>0</v>
      </c>
      <c r="F78" s="89">
        <f t="shared" ref="F78:AN78" si="65">SUM(F75:F77)</f>
        <v>0</v>
      </c>
      <c r="G78" s="89">
        <f t="shared" si="65"/>
        <v>0</v>
      </c>
      <c r="H78" s="89">
        <f t="shared" si="65"/>
        <v>2456400</v>
      </c>
      <c r="I78" s="89">
        <f t="shared" si="65"/>
        <v>2586152</v>
      </c>
      <c r="J78" s="89">
        <f t="shared" si="65"/>
        <v>2514501.4400000004</v>
      </c>
      <c r="K78" s="89">
        <f t="shared" si="65"/>
        <v>2696140.9728000001</v>
      </c>
      <c r="L78" s="89">
        <f t="shared" si="65"/>
        <v>2693052.1722240001</v>
      </c>
      <c r="M78" s="89">
        <f t="shared" si="65"/>
        <v>2803202.4564928003</v>
      </c>
      <c r="N78" s="89">
        <f t="shared" si="65"/>
        <v>2973800.6603233023</v>
      </c>
      <c r="O78" s="89">
        <f t="shared" si="65"/>
        <v>2710296.2445431054</v>
      </c>
      <c r="P78" s="89">
        <f t="shared" si="65"/>
        <v>3037482.1718426412</v>
      </c>
      <c r="Q78" s="89">
        <f t="shared" si="65"/>
        <v>3034823.0574302985</v>
      </c>
      <c r="R78" s="89">
        <f t="shared" si="65"/>
        <v>3330887.2262414815</v>
      </c>
      <c r="S78" s="89">
        <f t="shared" si="65"/>
        <v>3204905.214575944</v>
      </c>
      <c r="T78" s="89">
        <f t="shared" si="65"/>
        <v>3606273.8580909939</v>
      </c>
      <c r="U78" s="89">
        <f t="shared" si="65"/>
        <v>3708572.3884439403</v>
      </c>
      <c r="V78" s="89">
        <f t="shared" si="65"/>
        <v>3632817.2874675775</v>
      </c>
      <c r="W78" s="89">
        <f t="shared" si="65"/>
        <v>4010417.8654451119</v>
      </c>
      <c r="X78" s="89">
        <f t="shared" si="65"/>
        <v>3839341.7362127663</v>
      </c>
      <c r="Y78" s="89">
        <f t="shared" si="65"/>
        <v>4052774.9026603298</v>
      </c>
      <c r="Z78" s="89">
        <f t="shared" si="65"/>
        <v>4375916.502349792</v>
      </c>
      <c r="AA78" s="89">
        <f t="shared" si="65"/>
        <v>3955158.1488250992</v>
      </c>
      <c r="AB78" s="89">
        <f t="shared" si="65"/>
        <v>4404695.8248868044</v>
      </c>
      <c r="AC78" s="89">
        <f t="shared" si="65"/>
        <v>4540186.8616067693</v>
      </c>
      <c r="AD78" s="89">
        <f t="shared" si="65"/>
        <v>4790163.0135115869</v>
      </c>
      <c r="AE78" s="89">
        <f t="shared" si="65"/>
        <v>4672574.0459571313</v>
      </c>
      <c r="AF78" s="89">
        <f t="shared" si="65"/>
        <v>5484305.4224365707</v>
      </c>
      <c r="AG78" s="89">
        <f t="shared" si="65"/>
        <v>5323229.0585487392</v>
      </c>
      <c r="AH78" s="89">
        <f t="shared" si="65"/>
        <v>5344486.6819270533</v>
      </c>
      <c r="AI78" s="89">
        <f t="shared" si="65"/>
        <v>5999369.3873470044</v>
      </c>
      <c r="AJ78" s="89">
        <f t="shared" si="65"/>
        <v>5660863.2110000215</v>
      </c>
      <c r="AK78" s="89">
        <f t="shared" si="65"/>
        <v>6084882.3881625123</v>
      </c>
      <c r="AL78" s="89">
        <f t="shared" si="65"/>
        <v>6146563.0859257635</v>
      </c>
      <c r="AM78" s="89">
        <f t="shared" si="65"/>
        <v>5584356.2705857074</v>
      </c>
      <c r="AN78" s="89">
        <f t="shared" si="65"/>
        <v>6088986.245397035</v>
      </c>
    </row>
    <row r="80" spans="1:40" s="96" customFormat="1" x14ac:dyDescent="0.25">
      <c r="A80" s="97" t="s">
        <v>150</v>
      </c>
      <c r="B80" s="95"/>
      <c r="C80" s="95"/>
      <c r="D80" s="9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>
      <selection activeCell="K40" sqref="K40"/>
    </sheetView>
  </sheetViews>
  <sheetFormatPr defaultRowHeight="15" x14ac:dyDescent="0.25"/>
  <cols>
    <col min="1" max="1" width="48" bestFit="1" customWidth="1"/>
    <col min="2" max="2" width="10.140625" customWidth="1"/>
    <col min="4" max="4" width="3" customWidth="1"/>
    <col min="5" max="5" width="9.5703125" style="65" bestFit="1" customWidth="1"/>
    <col min="6" max="6" width="10.140625" style="65" bestFit="1" customWidth="1"/>
    <col min="7" max="7" width="9.42578125" style="65" bestFit="1" customWidth="1"/>
    <col min="8" max="40" width="11.5703125" style="65" bestFit="1" customWidth="1"/>
    <col min="41" max="16384" width="9.140625" style="65"/>
  </cols>
  <sheetData>
    <row r="1" spans="1:40" customFormat="1" x14ac:dyDescent="0.25">
      <c r="A1" t="s">
        <v>102</v>
      </c>
      <c r="B1" s="61" t="str">
        <f>Converter!C1</f>
        <v>Lakhs</v>
      </c>
    </row>
    <row r="2" spans="1:40" customFormat="1" x14ac:dyDescent="0.25"/>
    <row r="3" spans="1:40" customFormat="1" x14ac:dyDescent="0.25">
      <c r="E3" s="63" t="s">
        <v>103</v>
      </c>
      <c r="F3" s="63" t="s">
        <v>104</v>
      </c>
      <c r="G3" s="63" t="s">
        <v>105</v>
      </c>
      <c r="H3" s="63" t="s">
        <v>106</v>
      </c>
      <c r="I3" s="63" t="s">
        <v>107</v>
      </c>
      <c r="J3" s="63" t="s">
        <v>108</v>
      </c>
      <c r="K3" s="63" t="s">
        <v>109</v>
      </c>
      <c r="L3" s="63" t="s">
        <v>110</v>
      </c>
      <c r="M3" s="63" t="s">
        <v>111</v>
      </c>
      <c r="N3" s="63" t="s">
        <v>112</v>
      </c>
      <c r="O3" s="63" t="s">
        <v>113</v>
      </c>
      <c r="P3" s="63" t="s">
        <v>114</v>
      </c>
      <c r="Q3" s="63" t="s">
        <v>115</v>
      </c>
      <c r="R3" s="63" t="s">
        <v>116</v>
      </c>
      <c r="S3" s="63" t="s">
        <v>117</v>
      </c>
      <c r="T3" s="63" t="s">
        <v>118</v>
      </c>
      <c r="U3" s="63" t="s">
        <v>119</v>
      </c>
      <c r="V3" s="63" t="s">
        <v>120</v>
      </c>
      <c r="W3" s="63" t="s">
        <v>121</v>
      </c>
      <c r="X3" s="63" t="s">
        <v>122</v>
      </c>
      <c r="Y3" s="63" t="s">
        <v>123</v>
      </c>
      <c r="Z3" s="63" t="s">
        <v>124</v>
      </c>
      <c r="AA3" s="63" t="s">
        <v>125</v>
      </c>
      <c r="AB3" s="63" t="s">
        <v>126</v>
      </c>
      <c r="AC3" s="63" t="s">
        <v>127</v>
      </c>
      <c r="AD3" s="63" t="s">
        <v>128</v>
      </c>
      <c r="AE3" s="63" t="s">
        <v>129</v>
      </c>
      <c r="AF3" s="63" t="s">
        <v>130</v>
      </c>
      <c r="AG3" s="63" t="s">
        <v>131</v>
      </c>
      <c r="AH3" s="63" t="s">
        <v>132</v>
      </c>
      <c r="AI3" s="63" t="s">
        <v>133</v>
      </c>
      <c r="AJ3" s="63" t="s">
        <v>134</v>
      </c>
      <c r="AK3" s="63" t="s">
        <v>135</v>
      </c>
      <c r="AL3" s="63" t="s">
        <v>136</v>
      </c>
      <c r="AM3" s="63" t="s">
        <v>137</v>
      </c>
      <c r="AN3" s="63" t="s">
        <v>138</v>
      </c>
    </row>
    <row r="4" spans="1:40" customFormat="1" x14ac:dyDescent="0.25">
      <c r="E4" s="64">
        <f>EOMONTH(Assumptions!G3,0)</f>
        <v>43951</v>
      </c>
      <c r="F4" s="64">
        <f>EOMONTH(E4,1)</f>
        <v>43982</v>
      </c>
      <c r="G4" s="64">
        <f t="shared" ref="G4:AN4" si="0">EOMONTH(F4,1)</f>
        <v>44012</v>
      </c>
      <c r="H4" s="64">
        <f t="shared" si="0"/>
        <v>44043</v>
      </c>
      <c r="I4" s="64">
        <f t="shared" si="0"/>
        <v>44074</v>
      </c>
      <c r="J4" s="64">
        <f t="shared" si="0"/>
        <v>44104</v>
      </c>
      <c r="K4" s="64">
        <f t="shared" si="0"/>
        <v>44135</v>
      </c>
      <c r="L4" s="64">
        <f t="shared" si="0"/>
        <v>44165</v>
      </c>
      <c r="M4" s="64">
        <f t="shared" si="0"/>
        <v>44196</v>
      </c>
      <c r="N4" s="64">
        <f t="shared" si="0"/>
        <v>44227</v>
      </c>
      <c r="O4" s="64">
        <f t="shared" si="0"/>
        <v>44255</v>
      </c>
      <c r="P4" s="64">
        <f t="shared" si="0"/>
        <v>44286</v>
      </c>
      <c r="Q4" s="64">
        <f t="shared" si="0"/>
        <v>44316</v>
      </c>
      <c r="R4" s="64">
        <f t="shared" si="0"/>
        <v>44347</v>
      </c>
      <c r="S4" s="64">
        <f t="shared" si="0"/>
        <v>44377</v>
      </c>
      <c r="T4" s="64">
        <f t="shared" si="0"/>
        <v>44408</v>
      </c>
      <c r="U4" s="64">
        <f t="shared" si="0"/>
        <v>44439</v>
      </c>
      <c r="V4" s="64">
        <f t="shared" si="0"/>
        <v>44469</v>
      </c>
      <c r="W4" s="64">
        <f t="shared" si="0"/>
        <v>44500</v>
      </c>
      <c r="X4" s="64">
        <f t="shared" si="0"/>
        <v>44530</v>
      </c>
      <c r="Y4" s="64">
        <f t="shared" si="0"/>
        <v>44561</v>
      </c>
      <c r="Z4" s="64">
        <f t="shared" si="0"/>
        <v>44592</v>
      </c>
      <c r="AA4" s="64">
        <f t="shared" si="0"/>
        <v>44620</v>
      </c>
      <c r="AB4" s="64">
        <f t="shared" si="0"/>
        <v>44651</v>
      </c>
      <c r="AC4" s="64">
        <f t="shared" si="0"/>
        <v>44681</v>
      </c>
      <c r="AD4" s="64">
        <f t="shared" si="0"/>
        <v>44712</v>
      </c>
      <c r="AE4" s="64">
        <f t="shared" si="0"/>
        <v>44742</v>
      </c>
      <c r="AF4" s="64">
        <f t="shared" si="0"/>
        <v>44773</v>
      </c>
      <c r="AG4" s="64">
        <f t="shared" si="0"/>
        <v>44804</v>
      </c>
      <c r="AH4" s="64">
        <f t="shared" si="0"/>
        <v>44834</v>
      </c>
      <c r="AI4" s="64">
        <f t="shared" si="0"/>
        <v>44865</v>
      </c>
      <c r="AJ4" s="64">
        <f t="shared" si="0"/>
        <v>44895</v>
      </c>
      <c r="AK4" s="64">
        <f t="shared" si="0"/>
        <v>44926</v>
      </c>
      <c r="AL4" s="64">
        <f t="shared" si="0"/>
        <v>44957</v>
      </c>
      <c r="AM4" s="64">
        <f t="shared" si="0"/>
        <v>44985</v>
      </c>
      <c r="AN4" s="64">
        <f t="shared" si="0"/>
        <v>45016</v>
      </c>
    </row>
    <row r="6" spans="1:40" x14ac:dyDescent="0.25">
      <c r="A6" s="71" t="s">
        <v>5</v>
      </c>
    </row>
    <row r="7" spans="1:40" x14ac:dyDescent="0.25">
      <c r="A7" t="str">
        <f>'Monthly Revenue'!A75</f>
        <v>Alcoholic Beverage</v>
      </c>
      <c r="E7" s="65">
        <f>'Monthly Revenue'!E75</f>
        <v>0</v>
      </c>
      <c r="F7" s="65">
        <f>'Monthly Revenue'!F75</f>
        <v>0</v>
      </c>
      <c r="G7" s="65">
        <f>'Monthly Revenue'!G75</f>
        <v>0</v>
      </c>
      <c r="H7" s="65">
        <f>'Monthly Revenue'!H75</f>
        <v>637200</v>
      </c>
      <c r="I7" s="65">
        <f>'Monthly Revenue'!I75</f>
        <v>689288</v>
      </c>
      <c r="J7" s="65">
        <f>'Monthly Revenue'!J75</f>
        <v>656592.32000000007</v>
      </c>
      <c r="K7" s="65">
        <f>'Monthly Revenue'!K75</f>
        <v>711906.56640000013</v>
      </c>
      <c r="L7" s="65">
        <f>'Monthly Revenue'!L75</f>
        <v>714973.26470400009</v>
      </c>
      <c r="M7" s="65">
        <f>'Monthly Revenue'!M75</f>
        <v>732789.03359104018</v>
      </c>
      <c r="N7" s="65">
        <f>'Monthly Revenue'!N75</f>
        <v>799079.01820572175</v>
      </c>
      <c r="O7" s="65">
        <f>'Monthly Revenue'!O75</f>
        <v>718911.16159028234</v>
      </c>
      <c r="P7" s="65">
        <f>'Monthly Revenue'!P75</f>
        <v>797777.87161942583</v>
      </c>
      <c r="Q7" s="65">
        <f>'Monthly Revenue'!Q75</f>
        <v>801250.46998851583</v>
      </c>
      <c r="R7" s="65">
        <f>'Monthly Revenue'!R75</f>
        <v>900901.07084465632</v>
      </c>
      <c r="S7" s="65">
        <f>'Monthly Revenue'!S75</f>
        <v>848867.50511071098</v>
      </c>
      <c r="T7" s="65">
        <f>'Monthly Revenue'!T75</f>
        <v>972177.74157967372</v>
      </c>
      <c r="U7" s="65">
        <f>'Monthly Revenue'!U75</f>
        <v>1001455.6368138194</v>
      </c>
      <c r="V7" s="65">
        <f>'Monthly Revenue'!V75</f>
        <v>972619.00479430403</v>
      </c>
      <c r="W7" s="65">
        <f>'Monthly Revenue'!W75</f>
        <v>1101264.8797590071</v>
      </c>
      <c r="X7" s="65">
        <f>'Monthly Revenue'!X75</f>
        <v>1031390.0166000514</v>
      </c>
      <c r="Y7" s="65">
        <f>'Monthly Revenue'!Y75</f>
        <v>1086356.4517722165</v>
      </c>
      <c r="Z7" s="65">
        <f>'Monthly Revenue'!Z75</f>
        <v>1207792.2939214562</v>
      </c>
      <c r="AA7" s="65">
        <f>'Monthly Revenue'!AA75</f>
        <v>1076895.5928648468</v>
      </c>
      <c r="AB7" s="65">
        <f>'Monthly Revenue'!AB75</f>
        <v>1186700.943699311</v>
      </c>
      <c r="AC7" s="65">
        <f>'Monthly Revenue'!AC75</f>
        <v>1247961.9063966717</v>
      </c>
      <c r="AD7" s="65">
        <f>'Monthly Revenue'!AD75</f>
        <v>1313540.2473176916</v>
      </c>
      <c r="AE7" s="65">
        <f>'Monthly Revenue'!AE75</f>
        <v>1270259.8605303541</v>
      </c>
      <c r="AF7" s="65">
        <f>'Monthly Revenue'!AF75</f>
        <v>1529189.1556457689</v>
      </c>
      <c r="AG7" s="65">
        <f>'Monthly Revenue'!AG75</f>
        <v>1446429.3150969557</v>
      </c>
      <c r="AH7" s="65">
        <f>'Monthly Revenue'!AH75</f>
        <v>1460384.0681616773</v>
      </c>
      <c r="AI7" s="65">
        <f>'Monthly Revenue'!AI75</f>
        <v>1681253.5050041205</v>
      </c>
      <c r="AJ7" s="65">
        <f>'Monthly Revenue'!AJ75</f>
        <v>1552126.3972238745</v>
      </c>
      <c r="AK7" s="65">
        <f>'Monthly Revenue'!AK75</f>
        <v>1683765.3025958827</v>
      </c>
      <c r="AL7" s="65">
        <f>'Monthly Revenue'!AL75</f>
        <v>1697893.2836478006</v>
      </c>
      <c r="AM7" s="65">
        <f>'Monthly Revenue'!AM75</f>
        <v>1536895.067564324</v>
      </c>
      <c r="AN7" s="65">
        <f>'Monthly Revenue'!AN75</f>
        <v>1652480.7042529522</v>
      </c>
    </row>
    <row r="8" spans="1:40" x14ac:dyDescent="0.25">
      <c r="A8" t="str">
        <f>'Monthly Revenue'!A76</f>
        <v>Non-Alcoholic Beverage</v>
      </c>
      <c r="E8" s="65">
        <f>'Monthly Revenue'!E76</f>
        <v>0</v>
      </c>
      <c r="F8" s="65">
        <f>'Monthly Revenue'!F76</f>
        <v>0</v>
      </c>
      <c r="G8" s="65">
        <f>'Monthly Revenue'!G76</f>
        <v>0</v>
      </c>
      <c r="H8" s="65">
        <f>'Monthly Revenue'!H76</f>
        <v>313200</v>
      </c>
      <c r="I8" s="65">
        <f>'Monthly Revenue'!I76</f>
        <v>329144</v>
      </c>
      <c r="J8" s="65">
        <f>'Monthly Revenue'!J76</f>
        <v>320467.52</v>
      </c>
      <c r="K8" s="65">
        <f>'Monthly Revenue'!K76</f>
        <v>343360.45440000005</v>
      </c>
      <c r="L8" s="65">
        <f>'Monthly Revenue'!L76</f>
        <v>342840.72672000009</v>
      </c>
      <c r="M8" s="65">
        <f>'Monthly Revenue'!M76</f>
        <v>357235.43284095998</v>
      </c>
      <c r="N8" s="65">
        <f>'Monthly Revenue'!N76</f>
        <v>378270.09475079685</v>
      </c>
      <c r="O8" s="65">
        <f>'Monthly Revenue'!O76</f>
        <v>345056.83161782887</v>
      </c>
      <c r="P8" s="65">
        <f>'Monthly Revenue'!P76</f>
        <v>386969.74054125522</v>
      </c>
      <c r="Q8" s="65">
        <f>'Monthly Revenue'!Q76</f>
        <v>386495.2160311786</v>
      </c>
      <c r="R8" s="65">
        <f>'Monthly Revenue'!R76</f>
        <v>423500.74612761691</v>
      </c>
      <c r="S8" s="65">
        <f>'Monthly Revenue'!S76</f>
        <v>408067.49214068963</v>
      </c>
      <c r="T8" s="65">
        <f>'Monthly Revenue'!T76</f>
        <v>457928.21250038408</v>
      </c>
      <c r="U8" s="65">
        <f>'Monthly Revenue'!U76</f>
        <v>470854.80607679079</v>
      </c>
      <c r="V8" s="65">
        <f>'Monthly Revenue'!V76</f>
        <v>461548.98314537492</v>
      </c>
      <c r="W8" s="65">
        <f>'Monthly Revenue'!W76</f>
        <v>508496.21445746231</v>
      </c>
      <c r="X8" s="65">
        <f>'Monthly Revenue'!X76</f>
        <v>487658.25634892134</v>
      </c>
      <c r="Y8" s="65">
        <f>'Monthly Revenue'!Y76</f>
        <v>514856.03035135992</v>
      </c>
      <c r="Z8" s="65">
        <f>'Monthly Revenue'!Z76</f>
        <v>554609.54316906596</v>
      </c>
      <c r="AA8" s="65">
        <f>'Monthly Revenue'!AA76</f>
        <v>501832.34234130901</v>
      </c>
      <c r="AB8" s="65">
        <f>'Monthly Revenue'!AB76</f>
        <v>559339.27319976653</v>
      </c>
      <c r="AC8" s="65">
        <f>'Monthly Revenue'!AC76</f>
        <v>575622.10701384849</v>
      </c>
      <c r="AD8" s="65">
        <f>'Monthly Revenue'!AD76</f>
        <v>607431.79342363472</v>
      </c>
      <c r="AE8" s="65">
        <f>'Monthly Revenue'!AE76</f>
        <v>592931.87744103023</v>
      </c>
      <c r="AF8" s="65">
        <f>'Monthly Revenue'!AF76</f>
        <v>694511.57998754806</v>
      </c>
      <c r="AG8" s="65">
        <f>'Monthly Revenue'!AG76</f>
        <v>675524.1361299461</v>
      </c>
      <c r="AH8" s="65">
        <f>'Monthly Revenue'!AH76</f>
        <v>677916.91500439751</v>
      </c>
      <c r="AI8" s="65">
        <f>'Monthly Revenue'!AI76</f>
        <v>759422.40358036594</v>
      </c>
      <c r="AJ8" s="65">
        <f>'Monthly Revenue'!AJ76</f>
        <v>717850.1730566757</v>
      </c>
      <c r="AK8" s="65">
        <f>'Monthly Revenue'!AK76</f>
        <v>770728.88926110498</v>
      </c>
      <c r="AL8" s="65">
        <f>'Monthly Revenue'!AL76</f>
        <v>778654.34204632707</v>
      </c>
      <c r="AM8" s="65">
        <f>'Monthly Revenue'!AM76</f>
        <v>707651.8671702306</v>
      </c>
      <c r="AN8" s="65">
        <f>'Monthly Revenue'!AN76</f>
        <v>772492.59019068046</v>
      </c>
    </row>
    <row r="9" spans="1:40" x14ac:dyDescent="0.25">
      <c r="A9" t="str">
        <f>'Monthly Revenue'!A77</f>
        <v>Food</v>
      </c>
      <c r="E9" s="65">
        <f>'Monthly Revenue'!E77</f>
        <v>0</v>
      </c>
      <c r="F9" s="65">
        <f>'Monthly Revenue'!F77</f>
        <v>0</v>
      </c>
      <c r="G9" s="65">
        <f>'Monthly Revenue'!G77</f>
        <v>0</v>
      </c>
      <c r="H9" s="65">
        <f>'Monthly Revenue'!H77</f>
        <v>1506000</v>
      </c>
      <c r="I9" s="65">
        <f>'Monthly Revenue'!I77</f>
        <v>1567720</v>
      </c>
      <c r="J9" s="65">
        <f>'Monthly Revenue'!J77</f>
        <v>1537441.6</v>
      </c>
      <c r="K9" s="65">
        <f>'Monthly Revenue'!K77</f>
        <v>1640873.952</v>
      </c>
      <c r="L9" s="65">
        <f>'Monthly Revenue'!L77</f>
        <v>1635238.1808000002</v>
      </c>
      <c r="M9" s="65">
        <f>'Monthly Revenue'!M77</f>
        <v>1713177.9900608002</v>
      </c>
      <c r="N9" s="65">
        <f>'Monthly Revenue'!N77</f>
        <v>1796451.547366784</v>
      </c>
      <c r="O9" s="65">
        <f>'Monthly Revenue'!O77</f>
        <v>1646328.2513349939</v>
      </c>
      <c r="P9" s="65">
        <f>'Monthly Revenue'!P77</f>
        <v>1852734.5596819599</v>
      </c>
      <c r="Q9" s="65">
        <f>'Monthly Revenue'!Q77</f>
        <v>1847077.3714106041</v>
      </c>
      <c r="R9" s="65">
        <f>'Monthly Revenue'!R77</f>
        <v>2006485.4092692086</v>
      </c>
      <c r="S9" s="65">
        <f>'Monthly Revenue'!S77</f>
        <v>1947970.2173245433</v>
      </c>
      <c r="T9" s="65">
        <f>'Monthly Revenue'!T77</f>
        <v>2176167.9040109362</v>
      </c>
      <c r="U9" s="65">
        <f>'Monthly Revenue'!U77</f>
        <v>2236261.9455533302</v>
      </c>
      <c r="V9" s="65">
        <f>'Monthly Revenue'!V77</f>
        <v>2198649.2995278984</v>
      </c>
      <c r="W9" s="65">
        <f>'Monthly Revenue'!W77</f>
        <v>2400656.7712286422</v>
      </c>
      <c r="X9" s="65">
        <f>'Monthly Revenue'!X77</f>
        <v>2320293.4632637934</v>
      </c>
      <c r="Y9" s="65">
        <f>'Monthly Revenue'!Y77</f>
        <v>2451562.4205367537</v>
      </c>
      <c r="Z9" s="65">
        <f>'Monthly Revenue'!Z77</f>
        <v>2613514.66525927</v>
      </c>
      <c r="AA9" s="65">
        <f>'Monthly Revenue'!AA77</f>
        <v>2376430.2136189435</v>
      </c>
      <c r="AB9" s="65">
        <f>'Monthly Revenue'!AB77</f>
        <v>2658655.6079877275</v>
      </c>
      <c r="AC9" s="65">
        <f>'Monthly Revenue'!AC77</f>
        <v>2716602.848196249</v>
      </c>
      <c r="AD9" s="65">
        <f>'Monthly Revenue'!AD77</f>
        <v>2869190.9727702611</v>
      </c>
      <c r="AE9" s="65">
        <f>'Monthly Revenue'!AE77</f>
        <v>2809382.3079857468</v>
      </c>
      <c r="AF9" s="65">
        <f>'Monthly Revenue'!AF77</f>
        <v>3260604.6868032534</v>
      </c>
      <c r="AG9" s="65">
        <f>'Monthly Revenue'!AG77</f>
        <v>3201275.6073218375</v>
      </c>
      <c r="AH9" s="65">
        <f>'Monthly Revenue'!AH77</f>
        <v>3206185.6987609789</v>
      </c>
      <c r="AI9" s="65">
        <f>'Monthly Revenue'!AI77</f>
        <v>3558693.4787625177</v>
      </c>
      <c r="AJ9" s="65">
        <f>'Monthly Revenue'!AJ77</f>
        <v>3390886.640719472</v>
      </c>
      <c r="AK9" s="65">
        <f>'Monthly Revenue'!AK77</f>
        <v>3630388.196305525</v>
      </c>
      <c r="AL9" s="65">
        <f>'Monthly Revenue'!AL77</f>
        <v>3670015.4602316357</v>
      </c>
      <c r="AM9" s="65">
        <f>'Monthly Revenue'!AM77</f>
        <v>3339809.3358511529</v>
      </c>
      <c r="AN9" s="65">
        <f>'Monthly Revenue'!AN77</f>
        <v>3664012.9509534026</v>
      </c>
    </row>
    <row r="10" spans="1:40" x14ac:dyDescent="0.25">
      <c r="A10" s="98" t="str">
        <f>'Monthly Revenue'!A78</f>
        <v>Total</v>
      </c>
      <c r="B10" s="98"/>
      <c r="C10" s="98"/>
      <c r="D10" s="98"/>
      <c r="E10" s="99">
        <f>'Monthly Revenue'!E78</f>
        <v>0</v>
      </c>
      <c r="F10" s="99">
        <f>'Monthly Revenue'!F78</f>
        <v>0</v>
      </c>
      <c r="G10" s="99">
        <f>'Monthly Revenue'!G78</f>
        <v>0</v>
      </c>
      <c r="H10" s="99">
        <f>'Monthly Revenue'!H78</f>
        <v>2456400</v>
      </c>
      <c r="I10" s="99">
        <f>'Monthly Revenue'!I78</f>
        <v>2586152</v>
      </c>
      <c r="J10" s="99">
        <f>'Monthly Revenue'!J78</f>
        <v>2514501.4400000004</v>
      </c>
      <c r="K10" s="99">
        <f>'Monthly Revenue'!K78</f>
        <v>2696140.9728000001</v>
      </c>
      <c r="L10" s="99">
        <f>'Monthly Revenue'!L78</f>
        <v>2693052.1722240001</v>
      </c>
      <c r="M10" s="99">
        <f>'Monthly Revenue'!M78</f>
        <v>2803202.4564928003</v>
      </c>
      <c r="N10" s="99">
        <f>'Monthly Revenue'!N78</f>
        <v>2973800.6603233023</v>
      </c>
      <c r="O10" s="99">
        <f>'Monthly Revenue'!O78</f>
        <v>2710296.2445431054</v>
      </c>
      <c r="P10" s="99">
        <f>'Monthly Revenue'!P78</f>
        <v>3037482.1718426412</v>
      </c>
      <c r="Q10" s="99">
        <f>'Monthly Revenue'!Q78</f>
        <v>3034823.0574302985</v>
      </c>
      <c r="R10" s="99">
        <f>'Monthly Revenue'!R78</f>
        <v>3330887.2262414815</v>
      </c>
      <c r="S10" s="99">
        <f>'Monthly Revenue'!S78</f>
        <v>3204905.214575944</v>
      </c>
      <c r="T10" s="99">
        <f>'Monthly Revenue'!T78</f>
        <v>3606273.8580909939</v>
      </c>
      <c r="U10" s="99">
        <f>'Monthly Revenue'!U78</f>
        <v>3708572.3884439403</v>
      </c>
      <c r="V10" s="99">
        <f>'Monthly Revenue'!V78</f>
        <v>3632817.2874675775</v>
      </c>
      <c r="W10" s="99">
        <f>'Monthly Revenue'!W78</f>
        <v>4010417.8654451119</v>
      </c>
      <c r="X10" s="99">
        <f>'Monthly Revenue'!X78</f>
        <v>3839341.7362127663</v>
      </c>
      <c r="Y10" s="99">
        <f>'Monthly Revenue'!Y78</f>
        <v>4052774.9026603298</v>
      </c>
      <c r="Z10" s="99">
        <f>'Monthly Revenue'!Z78</f>
        <v>4375916.502349792</v>
      </c>
      <c r="AA10" s="99">
        <f>'Monthly Revenue'!AA78</f>
        <v>3955158.1488250992</v>
      </c>
      <c r="AB10" s="99">
        <f>'Monthly Revenue'!AB78</f>
        <v>4404695.8248868044</v>
      </c>
      <c r="AC10" s="99">
        <f>'Monthly Revenue'!AC78</f>
        <v>4540186.8616067693</v>
      </c>
      <c r="AD10" s="99">
        <f>'Monthly Revenue'!AD78</f>
        <v>4790163.0135115869</v>
      </c>
      <c r="AE10" s="99">
        <f>'Monthly Revenue'!AE78</f>
        <v>4672574.0459571313</v>
      </c>
      <c r="AF10" s="99">
        <f>'Monthly Revenue'!AF78</f>
        <v>5484305.4224365707</v>
      </c>
      <c r="AG10" s="99">
        <f>'Monthly Revenue'!AG78</f>
        <v>5323229.0585487392</v>
      </c>
      <c r="AH10" s="99">
        <f>'Monthly Revenue'!AH78</f>
        <v>5344486.6819270533</v>
      </c>
      <c r="AI10" s="99">
        <f>'Monthly Revenue'!AI78</f>
        <v>5999369.3873470044</v>
      </c>
      <c r="AJ10" s="99">
        <f>'Monthly Revenue'!AJ78</f>
        <v>5660863.2110000215</v>
      </c>
      <c r="AK10" s="99">
        <f>'Monthly Revenue'!AK78</f>
        <v>6084882.3881625123</v>
      </c>
      <c r="AL10" s="99">
        <f>'Monthly Revenue'!AL78</f>
        <v>6146563.0859257635</v>
      </c>
      <c r="AM10" s="99">
        <f>'Monthly Revenue'!AM78</f>
        <v>5584356.2705857074</v>
      </c>
      <c r="AN10" s="99">
        <f>'Monthly Revenue'!AN78</f>
        <v>6088986.245397035</v>
      </c>
    </row>
    <row r="12" spans="1:40" x14ac:dyDescent="0.25">
      <c r="A12" s="71" t="s">
        <v>151</v>
      </c>
    </row>
    <row r="13" spans="1:40" x14ac:dyDescent="0.25">
      <c r="A13" t="str">
        <f>Assumptions!A24</f>
        <v>Alcoholic Beverage cost (% of revenue)</v>
      </c>
      <c r="E13" s="72">
        <f>E7*Assumptions!$G24</f>
        <v>0</v>
      </c>
      <c r="F13" s="72">
        <f>F7*Assumptions!$G24</f>
        <v>0</v>
      </c>
      <c r="G13" s="72">
        <f>G7*Assumptions!$G24</f>
        <v>0</v>
      </c>
      <c r="H13" s="72">
        <f>H7*Assumptions!$G24</f>
        <v>223020</v>
      </c>
      <c r="I13" s="72">
        <f>I7*Assumptions!$G24</f>
        <v>241250.8</v>
      </c>
      <c r="J13" s="72">
        <f>J7*Assumptions!$G24</f>
        <v>229807.31200000001</v>
      </c>
      <c r="K13" s="72">
        <f>K7*Assumptions!$G24</f>
        <v>249167.29824000003</v>
      </c>
      <c r="L13" s="72">
        <f>L7*Assumptions!$G24</f>
        <v>250240.64264640003</v>
      </c>
      <c r="M13" s="72">
        <f>M7*Assumptions!$G24</f>
        <v>256476.16175686405</v>
      </c>
      <c r="N13" s="72">
        <f>N7*Assumptions!$G24</f>
        <v>279677.65637200262</v>
      </c>
      <c r="O13" s="72">
        <f>O7*Assumptions!$G24</f>
        <v>251618.90655659881</v>
      </c>
      <c r="P13" s="72">
        <f>P7*Assumptions!$G24</f>
        <v>279222.255066799</v>
      </c>
      <c r="Q13" s="72">
        <f>Q7*Assumptions!$G24</f>
        <v>280437.66449598054</v>
      </c>
      <c r="R13" s="72">
        <f>R7*Assumptions!$G24</f>
        <v>315315.3747956297</v>
      </c>
      <c r="S13" s="72">
        <f>S7*Assumptions!$G24</f>
        <v>297103.62678874884</v>
      </c>
      <c r="T13" s="72">
        <f>T7*Assumptions!$G24</f>
        <v>340262.20955288579</v>
      </c>
      <c r="U13" s="72">
        <f>U7*Assumptions!$G24</f>
        <v>350509.47288483678</v>
      </c>
      <c r="V13" s="72">
        <f>V7*Assumptions!$G24</f>
        <v>340416.6516780064</v>
      </c>
      <c r="W13" s="72">
        <f>W7*Assumptions!$G24</f>
        <v>385442.70791565249</v>
      </c>
      <c r="X13" s="72">
        <f>X7*Assumptions!$G24</f>
        <v>360986.50581001799</v>
      </c>
      <c r="Y13" s="72">
        <f>Y7*Assumptions!$G24</f>
        <v>380224.75812027574</v>
      </c>
      <c r="Z13" s="72">
        <f>Z7*Assumptions!$G24</f>
        <v>422727.30287250964</v>
      </c>
      <c r="AA13" s="72">
        <f>AA7*Assumptions!$G24</f>
        <v>376913.45750269637</v>
      </c>
      <c r="AB13" s="72">
        <f>AB7*Assumptions!$G24</f>
        <v>415345.33029475884</v>
      </c>
      <c r="AC13" s="72">
        <f>AC7*Assumptions!$G24</f>
        <v>436786.66723883507</v>
      </c>
      <c r="AD13" s="72">
        <f>AD7*Assumptions!$G24</f>
        <v>459739.086561192</v>
      </c>
      <c r="AE13" s="72">
        <f>AE7*Assumptions!$G24</f>
        <v>444590.95118562388</v>
      </c>
      <c r="AF13" s="72">
        <f>AF7*Assumptions!$G24</f>
        <v>535216.20447601902</v>
      </c>
      <c r="AG13" s="72">
        <f>AG7*Assumptions!$G24</f>
        <v>506250.26028393448</v>
      </c>
      <c r="AH13" s="72">
        <f>AH7*Assumptions!$G24</f>
        <v>511134.42385658703</v>
      </c>
      <c r="AI13" s="72">
        <f>AI7*Assumptions!$G24</f>
        <v>588438.72675144218</v>
      </c>
      <c r="AJ13" s="72">
        <f>AJ7*Assumptions!$G24</f>
        <v>543244.23902835604</v>
      </c>
      <c r="AK13" s="72">
        <f>AK7*Assumptions!$G24</f>
        <v>589317.85590855894</v>
      </c>
      <c r="AL13" s="72">
        <f>AL7*Assumptions!$G24</f>
        <v>594262.64927673014</v>
      </c>
      <c r="AM13" s="72">
        <f>AM7*Assumptions!$G24</f>
        <v>537913.27364751336</v>
      </c>
      <c r="AN13" s="72">
        <f>AN7*Assumptions!$G24</f>
        <v>578368.24648853322</v>
      </c>
    </row>
    <row r="14" spans="1:40" x14ac:dyDescent="0.25">
      <c r="A14" t="str">
        <f>Assumptions!A25</f>
        <v>Non-Alcoholic Beverage cost (% of revenue)</v>
      </c>
      <c r="E14" s="72">
        <f>E8*Assumptions!$G25</f>
        <v>0</v>
      </c>
      <c r="F14" s="72">
        <f>F8*Assumptions!$G25</f>
        <v>0</v>
      </c>
      <c r="G14" s="72">
        <f>G8*Assumptions!$G25</f>
        <v>0</v>
      </c>
      <c r="H14" s="72">
        <f>H8*Assumptions!$G25</f>
        <v>125280</v>
      </c>
      <c r="I14" s="72">
        <f>I8*Assumptions!$G25</f>
        <v>131657.60000000001</v>
      </c>
      <c r="J14" s="72">
        <f>J8*Assumptions!$G25</f>
        <v>128187.00800000002</v>
      </c>
      <c r="K14" s="72">
        <f>K8*Assumptions!$G25</f>
        <v>137344.18176000004</v>
      </c>
      <c r="L14" s="72">
        <f>L8*Assumptions!$G25</f>
        <v>137136.29068800004</v>
      </c>
      <c r="M14" s="72">
        <f>M8*Assumptions!$G25</f>
        <v>142894.17313638399</v>
      </c>
      <c r="N14" s="72">
        <f>N8*Assumptions!$G25</f>
        <v>151308.03790031874</v>
      </c>
      <c r="O14" s="72">
        <f>O8*Assumptions!$G25</f>
        <v>138022.73264713155</v>
      </c>
      <c r="P14" s="72">
        <f>P8*Assumptions!$G25</f>
        <v>154787.89621650209</v>
      </c>
      <c r="Q14" s="72">
        <f>Q8*Assumptions!$G25</f>
        <v>154598.08641247146</v>
      </c>
      <c r="R14" s="72">
        <f>R8*Assumptions!$G25</f>
        <v>169400.29845104678</v>
      </c>
      <c r="S14" s="72">
        <f>S8*Assumptions!$G25</f>
        <v>163226.99685627586</v>
      </c>
      <c r="T14" s="72">
        <f>T8*Assumptions!$G25</f>
        <v>183171.28500015364</v>
      </c>
      <c r="U14" s="72">
        <f>U8*Assumptions!$G25</f>
        <v>188341.92243071634</v>
      </c>
      <c r="V14" s="72">
        <f>V8*Assumptions!$G25</f>
        <v>184619.59325814998</v>
      </c>
      <c r="W14" s="72">
        <f>W8*Assumptions!$G25</f>
        <v>203398.48578298494</v>
      </c>
      <c r="X14" s="72">
        <f>X8*Assumptions!$G25</f>
        <v>195063.30253956854</v>
      </c>
      <c r="Y14" s="72">
        <f>Y8*Assumptions!$G25</f>
        <v>205942.41214054398</v>
      </c>
      <c r="Z14" s="72">
        <f>Z8*Assumptions!$G25</f>
        <v>221843.81726762641</v>
      </c>
      <c r="AA14" s="72">
        <f>AA8*Assumptions!$G25</f>
        <v>200732.93693652362</v>
      </c>
      <c r="AB14" s="72">
        <f>AB8*Assumptions!$G25</f>
        <v>223735.70927990662</v>
      </c>
      <c r="AC14" s="72">
        <f>AC8*Assumptions!$G25</f>
        <v>230248.8428055394</v>
      </c>
      <c r="AD14" s="72">
        <f>AD8*Assumptions!$G25</f>
        <v>242972.71736945389</v>
      </c>
      <c r="AE14" s="72">
        <f>AE8*Assumptions!$G25</f>
        <v>237172.75097641209</v>
      </c>
      <c r="AF14" s="72">
        <f>AF8*Assumptions!$G25</f>
        <v>277804.63199501921</v>
      </c>
      <c r="AG14" s="72">
        <f>AG8*Assumptions!$G25</f>
        <v>270209.65445197845</v>
      </c>
      <c r="AH14" s="72">
        <f>AH8*Assumptions!$G25</f>
        <v>271166.76600175904</v>
      </c>
      <c r="AI14" s="72">
        <f>AI8*Assumptions!$G25</f>
        <v>303768.96143214637</v>
      </c>
      <c r="AJ14" s="72">
        <f>AJ8*Assumptions!$G25</f>
        <v>287140.06922267028</v>
      </c>
      <c r="AK14" s="72">
        <f>AK8*Assumptions!$G25</f>
        <v>308291.55570444203</v>
      </c>
      <c r="AL14" s="72">
        <f>AL8*Assumptions!$G25</f>
        <v>311461.73681853083</v>
      </c>
      <c r="AM14" s="72">
        <f>AM8*Assumptions!$G25</f>
        <v>283060.74686809228</v>
      </c>
      <c r="AN14" s="72">
        <f>AN8*Assumptions!$G25</f>
        <v>308997.0360762722</v>
      </c>
    </row>
    <row r="15" spans="1:40" x14ac:dyDescent="0.25">
      <c r="A15" t="str">
        <f>Assumptions!A26</f>
        <v>Food (% of revenue)</v>
      </c>
      <c r="E15" s="72">
        <f>E9*Assumptions!$G26</f>
        <v>0</v>
      </c>
      <c r="F15" s="72">
        <f>F9*Assumptions!$G26</f>
        <v>0</v>
      </c>
      <c r="G15" s="72">
        <f>G9*Assumptions!$G26</f>
        <v>0</v>
      </c>
      <c r="H15" s="72">
        <f>H9*Assumptions!$G26</f>
        <v>451800</v>
      </c>
      <c r="I15" s="72">
        <f>I9*Assumptions!$G26</f>
        <v>470316</v>
      </c>
      <c r="J15" s="72">
        <f>J9*Assumptions!$G26</f>
        <v>461232.48000000004</v>
      </c>
      <c r="K15" s="72">
        <f>K9*Assumptions!$G26</f>
        <v>492262.18559999997</v>
      </c>
      <c r="L15" s="72">
        <f>L9*Assumptions!$G26</f>
        <v>490571.45424000005</v>
      </c>
      <c r="M15" s="72">
        <f>M9*Assumptions!$G26</f>
        <v>513953.39701824007</v>
      </c>
      <c r="N15" s="72">
        <f>N9*Assumptions!$G26</f>
        <v>538935.46421003516</v>
      </c>
      <c r="O15" s="72">
        <f>O9*Assumptions!$G26</f>
        <v>493898.47540049814</v>
      </c>
      <c r="P15" s="72">
        <f>P9*Assumptions!$G26</f>
        <v>555820.367904588</v>
      </c>
      <c r="Q15" s="72">
        <f>Q9*Assumptions!$G26</f>
        <v>554123.21142318123</v>
      </c>
      <c r="R15" s="72">
        <f>R9*Assumptions!$G26</f>
        <v>601945.6227807625</v>
      </c>
      <c r="S15" s="72">
        <f>S9*Assumptions!$G26</f>
        <v>584391.06519736291</v>
      </c>
      <c r="T15" s="72">
        <f>T9*Assumptions!$G26</f>
        <v>652850.37120328087</v>
      </c>
      <c r="U15" s="72">
        <f>U9*Assumptions!$G26</f>
        <v>670878.583665999</v>
      </c>
      <c r="V15" s="72">
        <f>V9*Assumptions!$G26</f>
        <v>659594.78985836951</v>
      </c>
      <c r="W15" s="72">
        <f>W9*Assumptions!$G26</f>
        <v>720197.03136859264</v>
      </c>
      <c r="X15" s="72">
        <f>X9*Assumptions!$G26</f>
        <v>696088.03897913801</v>
      </c>
      <c r="Y15" s="72">
        <f>Y9*Assumptions!$G26</f>
        <v>735468.72616102605</v>
      </c>
      <c r="Z15" s="72">
        <f>Z9*Assumptions!$G26</f>
        <v>784054.39957778098</v>
      </c>
      <c r="AA15" s="72">
        <f>AA9*Assumptions!$G26</f>
        <v>712929.06408568297</v>
      </c>
      <c r="AB15" s="72">
        <f>AB9*Assumptions!$G26</f>
        <v>797596.68239631818</v>
      </c>
      <c r="AC15" s="72">
        <f>AC9*Assumptions!$G26</f>
        <v>814980.85445887467</v>
      </c>
      <c r="AD15" s="72">
        <f>AD9*Assumptions!$G26</f>
        <v>860757.29183107836</v>
      </c>
      <c r="AE15" s="72">
        <f>AE9*Assumptions!$G26</f>
        <v>842814.69239572401</v>
      </c>
      <c r="AF15" s="72">
        <f>AF9*Assumptions!$G26</f>
        <v>978181.40604097594</v>
      </c>
      <c r="AG15" s="72">
        <f>AG9*Assumptions!$G26</f>
        <v>960382.68219655124</v>
      </c>
      <c r="AH15" s="72">
        <f>AH9*Assumptions!$G26</f>
        <v>961855.70962829364</v>
      </c>
      <c r="AI15" s="72">
        <f>AI9*Assumptions!$G26</f>
        <v>1067608.0436287553</v>
      </c>
      <c r="AJ15" s="72">
        <f>AJ9*Assumptions!$G26</f>
        <v>1017265.9922158415</v>
      </c>
      <c r="AK15" s="72">
        <f>AK9*Assumptions!$G26</f>
        <v>1089116.4588916574</v>
      </c>
      <c r="AL15" s="72">
        <f>AL9*Assumptions!$G26</f>
        <v>1101004.6380694907</v>
      </c>
      <c r="AM15" s="72">
        <f>AM9*Assumptions!$G26</f>
        <v>1001942.8007553458</v>
      </c>
      <c r="AN15" s="72">
        <f>AN9*Assumptions!$G26</f>
        <v>1099203.8852860208</v>
      </c>
    </row>
    <row r="16" spans="1:40" x14ac:dyDescent="0.25">
      <c r="A16" t="s">
        <v>152</v>
      </c>
      <c r="E16" s="65">
        <v>0</v>
      </c>
      <c r="F16" s="65">
        <v>0</v>
      </c>
      <c r="G16" s="65">
        <v>0</v>
      </c>
      <c r="H16" s="72">
        <f>Assumptions!$G$39</f>
        <v>986000</v>
      </c>
      <c r="I16" s="72">
        <f>Assumptions!$G$39</f>
        <v>986000</v>
      </c>
      <c r="J16" s="72">
        <f>Assumptions!$G$39</f>
        <v>986000</v>
      </c>
      <c r="K16" s="72">
        <f>Assumptions!$G$39</f>
        <v>986000</v>
      </c>
      <c r="L16" s="72">
        <f>Assumptions!$G$39</f>
        <v>986000</v>
      </c>
      <c r="M16" s="72">
        <f>Assumptions!$G$39</f>
        <v>986000</v>
      </c>
      <c r="N16" s="72">
        <f>Assumptions!$G$39</f>
        <v>986000</v>
      </c>
      <c r="O16" s="72">
        <f>Assumptions!$G$39</f>
        <v>986000</v>
      </c>
      <c r="P16" s="72">
        <f>Assumptions!$G$39</f>
        <v>986000</v>
      </c>
      <c r="Q16" s="72">
        <f>Assumptions!$G$39</f>
        <v>986000</v>
      </c>
      <c r="R16" s="72">
        <f>Assumptions!$G$39</f>
        <v>986000</v>
      </c>
      <c r="S16" s="72">
        <f>Assumptions!$G$39</f>
        <v>986000</v>
      </c>
      <c r="T16" s="72">
        <f>S16*(1+Assumptions!$G$40)</f>
        <v>1064880</v>
      </c>
      <c r="U16" s="72">
        <f>T16</f>
        <v>1064880</v>
      </c>
      <c r="V16" s="72">
        <f t="shared" ref="V16:AE16" si="1">U16</f>
        <v>1064880</v>
      </c>
      <c r="W16" s="72">
        <f t="shared" si="1"/>
        <v>1064880</v>
      </c>
      <c r="X16" s="72">
        <f t="shared" si="1"/>
        <v>1064880</v>
      </c>
      <c r="Y16" s="72">
        <f t="shared" si="1"/>
        <v>1064880</v>
      </c>
      <c r="Z16" s="72">
        <f t="shared" si="1"/>
        <v>1064880</v>
      </c>
      <c r="AA16" s="72">
        <f t="shared" si="1"/>
        <v>1064880</v>
      </c>
      <c r="AB16" s="72">
        <f t="shared" si="1"/>
        <v>1064880</v>
      </c>
      <c r="AC16" s="72">
        <f t="shared" si="1"/>
        <v>1064880</v>
      </c>
      <c r="AD16" s="72">
        <f t="shared" si="1"/>
        <v>1064880</v>
      </c>
      <c r="AE16" s="72">
        <f t="shared" si="1"/>
        <v>1064880</v>
      </c>
      <c r="AF16" s="72">
        <f>AE16*(1+Assumptions!$G$40)</f>
        <v>1150070.4000000001</v>
      </c>
      <c r="AG16" s="72">
        <f>AF16</f>
        <v>1150070.4000000001</v>
      </c>
      <c r="AH16" s="72">
        <f t="shared" ref="AH16:AN16" si="2">AG16</f>
        <v>1150070.4000000001</v>
      </c>
      <c r="AI16" s="72">
        <f t="shared" si="2"/>
        <v>1150070.4000000001</v>
      </c>
      <c r="AJ16" s="72">
        <f t="shared" si="2"/>
        <v>1150070.4000000001</v>
      </c>
      <c r="AK16" s="72">
        <f t="shared" si="2"/>
        <v>1150070.4000000001</v>
      </c>
      <c r="AL16" s="72">
        <f t="shared" si="2"/>
        <v>1150070.4000000001</v>
      </c>
      <c r="AM16" s="72">
        <f t="shared" si="2"/>
        <v>1150070.4000000001</v>
      </c>
      <c r="AN16" s="72">
        <f t="shared" si="2"/>
        <v>1150070.4000000001</v>
      </c>
    </row>
    <row r="17" spans="1:41" x14ac:dyDescent="0.25">
      <c r="A17" s="100" t="s">
        <v>153</v>
      </c>
      <c r="B17" s="88"/>
      <c r="C17" s="88"/>
      <c r="D17" s="88"/>
      <c r="E17" s="89">
        <f>SUM(E13:E16)</f>
        <v>0</v>
      </c>
      <c r="F17" s="89">
        <f t="shared" ref="F17:AN17" si="3">SUM(F13:F16)</f>
        <v>0</v>
      </c>
      <c r="G17" s="89">
        <f t="shared" si="3"/>
        <v>0</v>
      </c>
      <c r="H17" s="89">
        <f t="shared" si="3"/>
        <v>1786100</v>
      </c>
      <c r="I17" s="89">
        <f t="shared" si="3"/>
        <v>1829224.4</v>
      </c>
      <c r="J17" s="89">
        <f t="shared" si="3"/>
        <v>1805226.8</v>
      </c>
      <c r="K17" s="89">
        <f t="shared" si="3"/>
        <v>1864773.6655999999</v>
      </c>
      <c r="L17" s="89">
        <f t="shared" si="3"/>
        <v>1863948.3875744001</v>
      </c>
      <c r="M17" s="89">
        <f t="shared" si="3"/>
        <v>1899323.7319114881</v>
      </c>
      <c r="N17" s="89">
        <f t="shared" si="3"/>
        <v>1955921.1584823565</v>
      </c>
      <c r="O17" s="89">
        <f t="shared" si="3"/>
        <v>1869540.1146042286</v>
      </c>
      <c r="P17" s="89">
        <f t="shared" si="3"/>
        <v>1975830.5191878891</v>
      </c>
      <c r="Q17" s="89">
        <f t="shared" si="3"/>
        <v>1975158.9623316331</v>
      </c>
      <c r="R17" s="89">
        <f t="shared" si="3"/>
        <v>2072661.2960274389</v>
      </c>
      <c r="S17" s="89">
        <f t="shared" si="3"/>
        <v>2030721.6888423876</v>
      </c>
      <c r="T17" s="89">
        <f t="shared" si="3"/>
        <v>2241163.8657563203</v>
      </c>
      <c r="U17" s="89">
        <f t="shared" si="3"/>
        <v>2274609.9789815522</v>
      </c>
      <c r="V17" s="89">
        <f t="shared" si="3"/>
        <v>2249511.0347945257</v>
      </c>
      <c r="W17" s="89">
        <f t="shared" si="3"/>
        <v>2373918.2250672299</v>
      </c>
      <c r="X17" s="89">
        <f t="shared" si="3"/>
        <v>2317017.8473287243</v>
      </c>
      <c r="Y17" s="89">
        <f t="shared" si="3"/>
        <v>2386515.896421846</v>
      </c>
      <c r="Z17" s="89">
        <f t="shared" si="3"/>
        <v>2493505.5197179168</v>
      </c>
      <c r="AA17" s="89">
        <f t="shared" si="3"/>
        <v>2355455.4585249028</v>
      </c>
      <c r="AB17" s="89">
        <f t="shared" si="3"/>
        <v>2501557.7219709838</v>
      </c>
      <c r="AC17" s="89">
        <f t="shared" si="3"/>
        <v>2546896.3645032491</v>
      </c>
      <c r="AD17" s="89">
        <f t="shared" si="3"/>
        <v>2628349.0957617243</v>
      </c>
      <c r="AE17" s="89">
        <f t="shared" si="3"/>
        <v>2589458.3945577601</v>
      </c>
      <c r="AF17" s="89">
        <f t="shared" si="3"/>
        <v>2941272.6425120141</v>
      </c>
      <c r="AG17" s="89">
        <f t="shared" si="3"/>
        <v>2886912.9969324647</v>
      </c>
      <c r="AH17" s="89">
        <f t="shared" si="3"/>
        <v>2894227.2994866399</v>
      </c>
      <c r="AI17" s="89">
        <f t="shared" si="3"/>
        <v>3109886.1318123443</v>
      </c>
      <c r="AJ17" s="89">
        <f t="shared" si="3"/>
        <v>2997720.700466868</v>
      </c>
      <c r="AK17" s="89">
        <f t="shared" si="3"/>
        <v>3136796.2705046586</v>
      </c>
      <c r="AL17" s="89">
        <f t="shared" si="3"/>
        <v>3156799.4241647515</v>
      </c>
      <c r="AM17" s="89">
        <f t="shared" si="3"/>
        <v>2972987.2212709514</v>
      </c>
      <c r="AN17" s="89">
        <f t="shared" si="3"/>
        <v>3136639.5678508263</v>
      </c>
    </row>
    <row r="19" spans="1:41" x14ac:dyDescent="0.25">
      <c r="A19" s="71" t="s">
        <v>155</v>
      </c>
    </row>
    <row r="20" spans="1:41" x14ac:dyDescent="0.25">
      <c r="A20" t="s">
        <v>154</v>
      </c>
      <c r="E20" s="65">
        <v>0</v>
      </c>
      <c r="F20" s="65">
        <v>0</v>
      </c>
      <c r="G20" s="65">
        <v>0</v>
      </c>
      <c r="H20" s="72">
        <f>Assumptions!$G$49</f>
        <v>380000</v>
      </c>
      <c r="I20" s="72">
        <f>H20</f>
        <v>380000</v>
      </c>
      <c r="J20" s="72">
        <f t="shared" ref="J20:S20" si="4">I20</f>
        <v>380000</v>
      </c>
      <c r="K20" s="72">
        <f t="shared" si="4"/>
        <v>380000</v>
      </c>
      <c r="L20" s="72">
        <f t="shared" si="4"/>
        <v>380000</v>
      </c>
      <c r="M20" s="72">
        <f t="shared" si="4"/>
        <v>380000</v>
      </c>
      <c r="N20" s="72">
        <f t="shared" si="4"/>
        <v>380000</v>
      </c>
      <c r="O20" s="72">
        <f t="shared" si="4"/>
        <v>380000</v>
      </c>
      <c r="P20" s="72">
        <f t="shared" si="4"/>
        <v>380000</v>
      </c>
      <c r="Q20" s="72">
        <f t="shared" si="4"/>
        <v>380000</v>
      </c>
      <c r="R20" s="72">
        <f t="shared" si="4"/>
        <v>380000</v>
      </c>
      <c r="S20" s="72">
        <f t="shared" si="4"/>
        <v>380000</v>
      </c>
      <c r="T20" s="72">
        <f>S20*(1+Assumptions!$G$40)</f>
        <v>410400</v>
      </c>
      <c r="U20" s="72">
        <f>T20</f>
        <v>410400</v>
      </c>
      <c r="V20" s="72">
        <f t="shared" ref="V20:AE20" si="5">U20</f>
        <v>410400</v>
      </c>
      <c r="W20" s="72">
        <f t="shared" si="5"/>
        <v>410400</v>
      </c>
      <c r="X20" s="72">
        <f t="shared" si="5"/>
        <v>410400</v>
      </c>
      <c r="Y20" s="72">
        <f t="shared" si="5"/>
        <v>410400</v>
      </c>
      <c r="Z20" s="72">
        <f t="shared" si="5"/>
        <v>410400</v>
      </c>
      <c r="AA20" s="72">
        <f t="shared" si="5"/>
        <v>410400</v>
      </c>
      <c r="AB20" s="72">
        <f t="shared" si="5"/>
        <v>410400</v>
      </c>
      <c r="AC20" s="72">
        <f t="shared" si="5"/>
        <v>410400</v>
      </c>
      <c r="AD20" s="72">
        <f t="shared" si="5"/>
        <v>410400</v>
      </c>
      <c r="AE20" s="72">
        <f t="shared" si="5"/>
        <v>410400</v>
      </c>
      <c r="AF20" s="72">
        <f>AE20*(1+Assumptions!$G$40)</f>
        <v>443232.00000000006</v>
      </c>
      <c r="AG20" s="72">
        <f>AF20</f>
        <v>443232.00000000006</v>
      </c>
      <c r="AH20" s="72">
        <f t="shared" ref="AH20:AN20" si="6">AG20</f>
        <v>443232.00000000006</v>
      </c>
      <c r="AI20" s="72">
        <f t="shared" si="6"/>
        <v>443232.00000000006</v>
      </c>
      <c r="AJ20" s="72">
        <f t="shared" si="6"/>
        <v>443232.00000000006</v>
      </c>
      <c r="AK20" s="72">
        <f t="shared" si="6"/>
        <v>443232.00000000006</v>
      </c>
      <c r="AL20" s="72">
        <f t="shared" si="6"/>
        <v>443232.00000000006</v>
      </c>
      <c r="AM20" s="72">
        <f t="shared" si="6"/>
        <v>443232.00000000006</v>
      </c>
      <c r="AN20" s="72">
        <f t="shared" si="6"/>
        <v>443232.00000000006</v>
      </c>
    </row>
    <row r="21" spans="1:41" x14ac:dyDescent="0.25">
      <c r="A21" t="str">
        <f>Assumptions!A51</f>
        <v>Royalty to brand (% of Revenue)</v>
      </c>
      <c r="E21" s="65">
        <v>0</v>
      </c>
      <c r="F21" s="65">
        <v>0</v>
      </c>
      <c r="G21" s="65">
        <v>0</v>
      </c>
      <c r="H21" s="72">
        <f>H10*Assumptions!$G$51</f>
        <v>122820</v>
      </c>
      <c r="I21" s="72">
        <f>I10*Assumptions!$G$51</f>
        <v>129307.6</v>
      </c>
      <c r="J21" s="72">
        <f>J10*Assumptions!$G$51</f>
        <v>125725.07200000003</v>
      </c>
      <c r="K21" s="72">
        <f>K10*Assumptions!$G$51</f>
        <v>134807.04864000002</v>
      </c>
      <c r="L21" s="72">
        <f>L10*Assumptions!$G$51</f>
        <v>134652.6086112</v>
      </c>
      <c r="M21" s="72">
        <f>M10*Assumptions!$G$51</f>
        <v>140160.12282464001</v>
      </c>
      <c r="N21" s="72">
        <f>N10*Assumptions!$G$51</f>
        <v>148690.03301616511</v>
      </c>
      <c r="O21" s="72">
        <f>O10*Assumptions!$G$51</f>
        <v>135514.81222715529</v>
      </c>
      <c r="P21" s="72">
        <f>P10*Assumptions!$G$51</f>
        <v>151874.10859213208</v>
      </c>
      <c r="Q21" s="72">
        <f>Q10*Assumptions!$G$51</f>
        <v>151741.15287151493</v>
      </c>
      <c r="R21" s="72">
        <f>R10*Assumptions!$G$51</f>
        <v>166544.36131207409</v>
      </c>
      <c r="S21" s="72">
        <f>S10*Assumptions!$G$51</f>
        <v>160245.26072879721</v>
      </c>
      <c r="T21" s="72">
        <f>T10*Assumptions!$G$51</f>
        <v>180313.69290454971</v>
      </c>
      <c r="U21" s="72">
        <f>U10*Assumptions!$G$51</f>
        <v>185428.61942219702</v>
      </c>
      <c r="V21" s="72">
        <f>V10*Assumptions!$G$51</f>
        <v>181640.86437337889</v>
      </c>
      <c r="W21" s="72">
        <f>W10*Assumptions!$G$51</f>
        <v>200520.89327225561</v>
      </c>
      <c r="X21" s="72">
        <f>X10*Assumptions!$G$51</f>
        <v>191967.08681063831</v>
      </c>
      <c r="Y21" s="72">
        <f>Y10*Assumptions!$G$51</f>
        <v>202638.74513301649</v>
      </c>
      <c r="Z21" s="72">
        <f>Z10*Assumptions!$G$51</f>
        <v>218795.82511748961</v>
      </c>
      <c r="AA21" s="72">
        <f>AA10*Assumptions!$G$51</f>
        <v>197757.90744125497</v>
      </c>
      <c r="AB21" s="72">
        <f>AB10*Assumptions!$G$51</f>
        <v>220234.79124434025</v>
      </c>
      <c r="AC21" s="72">
        <f>AC10*Assumptions!$G$51</f>
        <v>227009.34308033847</v>
      </c>
      <c r="AD21" s="72">
        <f>AD10*Assumptions!$G$51</f>
        <v>239508.15067557935</v>
      </c>
      <c r="AE21" s="72">
        <f>AE10*Assumptions!$G$51</f>
        <v>233628.70229785657</v>
      </c>
      <c r="AF21" s="72">
        <f>AF10*Assumptions!$G$51</f>
        <v>274215.27112182853</v>
      </c>
      <c r="AG21" s="72">
        <f>AG10*Assumptions!$G$51</f>
        <v>266161.45292743697</v>
      </c>
      <c r="AH21" s="72">
        <f>AH10*Assumptions!$G$51</f>
        <v>267224.33409635269</v>
      </c>
      <c r="AI21" s="72">
        <f>AI10*Assumptions!$G$51</f>
        <v>299968.46936735022</v>
      </c>
      <c r="AJ21" s="72">
        <f>AJ10*Assumptions!$G$51</f>
        <v>283043.16055000108</v>
      </c>
      <c r="AK21" s="72">
        <f>AK10*Assumptions!$G$51</f>
        <v>304244.11940812564</v>
      </c>
      <c r="AL21" s="72">
        <f>AL10*Assumptions!$G$51</f>
        <v>307328.15429628821</v>
      </c>
      <c r="AM21" s="72">
        <f>AM10*Assumptions!$G$51</f>
        <v>279217.81352928537</v>
      </c>
      <c r="AN21" s="72">
        <f>AN10*Assumptions!$G$51</f>
        <v>304449.31226985174</v>
      </c>
    </row>
    <row r="22" spans="1:41" x14ac:dyDescent="0.25">
      <c r="A22" t="str">
        <f>Assumptions!A52</f>
        <v>Rent as per contract (% of Revenue)</v>
      </c>
      <c r="E22" s="65">
        <v>0</v>
      </c>
      <c r="F22" s="65">
        <v>0</v>
      </c>
      <c r="G22" s="65">
        <v>0</v>
      </c>
      <c r="H22" s="72">
        <f>H10*Assumptions!$G$52</f>
        <v>245640</v>
      </c>
      <c r="I22" s="72">
        <f>I10*Assumptions!$G$52</f>
        <v>258615.2</v>
      </c>
      <c r="J22" s="72">
        <f>J10*Assumptions!$G$52</f>
        <v>251450.14400000006</v>
      </c>
      <c r="K22" s="72">
        <f>K10*Assumptions!$G$52</f>
        <v>269614.09728000005</v>
      </c>
      <c r="L22" s="72">
        <f>L10*Assumptions!$G$52</f>
        <v>269305.21722240001</v>
      </c>
      <c r="M22" s="72">
        <f>M10*Assumptions!$G$52</f>
        <v>280320.24564928003</v>
      </c>
      <c r="N22" s="72">
        <f>N10*Assumptions!$G$52</f>
        <v>297380.06603233021</v>
      </c>
      <c r="O22" s="72">
        <f>O10*Assumptions!$G$52</f>
        <v>271029.62445431057</v>
      </c>
      <c r="P22" s="72">
        <f>P10*Assumptions!$G$52</f>
        <v>303748.21718426415</v>
      </c>
      <c r="Q22" s="72">
        <f>Q10*Assumptions!$G$52</f>
        <v>303482.30574302986</v>
      </c>
      <c r="R22" s="72">
        <f>R10*Assumptions!$G$52</f>
        <v>333088.72262414818</v>
      </c>
      <c r="S22" s="72">
        <f>S10*Assumptions!$G$52</f>
        <v>320490.52145759441</v>
      </c>
      <c r="T22" s="72">
        <f>T10*Assumptions!$G$52</f>
        <v>360627.38580909942</v>
      </c>
      <c r="U22" s="72">
        <f>U10*Assumptions!$G$52</f>
        <v>370857.23884439404</v>
      </c>
      <c r="V22" s="72">
        <f>V10*Assumptions!$G$52</f>
        <v>363281.72874675778</v>
      </c>
      <c r="W22" s="72">
        <f>W10*Assumptions!$G$52</f>
        <v>401041.78654451121</v>
      </c>
      <c r="X22" s="72">
        <f>X10*Assumptions!$G$52</f>
        <v>383934.17362127663</v>
      </c>
      <c r="Y22" s="72">
        <f>Y10*Assumptions!$G$52</f>
        <v>405277.49026603298</v>
      </c>
      <c r="Z22" s="72">
        <f>Z10*Assumptions!$G$52</f>
        <v>437591.65023497923</v>
      </c>
      <c r="AA22" s="72">
        <f>AA10*Assumptions!$G$52</f>
        <v>395515.81488250993</v>
      </c>
      <c r="AB22" s="72">
        <f>AB10*Assumptions!$G$52</f>
        <v>440469.58248868049</v>
      </c>
      <c r="AC22" s="72">
        <f>AC10*Assumptions!$G$52</f>
        <v>454018.68616067694</v>
      </c>
      <c r="AD22" s="72">
        <f>AD10*Assumptions!$G$52</f>
        <v>479016.30135115871</v>
      </c>
      <c r="AE22" s="72">
        <f>AE10*Assumptions!$G$52</f>
        <v>467257.40459571313</v>
      </c>
      <c r="AF22" s="72">
        <f>AF10*Assumptions!$G$52</f>
        <v>548430.54224365705</v>
      </c>
      <c r="AG22" s="72">
        <f>AG10*Assumptions!$G$52</f>
        <v>532322.90585487394</v>
      </c>
      <c r="AH22" s="72">
        <f>AH10*Assumptions!$G$52</f>
        <v>534448.66819270537</v>
      </c>
      <c r="AI22" s="72">
        <f>AI10*Assumptions!$G$52</f>
        <v>599936.93873470044</v>
      </c>
      <c r="AJ22" s="72">
        <f>AJ10*Assumptions!$G$52</f>
        <v>566086.32110000215</v>
      </c>
      <c r="AK22" s="72">
        <f>AK10*Assumptions!$G$52</f>
        <v>608488.23881625128</v>
      </c>
      <c r="AL22" s="72">
        <f>AL10*Assumptions!$G$52</f>
        <v>614656.30859257642</v>
      </c>
      <c r="AM22" s="72">
        <f>AM10*Assumptions!$G$52</f>
        <v>558435.62705857074</v>
      </c>
      <c r="AN22" s="72">
        <f>AN10*Assumptions!$G$52</f>
        <v>608898.62453970348</v>
      </c>
    </row>
    <row r="23" spans="1:41" x14ac:dyDescent="0.25">
      <c r="A23" t="str">
        <f>Assumptions!A53</f>
        <v>Water cost (per month)</v>
      </c>
      <c r="E23" s="65">
        <v>0</v>
      </c>
      <c r="F23" s="65">
        <v>0</v>
      </c>
      <c r="G23" s="65">
        <v>0</v>
      </c>
      <c r="H23" s="72">
        <f>Assumptions!$G$53</f>
        <v>10000</v>
      </c>
      <c r="I23" s="72">
        <f>H23</f>
        <v>10000</v>
      </c>
      <c r="J23" s="72">
        <f t="shared" ref="J23:S23" si="7">I23</f>
        <v>10000</v>
      </c>
      <c r="K23" s="72">
        <f t="shared" si="7"/>
        <v>10000</v>
      </c>
      <c r="L23" s="72">
        <f t="shared" si="7"/>
        <v>10000</v>
      </c>
      <c r="M23" s="72">
        <f t="shared" si="7"/>
        <v>10000</v>
      </c>
      <c r="N23" s="72">
        <f t="shared" si="7"/>
        <v>10000</v>
      </c>
      <c r="O23" s="72">
        <f t="shared" si="7"/>
        <v>10000</v>
      </c>
      <c r="P23" s="72">
        <f t="shared" si="7"/>
        <v>10000</v>
      </c>
      <c r="Q23" s="72">
        <f t="shared" si="7"/>
        <v>10000</v>
      </c>
      <c r="R23" s="72">
        <f t="shared" si="7"/>
        <v>10000</v>
      </c>
      <c r="S23" s="72">
        <f t="shared" si="7"/>
        <v>10000</v>
      </c>
      <c r="T23" s="72">
        <f>S23*(1+Assumptions!$G$61)</f>
        <v>10800</v>
      </c>
      <c r="U23" s="72">
        <f>T23</f>
        <v>10800</v>
      </c>
      <c r="V23" s="72">
        <f t="shared" ref="V23:AE23" si="8">U23</f>
        <v>10800</v>
      </c>
      <c r="W23" s="72">
        <f t="shared" si="8"/>
        <v>10800</v>
      </c>
      <c r="X23" s="72">
        <f t="shared" si="8"/>
        <v>10800</v>
      </c>
      <c r="Y23" s="72">
        <f t="shared" si="8"/>
        <v>10800</v>
      </c>
      <c r="Z23" s="72">
        <f t="shared" si="8"/>
        <v>10800</v>
      </c>
      <c r="AA23" s="72">
        <f t="shared" si="8"/>
        <v>10800</v>
      </c>
      <c r="AB23" s="72">
        <f t="shared" si="8"/>
        <v>10800</v>
      </c>
      <c r="AC23" s="72">
        <f t="shared" si="8"/>
        <v>10800</v>
      </c>
      <c r="AD23" s="72">
        <f t="shared" si="8"/>
        <v>10800</v>
      </c>
      <c r="AE23" s="72">
        <f t="shared" si="8"/>
        <v>10800</v>
      </c>
      <c r="AF23" s="72">
        <f>AE23*(1+Assumptions!$G$61)</f>
        <v>11664</v>
      </c>
      <c r="AG23" s="72">
        <f>AF23</f>
        <v>11664</v>
      </c>
      <c r="AH23" s="72">
        <f t="shared" ref="AH23:AN23" si="9">AG23</f>
        <v>11664</v>
      </c>
      <c r="AI23" s="72">
        <f t="shared" si="9"/>
        <v>11664</v>
      </c>
      <c r="AJ23" s="72">
        <f t="shared" si="9"/>
        <v>11664</v>
      </c>
      <c r="AK23" s="72">
        <f t="shared" si="9"/>
        <v>11664</v>
      </c>
      <c r="AL23" s="72">
        <f t="shared" si="9"/>
        <v>11664</v>
      </c>
      <c r="AM23" s="72">
        <f t="shared" si="9"/>
        <v>11664</v>
      </c>
      <c r="AN23" s="72">
        <f t="shared" si="9"/>
        <v>11664</v>
      </c>
    </row>
    <row r="24" spans="1:41" x14ac:dyDescent="0.25">
      <c r="A24" t="str">
        <f>Assumptions!A54</f>
        <v>Maintenance (per month)</v>
      </c>
      <c r="E24" s="65">
        <v>0</v>
      </c>
      <c r="F24" s="65">
        <v>0</v>
      </c>
      <c r="G24" s="65">
        <v>0</v>
      </c>
      <c r="H24" s="72">
        <f>Assumptions!$G$54</f>
        <v>50000</v>
      </c>
      <c r="I24" s="72">
        <f>H24</f>
        <v>50000</v>
      </c>
      <c r="J24" s="72">
        <f t="shared" ref="J24:S24" si="10">I24</f>
        <v>50000</v>
      </c>
      <c r="K24" s="72">
        <f t="shared" si="10"/>
        <v>50000</v>
      </c>
      <c r="L24" s="72">
        <f t="shared" si="10"/>
        <v>50000</v>
      </c>
      <c r="M24" s="72">
        <f t="shared" si="10"/>
        <v>50000</v>
      </c>
      <c r="N24" s="72">
        <f t="shared" si="10"/>
        <v>50000</v>
      </c>
      <c r="O24" s="72">
        <f t="shared" si="10"/>
        <v>50000</v>
      </c>
      <c r="P24" s="72">
        <f t="shared" si="10"/>
        <v>50000</v>
      </c>
      <c r="Q24" s="72">
        <f t="shared" si="10"/>
        <v>50000</v>
      </c>
      <c r="R24" s="72">
        <f t="shared" si="10"/>
        <v>50000</v>
      </c>
      <c r="S24" s="72">
        <f t="shared" si="10"/>
        <v>50000</v>
      </c>
      <c r="T24" s="72">
        <f>S24*(1+Assumptions!$G$61)</f>
        <v>54000</v>
      </c>
      <c r="U24" s="72">
        <f>T24</f>
        <v>54000</v>
      </c>
      <c r="V24" s="72">
        <f t="shared" ref="V24:AE24" si="11">U24</f>
        <v>54000</v>
      </c>
      <c r="W24" s="72">
        <f t="shared" si="11"/>
        <v>54000</v>
      </c>
      <c r="X24" s="72">
        <f t="shared" si="11"/>
        <v>54000</v>
      </c>
      <c r="Y24" s="72">
        <f t="shared" si="11"/>
        <v>54000</v>
      </c>
      <c r="Z24" s="72">
        <f t="shared" si="11"/>
        <v>54000</v>
      </c>
      <c r="AA24" s="72">
        <f t="shared" si="11"/>
        <v>54000</v>
      </c>
      <c r="AB24" s="72">
        <f t="shared" si="11"/>
        <v>54000</v>
      </c>
      <c r="AC24" s="72">
        <f t="shared" si="11"/>
        <v>54000</v>
      </c>
      <c r="AD24" s="72">
        <f t="shared" si="11"/>
        <v>54000</v>
      </c>
      <c r="AE24" s="72">
        <f t="shared" si="11"/>
        <v>54000</v>
      </c>
      <c r="AF24" s="72">
        <f>AE24*(1+Assumptions!$G$61)</f>
        <v>58320.000000000007</v>
      </c>
      <c r="AG24" s="72">
        <f>AF24</f>
        <v>58320.000000000007</v>
      </c>
      <c r="AH24" s="72">
        <f t="shared" ref="AH24:AN24" si="12">AG24</f>
        <v>58320.000000000007</v>
      </c>
      <c r="AI24" s="72">
        <f t="shared" si="12"/>
        <v>58320.000000000007</v>
      </c>
      <c r="AJ24" s="72">
        <f t="shared" si="12"/>
        <v>58320.000000000007</v>
      </c>
      <c r="AK24" s="72">
        <f t="shared" si="12"/>
        <v>58320.000000000007</v>
      </c>
      <c r="AL24" s="72">
        <f t="shared" si="12"/>
        <v>58320.000000000007</v>
      </c>
      <c r="AM24" s="72">
        <f t="shared" si="12"/>
        <v>58320.000000000007</v>
      </c>
      <c r="AN24" s="72">
        <f t="shared" si="12"/>
        <v>58320.000000000007</v>
      </c>
    </row>
    <row r="25" spans="1:41" x14ac:dyDescent="0.25">
      <c r="A25" t="str">
        <f>Assumptions!A55</f>
        <v>Marketing Cost (per month)</v>
      </c>
      <c r="E25" s="65">
        <v>0</v>
      </c>
      <c r="F25" s="65">
        <v>0</v>
      </c>
      <c r="G25" s="65">
        <v>0</v>
      </c>
      <c r="H25" s="72">
        <f>Assumptions!$G$55</f>
        <v>25000</v>
      </c>
      <c r="I25" s="72">
        <f>H25</f>
        <v>25000</v>
      </c>
      <c r="J25" s="72">
        <f t="shared" ref="J25:S25" si="13">I25</f>
        <v>25000</v>
      </c>
      <c r="K25" s="72">
        <f t="shared" si="13"/>
        <v>25000</v>
      </c>
      <c r="L25" s="72">
        <f t="shared" si="13"/>
        <v>25000</v>
      </c>
      <c r="M25" s="72">
        <f t="shared" si="13"/>
        <v>25000</v>
      </c>
      <c r="N25" s="72">
        <f t="shared" si="13"/>
        <v>25000</v>
      </c>
      <c r="O25" s="72">
        <f t="shared" si="13"/>
        <v>25000</v>
      </c>
      <c r="P25" s="72">
        <f t="shared" si="13"/>
        <v>25000</v>
      </c>
      <c r="Q25" s="72">
        <f t="shared" si="13"/>
        <v>25000</v>
      </c>
      <c r="R25" s="72">
        <f t="shared" si="13"/>
        <v>25000</v>
      </c>
      <c r="S25" s="72">
        <f t="shared" si="13"/>
        <v>25000</v>
      </c>
      <c r="T25" s="72">
        <f>S25*(1+Assumptions!$G$61)</f>
        <v>27000</v>
      </c>
      <c r="U25" s="72">
        <f>T25</f>
        <v>27000</v>
      </c>
      <c r="V25" s="72">
        <f t="shared" ref="V25:AE25" si="14">U25</f>
        <v>27000</v>
      </c>
      <c r="W25" s="72">
        <f t="shared" si="14"/>
        <v>27000</v>
      </c>
      <c r="X25" s="72">
        <f t="shared" si="14"/>
        <v>27000</v>
      </c>
      <c r="Y25" s="72">
        <f t="shared" si="14"/>
        <v>27000</v>
      </c>
      <c r="Z25" s="72">
        <f t="shared" si="14"/>
        <v>27000</v>
      </c>
      <c r="AA25" s="72">
        <f t="shared" si="14"/>
        <v>27000</v>
      </c>
      <c r="AB25" s="72">
        <f t="shared" si="14"/>
        <v>27000</v>
      </c>
      <c r="AC25" s="72">
        <f t="shared" si="14"/>
        <v>27000</v>
      </c>
      <c r="AD25" s="72">
        <f t="shared" si="14"/>
        <v>27000</v>
      </c>
      <c r="AE25" s="72">
        <f t="shared" si="14"/>
        <v>27000</v>
      </c>
      <c r="AF25" s="72">
        <f>AE25*(1+Assumptions!$G$61)</f>
        <v>29160.000000000004</v>
      </c>
      <c r="AG25" s="72">
        <f>AF25</f>
        <v>29160.000000000004</v>
      </c>
      <c r="AH25" s="72">
        <f t="shared" ref="AH25:AN25" si="15">AG25</f>
        <v>29160.000000000004</v>
      </c>
      <c r="AI25" s="72">
        <f t="shared" si="15"/>
        <v>29160.000000000004</v>
      </c>
      <c r="AJ25" s="72">
        <f t="shared" si="15"/>
        <v>29160.000000000004</v>
      </c>
      <c r="AK25" s="72">
        <f t="shared" si="15"/>
        <v>29160.000000000004</v>
      </c>
      <c r="AL25" s="72">
        <f t="shared" si="15"/>
        <v>29160.000000000004</v>
      </c>
      <c r="AM25" s="72">
        <f t="shared" si="15"/>
        <v>29160.000000000004</v>
      </c>
      <c r="AN25" s="72">
        <f t="shared" si="15"/>
        <v>29160.000000000004</v>
      </c>
    </row>
    <row r="26" spans="1:41" x14ac:dyDescent="0.25">
      <c r="A26" t="str">
        <f>Assumptions!A56</f>
        <v>Electricity (BAsed on Area Rs/sq.ft.)</v>
      </c>
      <c r="E26" s="65">
        <v>0</v>
      </c>
      <c r="F26" s="65">
        <v>0</v>
      </c>
      <c r="G26" s="65">
        <v>0</v>
      </c>
      <c r="H26" s="72">
        <f>Assumptions!$G$56*Assumptions!$G$66</f>
        <v>26600</v>
      </c>
      <c r="I26" s="72">
        <f>H26</f>
        <v>26600</v>
      </c>
      <c r="J26" s="72">
        <f t="shared" ref="J26:S26" si="16">I26</f>
        <v>26600</v>
      </c>
      <c r="K26" s="72">
        <f t="shared" si="16"/>
        <v>26600</v>
      </c>
      <c r="L26" s="72">
        <f t="shared" si="16"/>
        <v>26600</v>
      </c>
      <c r="M26" s="72">
        <f t="shared" si="16"/>
        <v>26600</v>
      </c>
      <c r="N26" s="72">
        <f t="shared" si="16"/>
        <v>26600</v>
      </c>
      <c r="O26" s="72">
        <f t="shared" si="16"/>
        <v>26600</v>
      </c>
      <c r="P26" s="72">
        <f t="shared" si="16"/>
        <v>26600</v>
      </c>
      <c r="Q26" s="72">
        <f t="shared" si="16"/>
        <v>26600</v>
      </c>
      <c r="R26" s="72">
        <f t="shared" si="16"/>
        <v>26600</v>
      </c>
      <c r="S26" s="72">
        <f t="shared" si="16"/>
        <v>26600</v>
      </c>
      <c r="T26" s="72">
        <f>S26*(1+Assumptions!$G$61)</f>
        <v>28728.000000000004</v>
      </c>
      <c r="U26" s="72">
        <f>T26</f>
        <v>28728.000000000004</v>
      </c>
      <c r="V26" s="72">
        <f t="shared" ref="V26:AE26" si="17">U26</f>
        <v>28728.000000000004</v>
      </c>
      <c r="W26" s="72">
        <f t="shared" si="17"/>
        <v>28728.000000000004</v>
      </c>
      <c r="X26" s="72">
        <f t="shared" si="17"/>
        <v>28728.000000000004</v>
      </c>
      <c r="Y26" s="72">
        <f t="shared" si="17"/>
        <v>28728.000000000004</v>
      </c>
      <c r="Z26" s="72">
        <f t="shared" si="17"/>
        <v>28728.000000000004</v>
      </c>
      <c r="AA26" s="72">
        <f t="shared" si="17"/>
        <v>28728.000000000004</v>
      </c>
      <c r="AB26" s="72">
        <f t="shared" si="17"/>
        <v>28728.000000000004</v>
      </c>
      <c r="AC26" s="72">
        <f t="shared" si="17"/>
        <v>28728.000000000004</v>
      </c>
      <c r="AD26" s="72">
        <f t="shared" si="17"/>
        <v>28728.000000000004</v>
      </c>
      <c r="AE26" s="72">
        <f t="shared" si="17"/>
        <v>28728.000000000004</v>
      </c>
      <c r="AF26" s="72">
        <f>AE26*(1+Assumptions!$G$61)</f>
        <v>31026.240000000005</v>
      </c>
      <c r="AG26" s="72">
        <f>AF26</f>
        <v>31026.240000000005</v>
      </c>
      <c r="AH26" s="72">
        <f t="shared" ref="AH26:AN26" si="18">AG26</f>
        <v>31026.240000000005</v>
      </c>
      <c r="AI26" s="72">
        <f t="shared" si="18"/>
        <v>31026.240000000005</v>
      </c>
      <c r="AJ26" s="72">
        <f t="shared" si="18"/>
        <v>31026.240000000005</v>
      </c>
      <c r="AK26" s="72">
        <f t="shared" si="18"/>
        <v>31026.240000000005</v>
      </c>
      <c r="AL26" s="72">
        <f t="shared" si="18"/>
        <v>31026.240000000005</v>
      </c>
      <c r="AM26" s="72">
        <f t="shared" si="18"/>
        <v>31026.240000000005</v>
      </c>
      <c r="AN26" s="72">
        <f t="shared" si="18"/>
        <v>31026.240000000005</v>
      </c>
    </row>
    <row r="27" spans="1:41" x14ac:dyDescent="0.25">
      <c r="A27" t="str">
        <f>Assumptions!A57</f>
        <v>Phone and Internet (per month)</v>
      </c>
      <c r="E27" s="65">
        <v>0</v>
      </c>
      <c r="F27" s="65">
        <v>0</v>
      </c>
      <c r="G27" s="65">
        <v>0</v>
      </c>
      <c r="H27" s="72">
        <f>Assumptions!$G$57</f>
        <v>15000</v>
      </c>
      <c r="I27" s="72">
        <f>H27</f>
        <v>15000</v>
      </c>
      <c r="J27" s="72">
        <f t="shared" ref="J27:S27" si="19">I27</f>
        <v>15000</v>
      </c>
      <c r="K27" s="72">
        <f t="shared" si="19"/>
        <v>15000</v>
      </c>
      <c r="L27" s="72">
        <f t="shared" si="19"/>
        <v>15000</v>
      </c>
      <c r="M27" s="72">
        <f t="shared" si="19"/>
        <v>15000</v>
      </c>
      <c r="N27" s="72">
        <f t="shared" si="19"/>
        <v>15000</v>
      </c>
      <c r="O27" s="72">
        <f t="shared" si="19"/>
        <v>15000</v>
      </c>
      <c r="P27" s="72">
        <f t="shared" si="19"/>
        <v>15000</v>
      </c>
      <c r="Q27" s="72">
        <f t="shared" si="19"/>
        <v>15000</v>
      </c>
      <c r="R27" s="72">
        <f t="shared" si="19"/>
        <v>15000</v>
      </c>
      <c r="S27" s="72">
        <f t="shared" si="19"/>
        <v>15000</v>
      </c>
      <c r="T27" s="72">
        <f>S27*(1+Assumptions!$G$61)</f>
        <v>16200.000000000002</v>
      </c>
      <c r="U27" s="72">
        <f>T27</f>
        <v>16200.000000000002</v>
      </c>
      <c r="V27" s="72">
        <f t="shared" ref="V27:AE27" si="20">U27</f>
        <v>16200.000000000002</v>
      </c>
      <c r="W27" s="72">
        <f t="shared" si="20"/>
        <v>16200.000000000002</v>
      </c>
      <c r="X27" s="72">
        <f t="shared" si="20"/>
        <v>16200.000000000002</v>
      </c>
      <c r="Y27" s="72">
        <f t="shared" si="20"/>
        <v>16200.000000000002</v>
      </c>
      <c r="Z27" s="72">
        <f t="shared" si="20"/>
        <v>16200.000000000002</v>
      </c>
      <c r="AA27" s="72">
        <f t="shared" si="20"/>
        <v>16200.000000000002</v>
      </c>
      <c r="AB27" s="72">
        <f t="shared" si="20"/>
        <v>16200.000000000002</v>
      </c>
      <c r="AC27" s="72">
        <f t="shared" si="20"/>
        <v>16200.000000000002</v>
      </c>
      <c r="AD27" s="72">
        <f t="shared" si="20"/>
        <v>16200.000000000002</v>
      </c>
      <c r="AE27" s="72">
        <f t="shared" si="20"/>
        <v>16200.000000000002</v>
      </c>
      <c r="AF27" s="72">
        <f>AE27*(1+Assumptions!$G$61)</f>
        <v>17496.000000000004</v>
      </c>
      <c r="AG27" s="72">
        <f>AF27</f>
        <v>17496.000000000004</v>
      </c>
      <c r="AH27" s="72">
        <f t="shared" ref="AH27:AN27" si="21">AG27</f>
        <v>17496.000000000004</v>
      </c>
      <c r="AI27" s="72">
        <f t="shared" si="21"/>
        <v>17496.000000000004</v>
      </c>
      <c r="AJ27" s="72">
        <f t="shared" si="21"/>
        <v>17496.000000000004</v>
      </c>
      <c r="AK27" s="72">
        <f t="shared" si="21"/>
        <v>17496.000000000004</v>
      </c>
      <c r="AL27" s="72">
        <f t="shared" si="21"/>
        <v>17496.000000000004</v>
      </c>
      <c r="AM27" s="72">
        <f t="shared" si="21"/>
        <v>17496.000000000004</v>
      </c>
      <c r="AN27" s="72">
        <f t="shared" si="21"/>
        <v>17496.000000000004</v>
      </c>
    </row>
    <row r="28" spans="1:41" x14ac:dyDescent="0.25">
      <c r="A28" t="str">
        <f>Assumptions!A58</f>
        <v>Housekeeping and consumables (% of Revenue)</v>
      </c>
      <c r="E28" s="65">
        <v>0</v>
      </c>
      <c r="F28" s="65">
        <v>0</v>
      </c>
      <c r="G28" s="65">
        <v>0</v>
      </c>
      <c r="H28" s="72">
        <f>H10*Assumptions!$G$58</f>
        <v>49128</v>
      </c>
      <c r="I28" s="72">
        <f>I10*Assumptions!$G$58</f>
        <v>51723.040000000001</v>
      </c>
      <c r="J28" s="72">
        <f>J10*Assumptions!$G$58</f>
        <v>50290.028800000007</v>
      </c>
      <c r="K28" s="72">
        <f>K10*Assumptions!$G$58</f>
        <v>53922.819456000005</v>
      </c>
      <c r="L28" s="72">
        <f>L10*Assumptions!$G$58</f>
        <v>53861.043444480005</v>
      </c>
      <c r="M28" s="72">
        <f>M10*Assumptions!$G$58</f>
        <v>56064.049129856008</v>
      </c>
      <c r="N28" s="72">
        <f>N10*Assumptions!$G$58</f>
        <v>59476.013206466043</v>
      </c>
      <c r="O28" s="72">
        <f>O10*Assumptions!$G$58</f>
        <v>54205.924890862108</v>
      </c>
      <c r="P28" s="72">
        <f>P10*Assumptions!$G$58</f>
        <v>60749.643436852828</v>
      </c>
      <c r="Q28" s="72">
        <f>Q10*Assumptions!$G$58</f>
        <v>60696.461148605973</v>
      </c>
      <c r="R28" s="72">
        <f>R10*Assumptions!$G$58</f>
        <v>66617.744524829628</v>
      </c>
      <c r="S28" s="72">
        <f>S10*Assumptions!$G$58</f>
        <v>64098.104291518881</v>
      </c>
      <c r="T28" s="72">
        <f>T10*Assumptions!$G$58</f>
        <v>72125.477161819887</v>
      </c>
      <c r="U28" s="72">
        <f>U10*Assumptions!$G$58</f>
        <v>74171.447768878803</v>
      </c>
      <c r="V28" s="72">
        <f>V10*Assumptions!$G$58</f>
        <v>72656.345749351545</v>
      </c>
      <c r="W28" s="72">
        <f>W10*Assumptions!$G$58</f>
        <v>80208.357308902239</v>
      </c>
      <c r="X28" s="72">
        <f>X10*Assumptions!$G$58</f>
        <v>76786.834724255328</v>
      </c>
      <c r="Y28" s="72">
        <f>Y10*Assumptions!$G$58</f>
        <v>81055.498053206597</v>
      </c>
      <c r="Z28" s="72">
        <f>Z10*Assumptions!$G$58</f>
        <v>87518.330046995849</v>
      </c>
      <c r="AA28" s="72">
        <f>AA10*Assumptions!$G$58</f>
        <v>79103.16297650199</v>
      </c>
      <c r="AB28" s="72">
        <f>AB10*Assumptions!$G$58</f>
        <v>88093.916497736092</v>
      </c>
      <c r="AC28" s="72">
        <f>AC10*Assumptions!$G$58</f>
        <v>90803.737232135391</v>
      </c>
      <c r="AD28" s="72">
        <f>AD10*Assumptions!$G$58</f>
        <v>95803.260270231738</v>
      </c>
      <c r="AE28" s="72">
        <f>AE10*Assumptions!$G$58</f>
        <v>93451.480919142632</v>
      </c>
      <c r="AF28" s="72">
        <f>AF10*Assumptions!$G$58</f>
        <v>109686.10844873142</v>
      </c>
      <c r="AG28" s="72">
        <f>AG10*Assumptions!$G$58</f>
        <v>106464.58117097478</v>
      </c>
      <c r="AH28" s="72">
        <f>AH10*Assumptions!$G$58</f>
        <v>106889.73363854107</v>
      </c>
      <c r="AI28" s="72">
        <f>AI10*Assumptions!$G$58</f>
        <v>119987.38774694009</v>
      </c>
      <c r="AJ28" s="72">
        <f>AJ10*Assumptions!$G$58</f>
        <v>113217.26422000043</v>
      </c>
      <c r="AK28" s="72">
        <f>AK10*Assumptions!$G$58</f>
        <v>121697.64776325025</v>
      </c>
      <c r="AL28" s="72">
        <f>AL10*Assumptions!$G$58</f>
        <v>122931.26171851528</v>
      </c>
      <c r="AM28" s="72">
        <f>AM10*Assumptions!$G$58</f>
        <v>111687.12541171415</v>
      </c>
      <c r="AN28" s="72">
        <f>AN10*Assumptions!$G$58</f>
        <v>121779.7249079407</v>
      </c>
    </row>
    <row r="29" spans="1:41" x14ac:dyDescent="0.25">
      <c r="A29" t="str">
        <f>Assumptions!A59</f>
        <v>Payment settlement charges (% of Revenue)</v>
      </c>
      <c r="E29" s="72">
        <f>(E10*Assumptions!$G$60)*Assumptions!$G$59</f>
        <v>0</v>
      </c>
      <c r="F29" s="72">
        <f>(F10*Assumptions!$G$60)*Assumptions!$G$59</f>
        <v>0</v>
      </c>
      <c r="G29" s="72">
        <f>(G10*Assumptions!$G$60)*Assumptions!$G$59</f>
        <v>0</v>
      </c>
      <c r="H29" s="72">
        <f>(H10*Assumptions!$G$60)*Assumptions!$G$59</f>
        <v>18423</v>
      </c>
      <c r="I29" s="72">
        <f>(I10*Assumptions!$G$60)*Assumptions!$G$59</f>
        <v>19396.14</v>
      </c>
      <c r="J29" s="72">
        <f>(J10*Assumptions!$G$60)*Assumptions!$G$59</f>
        <v>18858.760800000004</v>
      </c>
      <c r="K29" s="72">
        <f>(K10*Assumptions!$G$60)*Assumptions!$G$59</f>
        <v>20221.057295999999</v>
      </c>
      <c r="L29" s="72">
        <f>(L10*Assumptions!$G$60)*Assumptions!$G$59</f>
        <v>20197.89129168</v>
      </c>
      <c r="M29" s="72">
        <f>(M10*Assumptions!$G$60)*Assumptions!$G$59</f>
        <v>21024.018423696001</v>
      </c>
      <c r="N29" s="72">
        <f>(N10*Assumptions!$G$60)*Assumptions!$G$59</f>
        <v>22303.504952424766</v>
      </c>
      <c r="O29" s="72">
        <f>(O10*Assumptions!$G$60)*Assumptions!$G$59</f>
        <v>20327.221834073291</v>
      </c>
      <c r="P29" s="72">
        <f>(P10*Assumptions!$G$60)*Assumptions!$G$59</f>
        <v>22781.116288819809</v>
      </c>
      <c r="Q29" s="72">
        <f>(Q10*Assumptions!$G$60)*Assumptions!$G$59</f>
        <v>22761.17293072724</v>
      </c>
      <c r="R29" s="72">
        <f>(R10*Assumptions!$G$60)*Assumptions!$G$59</f>
        <v>24981.654196811109</v>
      </c>
      <c r="S29" s="72">
        <f>(S10*Assumptions!$G$60)*Assumptions!$G$59</f>
        <v>24036.789109319579</v>
      </c>
      <c r="T29" s="72">
        <f>(T10*Assumptions!$G$60)*Assumptions!$G$59</f>
        <v>27047.053935682452</v>
      </c>
      <c r="U29" s="72">
        <f>(U10*Assumptions!$G$60)*Assumptions!$G$59</f>
        <v>27814.292913329551</v>
      </c>
      <c r="V29" s="72">
        <f>(V10*Assumptions!$G$60)*Assumptions!$G$59</f>
        <v>27246.129656006829</v>
      </c>
      <c r="W29" s="72">
        <f>(W10*Assumptions!$G$60)*Assumptions!$G$59</f>
        <v>30078.133990838338</v>
      </c>
      <c r="X29" s="72">
        <f>(X10*Assumptions!$G$60)*Assumptions!$G$59</f>
        <v>28795.063021595746</v>
      </c>
      <c r="Y29" s="72">
        <f>(Y10*Assumptions!$G$60)*Assumptions!$G$59</f>
        <v>30395.811769952474</v>
      </c>
      <c r="Z29" s="72">
        <f>(Z10*Assumptions!$G$60)*Assumptions!$G$59</f>
        <v>32819.373767623438</v>
      </c>
      <c r="AA29" s="72">
        <f>(AA10*Assumptions!$G$60)*Assumptions!$G$59</f>
        <v>29663.686116188244</v>
      </c>
      <c r="AB29" s="72">
        <f>(AB10*Assumptions!$G$60)*Assumptions!$G$59</f>
        <v>33035.218686651031</v>
      </c>
      <c r="AC29" s="72">
        <f>(AC10*Assumptions!$G$60)*Assumptions!$G$59</f>
        <v>34051.401462050766</v>
      </c>
      <c r="AD29" s="72">
        <f>(AD10*Assumptions!$G$60)*Assumptions!$G$59</f>
        <v>35926.2226013369</v>
      </c>
      <c r="AE29" s="72">
        <f>(AE10*Assumptions!$G$60)*Assumptions!$G$59</f>
        <v>35044.305344678483</v>
      </c>
      <c r="AF29" s="72">
        <f>(AF10*Assumptions!$G$60)*Assumptions!$G$59</f>
        <v>41132.290668274276</v>
      </c>
      <c r="AG29" s="72">
        <f>(AG10*Assumptions!$G$60)*Assumptions!$G$59</f>
        <v>39924.217939115544</v>
      </c>
      <c r="AH29" s="72">
        <f>(AH10*Assumptions!$G$60)*Assumptions!$G$59</f>
        <v>40083.650114452896</v>
      </c>
      <c r="AI29" s="72">
        <f>(AI10*Assumptions!$G$60)*Assumptions!$G$59</f>
        <v>44995.270405102528</v>
      </c>
      <c r="AJ29" s="72">
        <f>(AJ10*Assumptions!$G$60)*Assumptions!$G$59</f>
        <v>42456.474082500157</v>
      </c>
      <c r="AK29" s="72">
        <f>(AK10*Assumptions!$G$60)*Assumptions!$G$59</f>
        <v>45636.61791121884</v>
      </c>
      <c r="AL29" s="72">
        <f>(AL10*Assumptions!$G$60)*Assumptions!$G$59</f>
        <v>46099.223144443225</v>
      </c>
      <c r="AM29" s="72">
        <f>(AM10*Assumptions!$G$60)*Assumptions!$G$59</f>
        <v>41882.672029392801</v>
      </c>
      <c r="AN29" s="72">
        <f>(AN10*Assumptions!$G$60)*Assumptions!$G$59</f>
        <v>45667.396840477762</v>
      </c>
      <c r="AO29" s="72"/>
    </row>
    <row r="30" spans="1:41" x14ac:dyDescent="0.25">
      <c r="A30" s="100" t="s">
        <v>156</v>
      </c>
      <c r="B30" s="88"/>
      <c r="C30" s="88"/>
      <c r="D30" s="88"/>
      <c r="E30" s="89">
        <f>SUM(E20:E29)</f>
        <v>0</v>
      </c>
      <c r="F30" s="89">
        <f t="shared" ref="F30:AN30" si="22">SUM(F20:F29)</f>
        <v>0</v>
      </c>
      <c r="G30" s="89">
        <f t="shared" si="22"/>
        <v>0</v>
      </c>
      <c r="H30" s="89">
        <f t="shared" si="22"/>
        <v>942611</v>
      </c>
      <c r="I30" s="89">
        <f t="shared" si="22"/>
        <v>965641.9800000001</v>
      </c>
      <c r="J30" s="89">
        <f t="shared" si="22"/>
        <v>952924.00560000015</v>
      </c>
      <c r="K30" s="89">
        <f t="shared" si="22"/>
        <v>985165.02267199999</v>
      </c>
      <c r="L30" s="89">
        <f t="shared" si="22"/>
        <v>984616.76056976011</v>
      </c>
      <c r="M30" s="89">
        <f t="shared" si="22"/>
        <v>1004168.4360274721</v>
      </c>
      <c r="N30" s="89">
        <f t="shared" si="22"/>
        <v>1034449.6172073862</v>
      </c>
      <c r="O30" s="89">
        <f t="shared" si="22"/>
        <v>987677.58340640133</v>
      </c>
      <c r="P30" s="89">
        <f t="shared" si="22"/>
        <v>1045753.085502069</v>
      </c>
      <c r="Q30" s="89">
        <f t="shared" si="22"/>
        <v>1045281.0926938779</v>
      </c>
      <c r="R30" s="89">
        <f t="shared" si="22"/>
        <v>1097832.4826578631</v>
      </c>
      <c r="S30" s="89">
        <f t="shared" si="22"/>
        <v>1075470.6755872301</v>
      </c>
      <c r="T30" s="89">
        <f t="shared" si="22"/>
        <v>1187241.6098111514</v>
      </c>
      <c r="U30" s="89">
        <f t="shared" si="22"/>
        <v>1205399.5989487995</v>
      </c>
      <c r="V30" s="89">
        <f t="shared" si="22"/>
        <v>1191953.0685254952</v>
      </c>
      <c r="W30" s="89">
        <f t="shared" si="22"/>
        <v>1258977.1711165074</v>
      </c>
      <c r="X30" s="89">
        <f t="shared" si="22"/>
        <v>1228611.1581777663</v>
      </c>
      <c r="Y30" s="89">
        <f t="shared" si="22"/>
        <v>1266495.5452222086</v>
      </c>
      <c r="Z30" s="89">
        <f t="shared" si="22"/>
        <v>1323853.1791670881</v>
      </c>
      <c r="AA30" s="89">
        <f t="shared" si="22"/>
        <v>1249168.5714164551</v>
      </c>
      <c r="AB30" s="89">
        <f t="shared" si="22"/>
        <v>1328961.5089174078</v>
      </c>
      <c r="AC30" s="89">
        <f t="shared" si="22"/>
        <v>1353011.1679352017</v>
      </c>
      <c r="AD30" s="89">
        <f t="shared" si="22"/>
        <v>1397381.9348983066</v>
      </c>
      <c r="AE30" s="89">
        <f t="shared" si="22"/>
        <v>1376509.8931573909</v>
      </c>
      <c r="AF30" s="89">
        <f t="shared" si="22"/>
        <v>1564362.4524824913</v>
      </c>
      <c r="AG30" s="89">
        <f t="shared" si="22"/>
        <v>1535771.3978924013</v>
      </c>
      <c r="AH30" s="89">
        <f t="shared" si="22"/>
        <v>1539544.6260420522</v>
      </c>
      <c r="AI30" s="89">
        <f t="shared" si="22"/>
        <v>1655786.3062540933</v>
      </c>
      <c r="AJ30" s="89">
        <f t="shared" si="22"/>
        <v>1595701.4599525039</v>
      </c>
      <c r="AK30" s="89">
        <f t="shared" si="22"/>
        <v>1670964.8638988461</v>
      </c>
      <c r="AL30" s="89">
        <f t="shared" si="22"/>
        <v>1681913.1877518233</v>
      </c>
      <c r="AM30" s="89">
        <f t="shared" si="22"/>
        <v>1582121.4780289631</v>
      </c>
      <c r="AN30" s="89">
        <f t="shared" si="22"/>
        <v>1671693.2985579737</v>
      </c>
    </row>
    <row r="31" spans="1:41" ht="15.75" thickBot="1" x14ac:dyDescent="0.3"/>
    <row r="32" spans="1:41" ht="15.75" thickBot="1" x14ac:dyDescent="0.3">
      <c r="A32" s="102" t="s">
        <v>157</v>
      </c>
      <c r="B32" s="103"/>
      <c r="C32" s="103"/>
      <c r="D32" s="103"/>
      <c r="E32" s="104">
        <f>E10-(E17+E30)</f>
        <v>0</v>
      </c>
      <c r="F32" s="104">
        <f t="shared" ref="F32:AN32" si="23">F10-(F17+F30)</f>
        <v>0</v>
      </c>
      <c r="G32" s="104">
        <f t="shared" si="23"/>
        <v>0</v>
      </c>
      <c r="H32" s="104">
        <f t="shared" si="23"/>
        <v>-272311</v>
      </c>
      <c r="I32" s="104">
        <f t="shared" si="23"/>
        <v>-208714.37999999989</v>
      </c>
      <c r="J32" s="104">
        <f t="shared" si="23"/>
        <v>-243649.36559999967</v>
      </c>
      <c r="K32" s="104">
        <f t="shared" si="23"/>
        <v>-153797.71547199972</v>
      </c>
      <c r="L32" s="104">
        <f t="shared" si="23"/>
        <v>-155512.9759201603</v>
      </c>
      <c r="M32" s="104">
        <f t="shared" si="23"/>
        <v>-100289.71144615998</v>
      </c>
      <c r="N32" s="104">
        <f t="shared" si="23"/>
        <v>-16570.115366440266</v>
      </c>
      <c r="O32" s="104">
        <f t="shared" si="23"/>
        <v>-146921.45346752461</v>
      </c>
      <c r="P32" s="104">
        <f t="shared" si="23"/>
        <v>15898.567152683157</v>
      </c>
      <c r="Q32" s="104">
        <f t="shared" si="23"/>
        <v>14383.002404787578</v>
      </c>
      <c r="R32" s="104">
        <f t="shared" si="23"/>
        <v>160393.44755617948</v>
      </c>
      <c r="S32" s="104">
        <f t="shared" si="23"/>
        <v>98712.850146326236</v>
      </c>
      <c r="T32" s="104">
        <f t="shared" si="23"/>
        <v>177868.38252352225</v>
      </c>
      <c r="U32" s="104">
        <f t="shared" si="23"/>
        <v>228562.8105135886</v>
      </c>
      <c r="V32" s="104">
        <f t="shared" si="23"/>
        <v>191353.18414755631</v>
      </c>
      <c r="W32" s="104">
        <f t="shared" si="23"/>
        <v>377522.46926137432</v>
      </c>
      <c r="X32" s="104">
        <f t="shared" si="23"/>
        <v>293712.73070627591</v>
      </c>
      <c r="Y32" s="104">
        <f t="shared" si="23"/>
        <v>399763.46101627499</v>
      </c>
      <c r="Z32" s="104">
        <f t="shared" si="23"/>
        <v>558557.80346478708</v>
      </c>
      <c r="AA32" s="104">
        <f t="shared" si="23"/>
        <v>350534.11888374155</v>
      </c>
      <c r="AB32" s="104">
        <f t="shared" si="23"/>
        <v>574176.5939984126</v>
      </c>
      <c r="AC32" s="104">
        <f t="shared" si="23"/>
        <v>640279.32916831877</v>
      </c>
      <c r="AD32" s="104">
        <f t="shared" si="23"/>
        <v>764431.98285155604</v>
      </c>
      <c r="AE32" s="104">
        <f t="shared" si="23"/>
        <v>706605.75824198034</v>
      </c>
      <c r="AF32" s="104">
        <f t="shared" si="23"/>
        <v>978670.32744206488</v>
      </c>
      <c r="AG32" s="104">
        <f t="shared" si="23"/>
        <v>900544.66372387297</v>
      </c>
      <c r="AH32" s="104">
        <f t="shared" si="23"/>
        <v>910714.75639836118</v>
      </c>
      <c r="AI32" s="104">
        <f t="shared" si="23"/>
        <v>1233696.9492805665</v>
      </c>
      <c r="AJ32" s="104">
        <f t="shared" si="23"/>
        <v>1067441.0505806496</v>
      </c>
      <c r="AK32" s="104">
        <f t="shared" si="23"/>
        <v>1277121.2537590079</v>
      </c>
      <c r="AL32" s="104">
        <f t="shared" si="23"/>
        <v>1307850.4740091888</v>
      </c>
      <c r="AM32" s="104">
        <f t="shared" si="23"/>
        <v>1029247.5712857926</v>
      </c>
      <c r="AN32" s="105">
        <f t="shared" si="23"/>
        <v>1280653.3789882353</v>
      </c>
    </row>
    <row r="34" spans="1:40" x14ac:dyDescent="0.25">
      <c r="A34" t="s">
        <v>158</v>
      </c>
      <c r="E34" s="106" t="e">
        <f>E32/E10</f>
        <v>#DIV/0!</v>
      </c>
      <c r="F34" s="106" t="e">
        <f t="shared" ref="F34:AN34" si="24">F32/F10</f>
        <v>#DIV/0!</v>
      </c>
      <c r="G34" s="106" t="e">
        <f t="shared" si="24"/>
        <v>#DIV/0!</v>
      </c>
      <c r="H34" s="106">
        <f t="shared" si="24"/>
        <v>-0.1108577593225859</v>
      </c>
      <c r="I34" s="106">
        <f t="shared" si="24"/>
        <v>-8.070460668978463E-2</v>
      </c>
      <c r="J34" s="106">
        <f t="shared" si="24"/>
        <v>-9.6897683860542802E-2</v>
      </c>
      <c r="K34" s="106">
        <f t="shared" si="24"/>
        <v>-5.7043647577625547E-2</v>
      </c>
      <c r="L34" s="106">
        <f t="shared" si="24"/>
        <v>-5.7745994498032027E-2</v>
      </c>
      <c r="M34" s="106">
        <f t="shared" si="24"/>
        <v>-3.5776834888920757E-2</v>
      </c>
      <c r="N34" s="106">
        <f t="shared" si="24"/>
        <v>-5.572032983757161E-3</v>
      </c>
      <c r="O34" s="106">
        <f t="shared" si="24"/>
        <v>-5.4208632640559279E-2</v>
      </c>
      <c r="P34" s="106">
        <f t="shared" si="24"/>
        <v>5.2341269028876435E-3</v>
      </c>
      <c r="Q34" s="106">
        <f t="shared" si="24"/>
        <v>4.7393215790861361E-3</v>
      </c>
      <c r="R34" s="106">
        <f t="shared" si="24"/>
        <v>4.8153370757365692E-2</v>
      </c>
      <c r="S34" s="106">
        <f t="shared" si="24"/>
        <v>3.0800552134078448E-2</v>
      </c>
      <c r="T34" s="106">
        <f t="shared" si="24"/>
        <v>4.9321928817041671E-2</v>
      </c>
      <c r="U34" s="106">
        <f t="shared" si="24"/>
        <v>6.1630942199159829E-2</v>
      </c>
      <c r="V34" s="106">
        <f t="shared" si="24"/>
        <v>5.2673495253307348E-2</v>
      </c>
      <c r="W34" s="106">
        <f t="shared" si="24"/>
        <v>9.4135444716176353E-2</v>
      </c>
      <c r="X34" s="106">
        <f t="shared" si="24"/>
        <v>7.6500804274850079E-2</v>
      </c>
      <c r="Y34" s="106">
        <f t="shared" si="24"/>
        <v>9.863944349681536E-2</v>
      </c>
      <c r="Z34" s="106">
        <f t="shared" si="24"/>
        <v>0.12764361549514283</v>
      </c>
      <c r="AA34" s="106">
        <f t="shared" si="24"/>
        <v>8.862708030723615E-2</v>
      </c>
      <c r="AB34" s="106">
        <f t="shared" si="24"/>
        <v>0.13035556070734311</v>
      </c>
      <c r="AC34" s="106">
        <f t="shared" si="24"/>
        <v>0.14102488480875527</v>
      </c>
      <c r="AD34" s="106">
        <f t="shared" si="24"/>
        <v>0.15958370950953588</v>
      </c>
      <c r="AE34" s="106">
        <f t="shared" si="24"/>
        <v>0.15122409003948464</v>
      </c>
      <c r="AF34" s="106">
        <f t="shared" si="24"/>
        <v>0.17844927516951831</v>
      </c>
      <c r="AG34" s="106">
        <f t="shared" si="24"/>
        <v>0.16917263071324354</v>
      </c>
      <c r="AH34" s="106">
        <f t="shared" si="24"/>
        <v>0.1704026617706878</v>
      </c>
      <c r="AI34" s="106">
        <f t="shared" si="24"/>
        <v>0.20563777117683407</v>
      </c>
      <c r="AJ34" s="106">
        <f t="shared" si="24"/>
        <v>0.18856506698597306</v>
      </c>
      <c r="AK34" s="106">
        <f t="shared" si="24"/>
        <v>0.20988429558531987</v>
      </c>
      <c r="AL34" s="106">
        <f t="shared" si="24"/>
        <v>0.21277752391476629</v>
      </c>
      <c r="AM34" s="106">
        <f t="shared" si="24"/>
        <v>0.18430908083481598</v>
      </c>
      <c r="AN34" s="106">
        <f t="shared" si="24"/>
        <v>0.21032292197348029</v>
      </c>
    </row>
    <row r="36" spans="1:40" s="96" customFormat="1" x14ac:dyDescent="0.25">
      <c r="A36" s="97" t="s">
        <v>150</v>
      </c>
      <c r="B36" s="95"/>
      <c r="C36" s="95"/>
      <c r="D36" s="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7"/>
  <sheetViews>
    <sheetView workbookViewId="0">
      <selection activeCell="C14" sqref="C14"/>
    </sheetView>
  </sheetViews>
  <sheetFormatPr defaultRowHeight="15" x14ac:dyDescent="0.25"/>
  <cols>
    <col min="1" max="1" width="30" bestFit="1" customWidth="1"/>
    <col min="2" max="2" width="10.42578125" bestFit="1" customWidth="1"/>
    <col min="3" max="3" width="9.5703125" bestFit="1" customWidth="1"/>
  </cols>
  <sheetData>
    <row r="1" spans="1:3" x14ac:dyDescent="0.25">
      <c r="A1" s="8" t="s">
        <v>102</v>
      </c>
      <c r="B1" s="61" t="str">
        <f>Converter!C1</f>
        <v>Lakhs</v>
      </c>
    </row>
    <row r="3" spans="1:3" x14ac:dyDescent="0.25">
      <c r="C3" s="63" t="s">
        <v>139</v>
      </c>
    </row>
    <row r="4" spans="1:3" x14ac:dyDescent="0.25">
      <c r="C4" s="64">
        <f>EOMONTH(Assumptions!G3,0)</f>
        <v>43951</v>
      </c>
    </row>
    <row r="6" spans="1:3" x14ac:dyDescent="0.25">
      <c r="A6" s="71" t="s">
        <v>160</v>
      </c>
    </row>
    <row r="7" spans="1:3" x14ac:dyDescent="0.25">
      <c r="A7" t="str">
        <f>Assumptions!A77</f>
        <v>Kitchen Equipments and Cutlery</v>
      </c>
      <c r="C7">
        <f>Assumptions!$G$69*Assumptions!$G$77</f>
        <v>3000000</v>
      </c>
    </row>
    <row r="8" spans="1:3" x14ac:dyDescent="0.25">
      <c r="A8" t="str">
        <f>Assumptions!A78</f>
        <v>Refrgeration Equipments</v>
      </c>
      <c r="C8">
        <f>Assumptions!$G$78*Assumptions!$G$69</f>
        <v>5000000</v>
      </c>
    </row>
    <row r="9" spans="1:3" x14ac:dyDescent="0.25">
      <c r="A9" t="str">
        <f>Assumptions!A79</f>
        <v>Furniture and Fixtures</v>
      </c>
      <c r="C9">
        <f>Assumptions!$G$68*Assumptions!$G$79</f>
        <v>5100000</v>
      </c>
    </row>
    <row r="10" spans="1:3" x14ac:dyDescent="0.25">
      <c r="A10" t="str">
        <f>Assumptions!A80</f>
        <v>Restraurants Decore</v>
      </c>
      <c r="C10">
        <f>Assumptions!$G$80*Assumptions!$G$68</f>
        <v>6000000</v>
      </c>
    </row>
    <row r="11" spans="1:3" x14ac:dyDescent="0.25">
      <c r="A11" s="108" t="s">
        <v>39</v>
      </c>
      <c r="B11" s="108"/>
      <c r="C11" s="108">
        <f>SUM(C7:C10)</f>
        <v>19100000</v>
      </c>
    </row>
    <row r="12" spans="1:3" x14ac:dyDescent="0.25">
      <c r="A12" t="str">
        <f>Assumptions!A81</f>
        <v>Rent Deposits</v>
      </c>
      <c r="C12">
        <f>Assumptions!$G$81</f>
        <v>1000000</v>
      </c>
    </row>
    <row r="13" spans="1:3" x14ac:dyDescent="0.25">
      <c r="A13" s="110" t="s">
        <v>39</v>
      </c>
      <c r="B13" s="108"/>
      <c r="C13" s="109">
        <f>SUM(C11:C12)</f>
        <v>20100000</v>
      </c>
    </row>
    <row r="14" spans="1:3" x14ac:dyDescent="0.25">
      <c r="A14" t="s">
        <v>161</v>
      </c>
      <c r="C14">
        <f>Assumptions!$G$85</f>
        <v>2400000</v>
      </c>
    </row>
    <row r="16" spans="1:3" x14ac:dyDescent="0.25">
      <c r="A16" s="110" t="s">
        <v>162</v>
      </c>
      <c r="B16" s="111"/>
      <c r="C16" s="112">
        <f>SUM(C13,C14)</f>
        <v>22500000</v>
      </c>
    </row>
    <row r="17" spans="1:6" x14ac:dyDescent="0.25">
      <c r="F17" t="s">
        <v>166</v>
      </c>
    </row>
    <row r="18" spans="1:6" x14ac:dyDescent="0.25">
      <c r="A18" s="71" t="s">
        <v>163</v>
      </c>
    </row>
    <row r="19" spans="1:6" x14ac:dyDescent="0.25">
      <c r="A19" t="s">
        <v>164</v>
      </c>
      <c r="B19" s="113">
        <f>Assumptions!$G$98</f>
        <v>1</v>
      </c>
      <c r="C19">
        <f>C16*B19</f>
        <v>22500000</v>
      </c>
    </row>
    <row r="20" spans="1:6" x14ac:dyDescent="0.25">
      <c r="A20" t="s">
        <v>87</v>
      </c>
      <c r="B20" s="113">
        <f>Assumptions!$G$99</f>
        <v>0</v>
      </c>
      <c r="C20">
        <f>C16*B20</f>
        <v>0</v>
      </c>
    </row>
    <row r="22" spans="1:6" x14ac:dyDescent="0.25">
      <c r="A22" s="110" t="s">
        <v>165</v>
      </c>
      <c r="B22" s="108"/>
      <c r="C22" s="109">
        <f>C19+C20</f>
        <v>22500000</v>
      </c>
    </row>
    <row r="24" spans="1:6" s="96" customFormat="1" x14ac:dyDescent="0.25">
      <c r="A24" s="97" t="s">
        <v>150</v>
      </c>
      <c r="B24" s="95"/>
      <c r="C24" s="95"/>
      <c r="D24" s="95"/>
    </row>
    <row r="356" spans="1:2" x14ac:dyDescent="0.25">
      <c r="A356" s="8"/>
      <c r="B356" s="61"/>
    </row>
    <row r="357" spans="1:2" x14ac:dyDescent="0.25">
      <c r="A357" s="8"/>
      <c r="B357" s="6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workbookViewId="0">
      <selection activeCell="B1" sqref="B1"/>
    </sheetView>
  </sheetViews>
  <sheetFormatPr defaultRowHeight="15" x14ac:dyDescent="0.25"/>
  <cols>
    <col min="1" max="1" width="30" bestFit="1" customWidth="1"/>
    <col min="2" max="2" width="10.42578125" bestFit="1" customWidth="1"/>
    <col min="5" max="5" width="17.28515625" style="65" bestFit="1" customWidth="1"/>
    <col min="6" max="6" width="17.7109375" style="65" customWidth="1"/>
    <col min="7" max="7" width="16" style="65" customWidth="1"/>
    <col min="8" max="16384" width="9.140625" style="65"/>
  </cols>
  <sheetData>
    <row r="1" spans="1:7" customFormat="1" x14ac:dyDescent="0.25">
      <c r="A1" s="8" t="s">
        <v>102</v>
      </c>
      <c r="B1" s="61" t="str">
        <f>Converter!C1</f>
        <v>Lakhs</v>
      </c>
    </row>
    <row r="2" spans="1:7" customFormat="1" x14ac:dyDescent="0.25">
      <c r="E2" s="68" t="s">
        <v>140</v>
      </c>
      <c r="F2" s="68" t="s">
        <v>141</v>
      </c>
      <c r="G2" s="68" t="s">
        <v>142</v>
      </c>
    </row>
    <row r="3" spans="1:7" customFormat="1" x14ac:dyDescent="0.25">
      <c r="E3" s="69">
        <f>EOMONTH(Assumptions!G3,11)</f>
        <v>44286</v>
      </c>
      <c r="F3" s="69">
        <f>EOMONTH(E3,12)</f>
        <v>44651</v>
      </c>
      <c r="G3" s="69">
        <f>EOMONTH(F3,12)</f>
        <v>45016</v>
      </c>
    </row>
    <row r="4" spans="1:7" x14ac:dyDescent="0.25">
      <c r="A4" s="71" t="str">
        <f>'Capital Structure'!$A$7</f>
        <v>Kitchen Equipments and Cutlery</v>
      </c>
    </row>
    <row r="5" spans="1:7" x14ac:dyDescent="0.25">
      <c r="A5" t="s">
        <v>167</v>
      </c>
      <c r="E5" s="72">
        <v>0</v>
      </c>
      <c r="F5" s="72">
        <f>E9</f>
        <v>2663424.6575342463</v>
      </c>
      <c r="G5" s="72">
        <f>F9</f>
        <v>2364610.3021204728</v>
      </c>
    </row>
    <row r="6" spans="1:7" x14ac:dyDescent="0.25">
      <c r="A6" t="s">
        <v>168</v>
      </c>
      <c r="E6" s="72">
        <f>'Capital Structure'!$C$7</f>
        <v>3000000</v>
      </c>
      <c r="F6" s="72">
        <v>0</v>
      </c>
      <c r="G6" s="72">
        <v>0</v>
      </c>
    </row>
    <row r="7" spans="1:7" x14ac:dyDescent="0.25">
      <c r="A7" t="s">
        <v>169</v>
      </c>
      <c r="E7" s="72">
        <v>0</v>
      </c>
      <c r="F7" s="72">
        <v>0</v>
      </c>
      <c r="G7" s="72">
        <v>0</v>
      </c>
    </row>
    <row r="8" spans="1:7" x14ac:dyDescent="0.25">
      <c r="A8" t="s">
        <v>170</v>
      </c>
      <c r="E8" s="72">
        <f>(E5+E6-E7)*Assumptions!$G$94*MIN(365,'Fixed Assets Schedule'!$E$3-Assumptions!$G$5)/365</f>
        <v>336575.34246575343</v>
      </c>
      <c r="F8" s="72">
        <f>(F5+F6-F7)*Assumptions!$G$94*MIN(365,'Fixed Assets Schedule'!$E$3-Assumptions!$G$5)/365</f>
        <v>298814.35541377368</v>
      </c>
      <c r="G8" s="72">
        <f>(G5+G6-G7)*Assumptions!$G$94*MIN(365,'Fixed Assets Schedule'!$E$3-Assumptions!$G$5)/365</f>
        <v>265289.84074474894</v>
      </c>
    </row>
    <row r="9" spans="1:7" x14ac:dyDescent="0.25">
      <c r="A9" s="107" t="s">
        <v>171</v>
      </c>
      <c r="B9" s="108"/>
      <c r="C9" s="108"/>
      <c r="D9" s="108"/>
      <c r="E9" s="114">
        <f>E5+E6-E7-E8</f>
        <v>2663424.6575342463</v>
      </c>
      <c r="F9" s="114">
        <f t="shared" ref="F9:G9" si="0">F5+F6-F7-F8</f>
        <v>2364610.3021204728</v>
      </c>
      <c r="G9" s="115">
        <f t="shared" si="0"/>
        <v>2099320.4613757236</v>
      </c>
    </row>
    <row r="11" spans="1:7" x14ac:dyDescent="0.25">
      <c r="A11" s="71" t="str">
        <f>'Capital Structure'!A8</f>
        <v>Refrgeration Equipments</v>
      </c>
    </row>
    <row r="12" spans="1:7" x14ac:dyDescent="0.25">
      <c r="A12" t="s">
        <v>167</v>
      </c>
      <c r="E12" s="72">
        <v>0</v>
      </c>
      <c r="F12" s="72">
        <f>E16</f>
        <v>4439041.0958904112</v>
      </c>
      <c r="G12" s="72">
        <f>F16</f>
        <v>3941017.1702007884</v>
      </c>
    </row>
    <row r="13" spans="1:7" x14ac:dyDescent="0.25">
      <c r="A13" t="s">
        <v>168</v>
      </c>
      <c r="E13" s="72">
        <f>'Capital Structure'!$C$8</f>
        <v>5000000</v>
      </c>
      <c r="F13" s="72">
        <v>0</v>
      </c>
      <c r="G13" s="72">
        <v>0</v>
      </c>
    </row>
    <row r="14" spans="1:7" x14ac:dyDescent="0.25">
      <c r="A14" t="s">
        <v>169</v>
      </c>
      <c r="E14" s="72">
        <v>0</v>
      </c>
      <c r="F14" s="72">
        <v>0</v>
      </c>
      <c r="G14" s="72">
        <v>0</v>
      </c>
    </row>
    <row r="15" spans="1:7" x14ac:dyDescent="0.25">
      <c r="A15" t="s">
        <v>170</v>
      </c>
      <c r="E15" s="72">
        <f>(E12+E13-E14)*Assumptions!$G$94*MIN(365,'Fixed Assets Schedule'!$E$3-Assumptions!$G$5)/365</f>
        <v>560958.90410958906</v>
      </c>
      <c r="F15" s="72">
        <f>(F12+F13-F14)*Assumptions!$G$94*MIN(365,'Fixed Assets Schedule'!$E$3-Assumptions!$G$5)/365</f>
        <v>498023.92568962288</v>
      </c>
      <c r="G15" s="72">
        <f>(G12+G13-G14)*Assumptions!$G$94*MIN(365,'Fixed Assets Schedule'!$E$3-Assumptions!$G$5)/365</f>
        <v>442149.73457458155</v>
      </c>
    </row>
    <row r="16" spans="1:7" x14ac:dyDescent="0.25">
      <c r="A16" s="107" t="s">
        <v>171</v>
      </c>
      <c r="B16" s="108"/>
      <c r="C16" s="108"/>
      <c r="D16" s="108"/>
      <c r="E16" s="114">
        <f>E12+E13-E14-E15</f>
        <v>4439041.0958904112</v>
      </c>
      <c r="F16" s="114">
        <f t="shared" ref="F16" si="1">F12+F13-F14-F15</f>
        <v>3941017.1702007884</v>
      </c>
      <c r="G16" s="115">
        <f t="shared" ref="G16" si="2">G12+G13-G14-G15</f>
        <v>3498867.4356262069</v>
      </c>
    </row>
    <row r="17" spans="1:7" x14ac:dyDescent="0.25">
      <c r="E17" s="72"/>
      <c r="F17" s="72"/>
      <c r="G17" s="72"/>
    </row>
    <row r="18" spans="1:7" x14ac:dyDescent="0.25">
      <c r="A18" s="71" t="str">
        <f>'Capital Structure'!A9</f>
        <v>Furniture and Fixtures</v>
      </c>
      <c r="E18" s="72"/>
      <c r="F18" s="72"/>
      <c r="G18" s="72"/>
    </row>
    <row r="19" spans="1:7" x14ac:dyDescent="0.25">
      <c r="A19" t="s">
        <v>167</v>
      </c>
      <c r="E19" s="72">
        <v>0</v>
      </c>
      <c r="F19" s="72">
        <f>E23</f>
        <v>4718547.9452054799</v>
      </c>
      <c r="G19" s="72">
        <f>F23</f>
        <v>4189165.6483392762</v>
      </c>
    </row>
    <row r="20" spans="1:7" x14ac:dyDescent="0.25">
      <c r="A20" t="s">
        <v>168</v>
      </c>
      <c r="E20" s="72">
        <f>'Capital Structure'!$C$9</f>
        <v>5100000</v>
      </c>
      <c r="F20" s="72">
        <v>0</v>
      </c>
      <c r="G20" s="72">
        <v>0</v>
      </c>
    </row>
    <row r="21" spans="1:7" x14ac:dyDescent="0.25">
      <c r="A21" t="s">
        <v>169</v>
      </c>
      <c r="E21" s="72">
        <v>0</v>
      </c>
      <c r="F21" s="72">
        <v>0</v>
      </c>
      <c r="G21" s="72">
        <v>0</v>
      </c>
    </row>
    <row r="22" spans="1:7" x14ac:dyDescent="0.25">
      <c r="A22" t="s">
        <v>170</v>
      </c>
      <c r="E22" s="72">
        <f>(E19+E20-E21)*Assumptions!$G$95*MIN(365,'Fixed Assets Schedule'!$E$3-Assumptions!$G$5)/365</f>
        <v>381452.05479452055</v>
      </c>
      <c r="F22" s="72">
        <f>(F19+F20-F21)*Assumptions!$G$94*MIN(365,'Fixed Assets Schedule'!$E$3-Assumptions!$G$5)/365</f>
        <v>529382.29686620377</v>
      </c>
      <c r="G22" s="72">
        <f>(G19+G20-G21)*Assumptions!$G$94*MIN(365,'Fixed Assets Schedule'!$E$3-Assumptions!$G$5)/365</f>
        <v>469989.95424518723</v>
      </c>
    </row>
    <row r="23" spans="1:7" x14ac:dyDescent="0.25">
      <c r="A23" s="107" t="s">
        <v>171</v>
      </c>
      <c r="B23" s="108"/>
      <c r="C23" s="108"/>
      <c r="D23" s="108"/>
      <c r="E23" s="114">
        <f>E19+E20-E21-E22</f>
        <v>4718547.9452054799</v>
      </c>
      <c r="F23" s="114">
        <f t="shared" ref="F23" si="3">F19+F20-F21-F22</f>
        <v>4189165.6483392762</v>
      </c>
      <c r="G23" s="115">
        <f t="shared" ref="G23" si="4">G19+G20-G21-G22</f>
        <v>3719175.6940940889</v>
      </c>
    </row>
    <row r="24" spans="1:7" x14ac:dyDescent="0.25">
      <c r="E24" s="72"/>
      <c r="F24" s="72"/>
      <c r="G24" s="72"/>
    </row>
    <row r="25" spans="1:7" x14ac:dyDescent="0.25">
      <c r="A25" s="71" t="str">
        <f>'Capital Structure'!A10</f>
        <v>Restraurants Decore</v>
      </c>
      <c r="E25" s="72"/>
      <c r="F25" s="72"/>
      <c r="G25" s="72"/>
    </row>
    <row r="26" spans="1:7" x14ac:dyDescent="0.25">
      <c r="A26" t="s">
        <v>167</v>
      </c>
      <c r="E26" s="72">
        <v>0</v>
      </c>
      <c r="F26" s="72">
        <f>E30</f>
        <v>5551232.8767123288</v>
      </c>
      <c r="G26" s="72">
        <f>F30</f>
        <v>4928430.1745167952</v>
      </c>
    </row>
    <row r="27" spans="1:7" x14ac:dyDescent="0.25">
      <c r="A27" t="s">
        <v>168</v>
      </c>
      <c r="E27" s="72">
        <f>'Capital Structure'!$C$10</f>
        <v>6000000</v>
      </c>
      <c r="F27" s="72">
        <v>0</v>
      </c>
      <c r="G27" s="72">
        <v>0</v>
      </c>
    </row>
    <row r="28" spans="1:7" x14ac:dyDescent="0.25">
      <c r="A28" t="s">
        <v>169</v>
      </c>
      <c r="E28" s="72">
        <v>0</v>
      </c>
      <c r="F28" s="72">
        <v>0</v>
      </c>
      <c r="G28" s="72">
        <v>0</v>
      </c>
    </row>
    <row r="29" spans="1:7" x14ac:dyDescent="0.25">
      <c r="A29" t="s">
        <v>170</v>
      </c>
      <c r="E29" s="72">
        <f>(E26+E27-E28)*Assumptions!$G$95*MIN(365,'Fixed Assets Schedule'!$E$3-Assumptions!$G$5)/365</f>
        <v>448767.12328767125</v>
      </c>
      <c r="F29" s="72">
        <f>(F26+F27-F28)*Assumptions!$G$94*MIN(365,'Fixed Assets Schedule'!$E$3-Assumptions!$G$5)/365</f>
        <v>622802.70219553378</v>
      </c>
      <c r="G29" s="72">
        <f>(G26+G27-G28)*Assumptions!$G$94*MIN(365,'Fixed Assets Schedule'!$E$3-Assumptions!$G$5)/365</f>
        <v>552929.3579355143</v>
      </c>
    </row>
    <row r="30" spans="1:7" x14ac:dyDescent="0.25">
      <c r="A30" s="107" t="s">
        <v>171</v>
      </c>
      <c r="B30" s="108"/>
      <c r="C30" s="108"/>
      <c r="D30" s="108"/>
      <c r="E30" s="114">
        <f>E26+E27-E28-E29</f>
        <v>5551232.8767123288</v>
      </c>
      <c r="F30" s="114">
        <f t="shared" ref="F30" si="5">F26+F27-F28-F29</f>
        <v>4928430.1745167952</v>
      </c>
      <c r="G30" s="115">
        <f t="shared" ref="G30" si="6">G26+G27-G28-G29</f>
        <v>4375500.8165812809</v>
      </c>
    </row>
    <row r="32" spans="1:7" s="96" customFormat="1" x14ac:dyDescent="0.25">
      <c r="A32" s="97" t="s">
        <v>150</v>
      </c>
      <c r="B32" s="95"/>
      <c r="C32" s="95"/>
      <c r="D32" s="9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K11" sqref="K11"/>
    </sheetView>
  </sheetViews>
  <sheetFormatPr defaultRowHeight="15" x14ac:dyDescent="0.25"/>
  <cols>
    <col min="1" max="1" width="25.85546875" bestFit="1" customWidth="1"/>
    <col min="2" max="2" width="10.42578125" bestFit="1" customWidth="1"/>
    <col min="5" max="5" width="17.28515625" style="65" bestFit="1" customWidth="1"/>
    <col min="6" max="6" width="17.7109375" style="65" customWidth="1"/>
    <col min="7" max="7" width="16" style="65" customWidth="1"/>
    <col min="8" max="16384" width="9.140625" style="65"/>
  </cols>
  <sheetData>
    <row r="1" spans="1:7" customFormat="1" x14ac:dyDescent="0.25">
      <c r="A1" s="8" t="s">
        <v>102</v>
      </c>
      <c r="B1" s="61" t="str">
        <f>Converter!C1</f>
        <v>Lakhs</v>
      </c>
    </row>
    <row r="2" spans="1:7" customFormat="1" x14ac:dyDescent="0.25">
      <c r="E2" s="68" t="s">
        <v>140</v>
      </c>
      <c r="F2" s="68" t="s">
        <v>141</v>
      </c>
      <c r="G2" s="68" t="s">
        <v>142</v>
      </c>
    </row>
    <row r="3" spans="1:7" customFormat="1" x14ac:dyDescent="0.25">
      <c r="E3" s="69">
        <f>EOMONTH(Assumptions!G3,11)</f>
        <v>44286</v>
      </c>
      <c r="F3" s="69">
        <f>EOMONTH(E3,12)</f>
        <v>44651</v>
      </c>
      <c r="G3" s="69">
        <f>EOMONTH(F3,12)</f>
        <v>45016</v>
      </c>
    </row>
    <row r="4" spans="1:7" x14ac:dyDescent="0.25">
      <c r="A4" s="71" t="s">
        <v>172</v>
      </c>
    </row>
    <row r="5" spans="1:7" x14ac:dyDescent="0.25">
      <c r="A5" s="8" t="s">
        <v>80</v>
      </c>
    </row>
    <row r="6" spans="1:7" x14ac:dyDescent="0.25">
      <c r="A6" t="s">
        <v>174</v>
      </c>
      <c r="E6" s="72">
        <f>SUMIF('Monthly P&amp;L'!$E$4:$AN$4,'Working Capital'!E$3,'Monthly P&amp;L'!$E13:$AN13)/30*Assumptions!$G87</f>
        <v>279222.255066799</v>
      </c>
      <c r="F6" s="72">
        <f>SUMIF('Monthly P&amp;L'!$E$4:$AN$4,'Working Capital'!F$3,'Monthly P&amp;L'!$E13:$AN13)/30*Assumptions!$G87</f>
        <v>415345.33029475884</v>
      </c>
      <c r="G6" s="72">
        <f>SUMIF('Monthly P&amp;L'!$E$4:$AN$4,'Working Capital'!G$3,'Monthly P&amp;L'!$E13:$AN13)/30*Assumptions!$G87</f>
        <v>578368.24648853322</v>
      </c>
    </row>
    <row r="7" spans="1:7" x14ac:dyDescent="0.25">
      <c r="A7" t="s">
        <v>175</v>
      </c>
      <c r="E7" s="72">
        <f>SUMIF('Monthly P&amp;L'!$E$4:$AN$4,'Working Capital'!E$3,'Monthly P&amp;L'!$E14:$AN14)/30*Assumptions!$G88</f>
        <v>77393.948108251047</v>
      </c>
      <c r="F7" s="72">
        <f>SUMIF('Monthly P&amp;L'!$E$4:$AN$4,'Working Capital'!F$3,'Monthly P&amp;L'!$E14:$AN14)/30*Assumptions!$G88</f>
        <v>111867.85463995331</v>
      </c>
      <c r="G7" s="72">
        <f>SUMIF('Monthly P&amp;L'!$E$4:$AN$4,'Working Capital'!G$3,'Monthly P&amp;L'!$E14:$AN14)/30*Assumptions!$G88</f>
        <v>154498.5180381361</v>
      </c>
    </row>
    <row r="8" spans="1:7" x14ac:dyDescent="0.25">
      <c r="A8" t="s">
        <v>14</v>
      </c>
      <c r="E8" s="72">
        <f>SUMIF('Monthly P&amp;L'!$E$4:$AN$4,'Working Capital'!E$3,'Monthly P&amp;L'!$E15:$AN15)/30*Assumptions!$G89</f>
        <v>92636.72798409799</v>
      </c>
      <c r="F8" s="72">
        <f>SUMIF('Monthly P&amp;L'!$E$4:$AN$4,'Working Capital'!F$3,'Monthly P&amp;L'!$E15:$AN15)/30*Assumptions!$G89</f>
        <v>132932.78039938636</v>
      </c>
      <c r="G8" s="72">
        <f>SUMIF('Monthly P&amp;L'!$E$4:$AN$4,'Working Capital'!G$3,'Monthly P&amp;L'!$E15:$AN15)/30*Assumptions!$G89</f>
        <v>183200.64754767012</v>
      </c>
    </row>
    <row r="9" spans="1:7" x14ac:dyDescent="0.25">
      <c r="A9" s="108" t="s">
        <v>39</v>
      </c>
      <c r="B9" s="108"/>
      <c r="C9" s="108"/>
      <c r="D9" s="108"/>
      <c r="E9" s="116">
        <f>SUM(E6:E8)</f>
        <v>449252.93115914799</v>
      </c>
      <c r="F9" s="116">
        <f t="shared" ref="F9:G9" si="0">SUM(F6:F8)</f>
        <v>660145.96533409855</v>
      </c>
      <c r="G9" s="116">
        <f t="shared" si="0"/>
        <v>916067.41207433934</v>
      </c>
    </row>
    <row r="13" spans="1:7" x14ac:dyDescent="0.25">
      <c r="A13" s="71" t="s">
        <v>173</v>
      </c>
    </row>
    <row r="14" spans="1:7" x14ac:dyDescent="0.25">
      <c r="A14" t="s">
        <v>176</v>
      </c>
      <c r="E14" s="72">
        <f>SUMIF('Monthly P&amp;L'!$E$4:$AN$4,'Working Capital'!E$3,'Monthly P&amp;L'!$E30:$AN30)*Assumptions!$G$91/30</f>
        <v>1045753.085502069</v>
      </c>
      <c r="F14" s="72">
        <f>SUMIF('Monthly P&amp;L'!$E$4:$AN$4,'Working Capital'!F$3,'Monthly P&amp;L'!$E30:$AN30)*Assumptions!$G$91/30</f>
        <v>1328961.5089174078</v>
      </c>
      <c r="G14" s="72">
        <f>SUMIF('Monthly P&amp;L'!$E$4:$AN$4,'Working Capital'!G$3,'Monthly P&amp;L'!$E30:$AN30)*Assumptions!$G$91/30</f>
        <v>1671693.2985579737</v>
      </c>
    </row>
    <row r="15" spans="1:7" x14ac:dyDescent="0.25">
      <c r="A15" t="s">
        <v>177</v>
      </c>
    </row>
    <row r="16" spans="1:7" x14ac:dyDescent="0.25">
      <c r="A16" s="73" t="s">
        <v>174</v>
      </c>
      <c r="E16" s="72">
        <f>SUMIF('Monthly P&amp;L'!$E$4:$AN$4,'Working Capital'!E$3,'Monthly P&amp;L'!$E13:$AN13)/30*Assumptions!$G$90</f>
        <v>279222.255066799</v>
      </c>
      <c r="F16" s="72">
        <f>SUMIF('Monthly P&amp;L'!$E$4:$AN$4,'Working Capital'!F$3,'Monthly P&amp;L'!$E13:$AN13)/30*Assumptions!$G$90</f>
        <v>415345.33029475884</v>
      </c>
      <c r="G16" s="72">
        <f>SUMIF('Monthly P&amp;L'!$E$4:$AN$4,'Working Capital'!G$3,'Monthly P&amp;L'!$E13:$AN13)/30*Assumptions!$G$90</f>
        <v>578368.24648853322</v>
      </c>
    </row>
    <row r="17" spans="1:7" x14ac:dyDescent="0.25">
      <c r="A17" s="73" t="s">
        <v>175</v>
      </c>
      <c r="E17" s="72">
        <f>SUMIF('Monthly P&amp;L'!$E$4:$AN$4,'Working Capital'!E$3,'Monthly P&amp;L'!$E14:$AN14)/30*Assumptions!$G$90</f>
        <v>154787.89621650209</v>
      </c>
      <c r="F17" s="72">
        <f>SUMIF('Monthly P&amp;L'!$E$4:$AN$4,'Working Capital'!F$3,'Monthly P&amp;L'!$E14:$AN14)/30*Assumptions!$G$90</f>
        <v>223735.70927990662</v>
      </c>
      <c r="G17" s="72">
        <f>SUMIF('Monthly P&amp;L'!$E$4:$AN$4,'Working Capital'!G$3,'Monthly P&amp;L'!$E14:$AN14)/30*Assumptions!$G$90</f>
        <v>308997.0360762722</v>
      </c>
    </row>
    <row r="18" spans="1:7" x14ac:dyDescent="0.25">
      <c r="A18" s="73" t="s">
        <v>14</v>
      </c>
      <c r="E18" s="72">
        <f>SUMIF('Monthly P&amp;L'!$E$4:$AN$4,'Working Capital'!E$3,'Monthly P&amp;L'!$E15:$AN15)/30*Assumptions!$G$90</f>
        <v>555820.367904588</v>
      </c>
      <c r="F18" s="72">
        <f>SUMIF('Monthly P&amp;L'!$E$4:$AN$4,'Working Capital'!F$3,'Monthly P&amp;L'!$E15:$AN15)/30*Assumptions!$G$90</f>
        <v>797596.68239631818</v>
      </c>
      <c r="G18" s="72">
        <f>SUMIF('Monthly P&amp;L'!$E$4:$AN$4,'Working Capital'!G$3,'Monthly P&amp;L'!$E15:$AN15)/30*Assumptions!$G$90</f>
        <v>1099203.8852860208</v>
      </c>
    </row>
    <row r="19" spans="1:7" x14ac:dyDescent="0.25">
      <c r="A19" s="117" t="s">
        <v>39</v>
      </c>
      <c r="B19" s="108"/>
      <c r="C19" s="108"/>
      <c r="D19" s="108"/>
      <c r="E19" s="114">
        <f>SUM(E14:E18)</f>
        <v>2035583.604689958</v>
      </c>
      <c r="F19" s="114">
        <f t="shared" ref="F19:G19" si="1">SUM(F14:F18)</f>
        <v>2765639.2308883914</v>
      </c>
      <c r="G19" s="114">
        <f t="shared" si="1"/>
        <v>3658262.4664088003</v>
      </c>
    </row>
    <row r="20" spans="1:7" x14ac:dyDescent="0.25">
      <c r="E20" s="65" t="s">
        <v>178</v>
      </c>
    </row>
    <row r="21" spans="1:7" x14ac:dyDescent="0.25">
      <c r="A21" s="118" t="s">
        <v>77</v>
      </c>
      <c r="E21" s="72">
        <f>E9-E19</f>
        <v>-1586330.67353081</v>
      </c>
      <c r="F21" s="72">
        <f t="shared" ref="F21:G21" si="2">F9-F19</f>
        <v>-2105493.2655542931</v>
      </c>
      <c r="G21" s="72">
        <f t="shared" si="2"/>
        <v>-2742195.0543344608</v>
      </c>
    </row>
    <row r="22" spans="1:7" x14ac:dyDescent="0.25">
      <c r="A22" t="s">
        <v>179</v>
      </c>
      <c r="E22" s="72">
        <f>-(E21-D21)</f>
        <v>1586330.67353081</v>
      </c>
      <c r="F22" s="72">
        <f t="shared" ref="F22:G22" si="3">-(F21-E21)</f>
        <v>519162.59202348301</v>
      </c>
      <c r="G22" s="72">
        <f t="shared" si="3"/>
        <v>636701.7887801677</v>
      </c>
    </row>
    <row r="24" spans="1:7" s="96" customFormat="1" x14ac:dyDescent="0.25">
      <c r="A24" s="97" t="s">
        <v>150</v>
      </c>
      <c r="B24" s="95"/>
      <c r="C24" s="95"/>
      <c r="D24" s="9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4"/>
  <sheetViews>
    <sheetView workbookViewId="0">
      <selection activeCell="M32" sqref="M32"/>
    </sheetView>
  </sheetViews>
  <sheetFormatPr defaultRowHeight="15" x14ac:dyDescent="0.25"/>
  <cols>
    <col min="1" max="1" width="44.5703125" bestFit="1" customWidth="1"/>
    <col min="2" max="2" width="10.42578125" bestFit="1" customWidth="1"/>
    <col min="4" max="4" width="9.5703125" bestFit="1" customWidth="1"/>
    <col min="5" max="5" width="17.28515625" style="65" bestFit="1" customWidth="1"/>
    <col min="6" max="6" width="17.7109375" style="65" customWidth="1"/>
    <col min="7" max="7" width="16" style="65" customWidth="1"/>
    <col min="8" max="16384" width="9.140625" style="65"/>
  </cols>
  <sheetData>
    <row r="1" spans="1:7" customFormat="1" x14ac:dyDescent="0.25">
      <c r="A1" s="8" t="s">
        <v>102</v>
      </c>
      <c r="B1" s="61" t="str">
        <f>Converter!C1</f>
        <v>Lakhs</v>
      </c>
    </row>
    <row r="2" spans="1:7" customFormat="1" x14ac:dyDescent="0.25">
      <c r="E2" s="68" t="s">
        <v>140</v>
      </c>
      <c r="F2" s="68" t="s">
        <v>141</v>
      </c>
      <c r="G2" s="68" t="s">
        <v>142</v>
      </c>
    </row>
    <row r="3" spans="1:7" customFormat="1" x14ac:dyDescent="0.25">
      <c r="D3" s="119">
        <f>Assumptions!$G$3</f>
        <v>43922</v>
      </c>
      <c r="E3" s="69">
        <f>EOMONTH(Assumptions!G3,11)</f>
        <v>44286</v>
      </c>
      <c r="F3" s="69">
        <f>EOMONTH(E3,12)</f>
        <v>44651</v>
      </c>
      <c r="G3" s="69">
        <f>EOMONTH(F3,12)</f>
        <v>45016</v>
      </c>
    </row>
    <row r="6" spans="1:7" x14ac:dyDescent="0.25">
      <c r="A6" s="71" t="s">
        <v>5</v>
      </c>
    </row>
    <row r="7" spans="1:7" x14ac:dyDescent="0.25">
      <c r="A7" t="str">
        <f>'Monthly Revenue'!A75</f>
        <v>Alcoholic Beverage</v>
      </c>
      <c r="E7" s="72">
        <f>SUMIFS('Monthly P&amp;L'!$E7:$AN7,'Monthly P&amp;L'!$E$4:$AN$4,"&gt;"&amp;D$3,'Monthly P&amp;L'!$E$4:$AN$4,"&lt;="&amp;E$3)</f>
        <v>6458517.2361104712</v>
      </c>
      <c r="F7" s="72">
        <f>SUMIFS('Monthly P&amp;L'!$E7:$AN7,'Monthly P&amp;L'!$E$4:$AN$4,"&gt;"&amp;E$3,'Monthly P&amp;L'!$E$4:$AN$4,"&lt;="&amp;F$3)</f>
        <v>12187671.60774857</v>
      </c>
      <c r="G7" s="72">
        <f>SUMIFS('Monthly P&amp;L'!$E7:$AN7,'Monthly P&amp;L'!$E$4:$AN$4,"&gt;"&amp;F$3,'Monthly P&amp;L'!$E$4:$AN$4,"&lt;="&amp;G$3)</f>
        <v>18072178.813438073</v>
      </c>
    </row>
    <row r="8" spans="1:7" x14ac:dyDescent="0.25">
      <c r="A8" t="str">
        <f>'Monthly Revenue'!A76</f>
        <v>Non-Alcoholic Beverage</v>
      </c>
      <c r="E8" s="72">
        <f>SUMIFS('Monthly P&amp;L'!$E8:$AN8,'Monthly P&amp;L'!$E$4:$AN$4,"&gt;"&amp;D$3,'Monthly P&amp;L'!$E$4:$AN$4,"&lt;="&amp;E$3)</f>
        <v>3116544.8008708414</v>
      </c>
      <c r="F8" s="72">
        <f>SUMIFS('Monthly P&amp;L'!$E8:$AN8,'Monthly P&amp;L'!$E$4:$AN$4,"&gt;"&amp;E$3,'Monthly P&amp;L'!$E$4:$AN$4,"&lt;="&amp;F$3)</f>
        <v>5735187.1158899209</v>
      </c>
      <c r="G8" s="72">
        <f>SUMIFS('Monthly P&amp;L'!$E8:$AN8,'Monthly P&amp;L'!$E$4:$AN$4,"&gt;"&amp;F$3,'Monthly P&amp;L'!$E$4:$AN$4,"&lt;="&amp;G$3)</f>
        <v>8330738.6743057901</v>
      </c>
    </row>
    <row r="9" spans="1:7" x14ac:dyDescent="0.25">
      <c r="A9" t="str">
        <f>'Monthly Revenue'!A77</f>
        <v>Food</v>
      </c>
      <c r="E9" s="72">
        <f>SUMIFS('Monthly P&amp;L'!$E9:$AN9,'Monthly P&amp;L'!$E$4:$AN$4,"&gt;"&amp;D$3,'Monthly P&amp;L'!$E$4:$AN$4,"&lt;="&amp;E$3)</f>
        <v>14895966.081244538</v>
      </c>
      <c r="F9" s="72">
        <f>SUMIFS('Monthly P&amp;L'!$E9:$AN9,'Monthly P&amp;L'!$E$4:$AN$4,"&gt;"&amp;E$3,'Monthly P&amp;L'!$E$4:$AN$4,"&lt;="&amp;F$3)</f>
        <v>27233725.288991649</v>
      </c>
      <c r="G9" s="72">
        <f>SUMIFS('Monthly P&amp;L'!$E9:$AN9,'Monthly P&amp;L'!$E$4:$AN$4,"&gt;"&amp;F$3,'Monthly P&amp;L'!$E$4:$AN$4,"&lt;="&amp;G$3)</f>
        <v>39317048.184662037</v>
      </c>
    </row>
    <row r="10" spans="1:7" x14ac:dyDescent="0.25">
      <c r="A10" s="111" t="str">
        <f>'Monthly Revenue'!A78</f>
        <v>Total</v>
      </c>
      <c r="B10" s="121"/>
      <c r="C10" s="121"/>
      <c r="D10" s="121"/>
      <c r="E10" s="114">
        <f>SUMIFS('Monthly P&amp;L'!$E10:$AN10,'Monthly P&amp;L'!$E$4:$AN$4,"&gt;"&amp;D$3,'Monthly P&amp;L'!$E$4:$AN$4,"&lt;="&amp;E$3)</f>
        <v>24471028.11822585</v>
      </c>
      <c r="F10" s="114">
        <f>SUMIFS('Monthly P&amp;L'!$E10:$AN10,'Monthly P&amp;L'!$E$4:$AN$4,"&gt;"&amp;E$3,'Monthly P&amp;L'!$E$4:$AN$4,"&lt;="&amp;F$3)</f>
        <v>45156584.012630142</v>
      </c>
      <c r="G10" s="114">
        <f>SUMIFS('Monthly P&amp;L'!$E10:$AN10,'Monthly P&amp;L'!$E$4:$AN$4,"&gt;"&amp;F$3,'Monthly P&amp;L'!$E$4:$AN$4,"&lt;="&amp;G$3)</f>
        <v>65719965.672405899</v>
      </c>
    </row>
    <row r="11" spans="1:7" x14ac:dyDescent="0.25">
      <c r="E11" s="72">
        <f>SUMIFS('Monthly P&amp;L'!$E11:$AN11,'Monthly P&amp;L'!$E$4:$AN$4,"&gt;"&amp;D$3,'Monthly P&amp;L'!$E$4:$AN$4,"&lt;="&amp;E$3)</f>
        <v>0</v>
      </c>
      <c r="F11" s="72">
        <f>SUMIFS('Monthly P&amp;L'!$E11:$AN11,'Monthly P&amp;L'!$E$4:$AN$4,"&gt;"&amp;E$3,'Monthly P&amp;L'!$E$4:$AN$4,"&lt;="&amp;F$3)</f>
        <v>0</v>
      </c>
      <c r="G11" s="72">
        <f>SUMIFS('Monthly P&amp;L'!$E11:$AN11,'Monthly P&amp;L'!$E$4:$AN$4,"&gt;"&amp;F$3,'Monthly P&amp;L'!$E$4:$AN$4,"&lt;="&amp;G$3)</f>
        <v>0</v>
      </c>
    </row>
    <row r="12" spans="1:7" x14ac:dyDescent="0.25">
      <c r="A12" s="71" t="s">
        <v>151</v>
      </c>
      <c r="E12" s="72">
        <f>SUMIFS('Monthly P&amp;L'!$E12:$AN12,'Monthly P&amp;L'!$E$4:$AN$4,"&gt;"&amp;D$3,'Monthly P&amp;L'!$E$4:$AN$4,"&lt;="&amp;E$3)</f>
        <v>0</v>
      </c>
      <c r="F12" s="72">
        <f>SUMIFS('Monthly P&amp;L'!$E12:$AN12,'Monthly P&amp;L'!$E$4:$AN$4,"&gt;"&amp;E$3,'Monthly P&amp;L'!$E$4:$AN$4,"&lt;="&amp;F$3)</f>
        <v>0</v>
      </c>
      <c r="G12" s="72">
        <f>SUMIFS('Monthly P&amp;L'!$E12:$AN12,'Monthly P&amp;L'!$E$4:$AN$4,"&gt;"&amp;F$3,'Monthly P&amp;L'!$E$4:$AN$4,"&lt;="&amp;G$3)</f>
        <v>0</v>
      </c>
    </row>
    <row r="13" spans="1:7" x14ac:dyDescent="0.25">
      <c r="A13" t="str">
        <f>Assumptions!A24</f>
        <v>Alcoholic Beverage cost (% of revenue)</v>
      </c>
      <c r="E13" s="72">
        <f>SUMIFS('Monthly P&amp;L'!$E13:$AN13,'Monthly P&amp;L'!$E$4:$AN$4,"&gt;"&amp;D$3,'Monthly P&amp;L'!$E$4:$AN$4,"&lt;="&amp;E$3)</f>
        <v>2260481.0326386644</v>
      </c>
      <c r="F13" s="72">
        <f>SUMIFS('Monthly P&amp;L'!$E13:$AN13,'Monthly P&amp;L'!$E$4:$AN$4,"&gt;"&amp;E$3,'Monthly P&amp;L'!$E$4:$AN$4,"&lt;="&amp;F$3)</f>
        <v>4265685.0627119988</v>
      </c>
      <c r="G13" s="72">
        <f>SUMIFS('Monthly P&amp;L'!$E13:$AN13,'Monthly P&amp;L'!$E$4:$AN$4,"&gt;"&amp;F$3,'Monthly P&amp;L'!$E$4:$AN$4,"&lt;="&amp;G$3)</f>
        <v>6325262.5847033253</v>
      </c>
    </row>
    <row r="14" spans="1:7" x14ac:dyDescent="0.25">
      <c r="A14" t="str">
        <f>Assumptions!A25</f>
        <v>Non-Alcoholic Beverage cost (% of revenue)</v>
      </c>
      <c r="E14" s="72">
        <f>SUMIFS('Monthly P&amp;L'!$E14:$AN14,'Monthly P&amp;L'!$E$4:$AN$4,"&gt;"&amp;D$3,'Monthly P&amp;L'!$E$4:$AN$4,"&lt;="&amp;E$3)</f>
        <v>1246617.9203483367</v>
      </c>
      <c r="F14" s="72">
        <f>SUMIFS('Monthly P&amp;L'!$E14:$AN14,'Monthly P&amp;L'!$E$4:$AN$4,"&gt;"&amp;E$3,'Monthly P&amp;L'!$E$4:$AN$4,"&lt;="&amp;F$3)</f>
        <v>2294074.8463559682</v>
      </c>
      <c r="G14" s="72">
        <f>SUMIFS('Monthly P&amp;L'!$E14:$AN14,'Monthly P&amp;L'!$E$4:$AN$4,"&gt;"&amp;F$3,'Monthly P&amp;L'!$E$4:$AN$4,"&lt;="&amp;G$3)</f>
        <v>3332295.4697223157</v>
      </c>
    </row>
    <row r="15" spans="1:7" x14ac:dyDescent="0.25">
      <c r="A15" t="str">
        <f>Assumptions!A26</f>
        <v>Food (% of revenue)</v>
      </c>
      <c r="E15" s="72">
        <f>SUMIFS('Monthly P&amp;L'!$E15:$AN15,'Monthly P&amp;L'!$E$4:$AN$4,"&gt;"&amp;D$3,'Monthly P&amp;L'!$E$4:$AN$4,"&lt;="&amp;E$3)</f>
        <v>4468789.8243733607</v>
      </c>
      <c r="F15" s="72">
        <f>SUMIFS('Monthly P&amp;L'!$E15:$AN15,'Monthly P&amp;L'!$E$4:$AN$4,"&gt;"&amp;E$3,'Monthly P&amp;L'!$E$4:$AN$4,"&lt;="&amp;F$3)</f>
        <v>8170117.5866974946</v>
      </c>
      <c r="G15" s="72">
        <f>SUMIFS('Monthly P&amp;L'!$E15:$AN15,'Monthly P&amp;L'!$E$4:$AN$4,"&gt;"&amp;F$3,'Monthly P&amp;L'!$E$4:$AN$4,"&lt;="&amp;G$3)</f>
        <v>11795114.455398608</v>
      </c>
    </row>
    <row r="16" spans="1:7" x14ac:dyDescent="0.25">
      <c r="A16" t="s">
        <v>152</v>
      </c>
      <c r="E16" s="72">
        <f>SUMIFS('Monthly P&amp;L'!$E16:$AN16,'Monthly P&amp;L'!$E$4:$AN$4,"&gt;"&amp;D$3,'Monthly P&amp;L'!$E$4:$AN$4,"&lt;="&amp;E$3)</f>
        <v>8874000</v>
      </c>
      <c r="F16" s="72">
        <f>SUMIFS('Monthly P&amp;L'!$E16:$AN16,'Monthly P&amp;L'!$E$4:$AN$4,"&gt;"&amp;E$3,'Monthly P&amp;L'!$E$4:$AN$4,"&lt;="&amp;F$3)</f>
        <v>12541920</v>
      </c>
      <c r="G16" s="72">
        <f>SUMIFS('Monthly P&amp;L'!$E16:$AN16,'Monthly P&amp;L'!$E$4:$AN$4,"&gt;"&amp;F$3,'Monthly P&amp;L'!$E$4:$AN$4,"&lt;="&amp;G$3)</f>
        <v>13545273.600000003</v>
      </c>
    </row>
    <row r="17" spans="1:7" x14ac:dyDescent="0.25">
      <c r="A17" s="111" t="s">
        <v>153</v>
      </c>
      <c r="B17" s="122"/>
      <c r="C17" s="122"/>
      <c r="D17" s="122"/>
      <c r="E17" s="114">
        <f>SUMIFS('Monthly P&amp;L'!$E17:$AN17,'Monthly P&amp;L'!$E$4:$AN$4,"&gt;"&amp;D$3,'Monthly P&amp;L'!$E$4:$AN$4,"&lt;="&amp;E$3)</f>
        <v>16849888.777360361</v>
      </c>
      <c r="F17" s="114">
        <f>SUMIFS('Monthly P&amp;L'!$E17:$AN17,'Monthly P&amp;L'!$E$4:$AN$4,"&gt;"&amp;E$3,'Monthly P&amp;L'!$E$4:$AN$4,"&lt;="&amp;F$3)</f>
        <v>27271797.495765463</v>
      </c>
      <c r="G17" s="114">
        <f>SUMIFS('Monthly P&amp;L'!$E17:$AN17,'Monthly P&amp;L'!$E$4:$AN$4,"&gt;"&amp;F$3,'Monthly P&amp;L'!$E$4:$AN$4,"&lt;="&amp;G$3)</f>
        <v>34997946.109824255</v>
      </c>
    </row>
    <row r="18" spans="1:7" x14ac:dyDescent="0.25">
      <c r="E18" s="72">
        <f>SUMIFS('Monthly P&amp;L'!$E18:$AN18,'Monthly P&amp;L'!$E$4:$AN$4,"&gt;"&amp;D$3,'Monthly P&amp;L'!$E$4:$AN$4,"&lt;="&amp;E$3)</f>
        <v>0</v>
      </c>
      <c r="F18" s="72">
        <f>SUMIFS('Monthly P&amp;L'!$E18:$AN18,'Monthly P&amp;L'!$E$4:$AN$4,"&gt;"&amp;E$3,'Monthly P&amp;L'!$E$4:$AN$4,"&lt;="&amp;F$3)</f>
        <v>0</v>
      </c>
      <c r="G18" s="72">
        <f>SUMIFS('Monthly P&amp;L'!$E18:$AN18,'Monthly P&amp;L'!$E$4:$AN$4,"&gt;"&amp;F$3,'Monthly P&amp;L'!$E$4:$AN$4,"&lt;="&amp;G$3)</f>
        <v>0</v>
      </c>
    </row>
    <row r="19" spans="1:7" x14ac:dyDescent="0.25">
      <c r="A19" s="71" t="s">
        <v>155</v>
      </c>
      <c r="E19" s="72">
        <f>SUMIFS('Monthly P&amp;L'!$E19:$AN19,'Monthly P&amp;L'!$E$4:$AN$4,"&gt;"&amp;D$3,'Monthly P&amp;L'!$E$4:$AN$4,"&lt;="&amp;E$3)</f>
        <v>0</v>
      </c>
      <c r="F19" s="72">
        <f>SUMIFS('Monthly P&amp;L'!$E19:$AN19,'Monthly P&amp;L'!$E$4:$AN$4,"&gt;"&amp;E$3,'Monthly P&amp;L'!$E$4:$AN$4,"&lt;="&amp;F$3)</f>
        <v>0</v>
      </c>
      <c r="G19" s="72">
        <f>SUMIFS('Monthly P&amp;L'!$E19:$AN19,'Monthly P&amp;L'!$E$4:$AN$4,"&gt;"&amp;F$3,'Monthly P&amp;L'!$E$4:$AN$4,"&lt;="&amp;G$3)</f>
        <v>0</v>
      </c>
    </row>
    <row r="20" spans="1:7" x14ac:dyDescent="0.25">
      <c r="A20" t="s">
        <v>154</v>
      </c>
      <c r="E20" s="72">
        <f>SUMIFS('Monthly P&amp;L'!$E20:$AN20,'Monthly P&amp;L'!$E$4:$AN$4,"&gt;"&amp;D$3,'Monthly P&amp;L'!$E$4:$AN$4,"&lt;="&amp;E$3)</f>
        <v>3420000</v>
      </c>
      <c r="F20" s="72">
        <f>SUMIFS('Monthly P&amp;L'!$E20:$AN20,'Monthly P&amp;L'!$E$4:$AN$4,"&gt;"&amp;E$3,'Monthly P&amp;L'!$E$4:$AN$4,"&lt;="&amp;F$3)</f>
        <v>4833600</v>
      </c>
      <c r="G20" s="72">
        <f>SUMIFS('Monthly P&amp;L'!$E20:$AN20,'Monthly P&amp;L'!$E$4:$AN$4,"&gt;"&amp;F$3,'Monthly P&amp;L'!$E$4:$AN$4,"&lt;="&amp;G$3)</f>
        <v>5220288</v>
      </c>
    </row>
    <row r="21" spans="1:7" x14ac:dyDescent="0.25">
      <c r="A21" t="str">
        <f>Assumptions!A51</f>
        <v>Royalty to brand (% of Revenue)</v>
      </c>
      <c r="E21" s="72">
        <f>SUMIFS('Monthly P&amp;L'!$E21:$AN21,'Monthly P&amp;L'!$E$4:$AN$4,"&gt;"&amp;D$3,'Monthly P&amp;L'!$E$4:$AN$4,"&lt;="&amp;E$3)</f>
        <v>1223551.4059112926</v>
      </c>
      <c r="F21" s="72">
        <f>SUMIFS('Monthly P&amp;L'!$E21:$AN21,'Monthly P&amp;L'!$E$4:$AN$4,"&gt;"&amp;E$3,'Monthly P&amp;L'!$E$4:$AN$4,"&lt;="&amp;F$3)</f>
        <v>2257829.2006315072</v>
      </c>
      <c r="G21" s="72">
        <f>SUMIFS('Monthly P&amp;L'!$E21:$AN21,'Monthly P&amp;L'!$E$4:$AN$4,"&gt;"&amp;F$3,'Monthly P&amp;L'!$E$4:$AN$4,"&lt;="&amp;G$3)</f>
        <v>3285998.2836202951</v>
      </c>
    </row>
    <row r="22" spans="1:7" x14ac:dyDescent="0.25">
      <c r="A22" t="str">
        <f>Assumptions!A52</f>
        <v>Rent as per contract (% of Revenue)</v>
      </c>
      <c r="E22" s="72">
        <f>SUMIFS('Monthly P&amp;L'!$E22:$AN22,'Monthly P&amp;L'!$E$4:$AN$4,"&gt;"&amp;D$3,'Monthly P&amp;L'!$E$4:$AN$4,"&lt;="&amp;E$3)</f>
        <v>2447102.8118225853</v>
      </c>
      <c r="F22" s="72">
        <f>SUMIFS('Monthly P&amp;L'!$E22:$AN22,'Monthly P&amp;L'!$E$4:$AN$4,"&gt;"&amp;E$3,'Monthly P&amp;L'!$E$4:$AN$4,"&lt;="&amp;F$3)</f>
        <v>4515658.4012630144</v>
      </c>
      <c r="G22" s="72">
        <f>SUMIFS('Monthly P&amp;L'!$E22:$AN22,'Monthly P&amp;L'!$E$4:$AN$4,"&gt;"&amp;F$3,'Monthly P&amp;L'!$E$4:$AN$4,"&lt;="&amp;G$3)</f>
        <v>6571996.5672405902</v>
      </c>
    </row>
    <row r="23" spans="1:7" x14ac:dyDescent="0.25">
      <c r="A23" t="str">
        <f>Assumptions!A53</f>
        <v>Water cost (per month)</v>
      </c>
      <c r="E23" s="72">
        <f>SUMIFS('Monthly P&amp;L'!$E23:$AN23,'Monthly P&amp;L'!$E$4:$AN$4,"&gt;"&amp;D$3,'Monthly P&amp;L'!$E$4:$AN$4,"&lt;="&amp;E$3)</f>
        <v>90000</v>
      </c>
      <c r="F23" s="72">
        <f>SUMIFS('Monthly P&amp;L'!$E23:$AN23,'Monthly P&amp;L'!$E$4:$AN$4,"&gt;"&amp;E$3,'Monthly P&amp;L'!$E$4:$AN$4,"&lt;="&amp;F$3)</f>
        <v>127200</v>
      </c>
      <c r="G23" s="72">
        <f>SUMIFS('Monthly P&amp;L'!$E23:$AN23,'Monthly P&amp;L'!$E$4:$AN$4,"&gt;"&amp;F$3,'Monthly P&amp;L'!$E$4:$AN$4,"&lt;="&amp;G$3)</f>
        <v>137376</v>
      </c>
    </row>
    <row r="24" spans="1:7" x14ac:dyDescent="0.25">
      <c r="A24" t="str">
        <f>Assumptions!A54</f>
        <v>Maintenance (per month)</v>
      </c>
      <c r="E24" s="72">
        <f>SUMIFS('Monthly P&amp;L'!$E24:$AN24,'Monthly P&amp;L'!$E$4:$AN$4,"&gt;"&amp;D$3,'Monthly P&amp;L'!$E$4:$AN$4,"&lt;="&amp;E$3)</f>
        <v>450000</v>
      </c>
      <c r="F24" s="72">
        <f>SUMIFS('Monthly P&amp;L'!$E24:$AN24,'Monthly P&amp;L'!$E$4:$AN$4,"&gt;"&amp;E$3,'Monthly P&amp;L'!$E$4:$AN$4,"&lt;="&amp;F$3)</f>
        <v>636000</v>
      </c>
      <c r="G24" s="72">
        <f>SUMIFS('Monthly P&amp;L'!$E24:$AN24,'Monthly P&amp;L'!$E$4:$AN$4,"&gt;"&amp;F$3,'Monthly P&amp;L'!$E$4:$AN$4,"&lt;="&amp;G$3)</f>
        <v>686880</v>
      </c>
    </row>
    <row r="25" spans="1:7" x14ac:dyDescent="0.25">
      <c r="A25" t="str">
        <f>Assumptions!A55</f>
        <v>Marketing Cost (per month)</v>
      </c>
      <c r="E25" s="72">
        <f>SUMIFS('Monthly P&amp;L'!$E25:$AN25,'Monthly P&amp;L'!$E$4:$AN$4,"&gt;"&amp;D$3,'Monthly P&amp;L'!$E$4:$AN$4,"&lt;="&amp;E$3)</f>
        <v>225000</v>
      </c>
      <c r="F25" s="72">
        <f>SUMIFS('Monthly P&amp;L'!$E25:$AN25,'Monthly P&amp;L'!$E$4:$AN$4,"&gt;"&amp;E$3,'Monthly P&amp;L'!$E$4:$AN$4,"&lt;="&amp;F$3)</f>
        <v>318000</v>
      </c>
      <c r="G25" s="72">
        <f>SUMIFS('Monthly P&amp;L'!$E25:$AN25,'Monthly P&amp;L'!$E$4:$AN$4,"&gt;"&amp;F$3,'Monthly P&amp;L'!$E$4:$AN$4,"&lt;="&amp;G$3)</f>
        <v>343440</v>
      </c>
    </row>
    <row r="26" spans="1:7" x14ac:dyDescent="0.25">
      <c r="A26" t="str">
        <f>Assumptions!A56</f>
        <v>Electricity (BAsed on Area Rs/sq.ft.)</v>
      </c>
      <c r="E26" s="72">
        <f>SUMIFS('Monthly P&amp;L'!$E26:$AN26,'Monthly P&amp;L'!$E$4:$AN$4,"&gt;"&amp;D$3,'Monthly P&amp;L'!$E$4:$AN$4,"&lt;="&amp;E$3)</f>
        <v>239400</v>
      </c>
      <c r="F26" s="72">
        <f>SUMIFS('Monthly P&amp;L'!$E26:$AN26,'Monthly P&amp;L'!$E$4:$AN$4,"&gt;"&amp;E$3,'Monthly P&amp;L'!$E$4:$AN$4,"&lt;="&amp;F$3)</f>
        <v>338352</v>
      </c>
      <c r="G26" s="72">
        <f>SUMIFS('Monthly P&amp;L'!$E26:$AN26,'Monthly P&amp;L'!$E$4:$AN$4,"&gt;"&amp;F$3,'Monthly P&amp;L'!$E$4:$AN$4,"&lt;="&amp;G$3)</f>
        <v>365420.16</v>
      </c>
    </row>
    <row r="27" spans="1:7" x14ac:dyDescent="0.25">
      <c r="A27" t="str">
        <f>Assumptions!A57</f>
        <v>Phone and Internet (per month)</v>
      </c>
      <c r="E27" s="72">
        <f>SUMIFS('Monthly P&amp;L'!$E27:$AN27,'Monthly P&amp;L'!$E$4:$AN$4,"&gt;"&amp;D$3,'Monthly P&amp;L'!$E$4:$AN$4,"&lt;="&amp;E$3)</f>
        <v>135000</v>
      </c>
      <c r="F27" s="72">
        <f>SUMIFS('Monthly P&amp;L'!$E27:$AN27,'Monthly P&amp;L'!$E$4:$AN$4,"&gt;"&amp;E$3,'Monthly P&amp;L'!$E$4:$AN$4,"&lt;="&amp;F$3)</f>
        <v>190800</v>
      </c>
      <c r="G27" s="72">
        <f>SUMIFS('Monthly P&amp;L'!$E27:$AN27,'Monthly P&amp;L'!$E$4:$AN$4,"&gt;"&amp;F$3,'Monthly P&amp;L'!$E$4:$AN$4,"&lt;="&amp;G$3)</f>
        <v>206064.00000000003</v>
      </c>
    </row>
    <row r="28" spans="1:7" x14ac:dyDescent="0.25">
      <c r="A28" t="str">
        <f>Assumptions!A58</f>
        <v>Housekeeping and consumables (% of Revenue)</v>
      </c>
      <c r="E28" s="72">
        <f>SUMIFS('Monthly P&amp;L'!$E28:$AN28,'Monthly P&amp;L'!$E$4:$AN$4,"&gt;"&amp;D$3,'Monthly P&amp;L'!$E$4:$AN$4,"&lt;="&amp;E$3)</f>
        <v>489420.56236451701</v>
      </c>
      <c r="F28" s="72">
        <f>SUMIFS('Monthly P&amp;L'!$E28:$AN28,'Monthly P&amp;L'!$E$4:$AN$4,"&gt;"&amp;E$3,'Monthly P&amp;L'!$E$4:$AN$4,"&lt;="&amp;F$3)</f>
        <v>903131.68025260291</v>
      </c>
      <c r="G28" s="72">
        <f>SUMIFS('Monthly P&amp;L'!$E28:$AN28,'Monthly P&amp;L'!$E$4:$AN$4,"&gt;"&amp;F$3,'Monthly P&amp;L'!$E$4:$AN$4,"&lt;="&amp;G$3)</f>
        <v>1314399.313448118</v>
      </c>
    </row>
    <row r="29" spans="1:7" x14ac:dyDescent="0.25">
      <c r="A29" t="str">
        <f>Assumptions!A59</f>
        <v>Payment settlement charges (% of Revenue)</v>
      </c>
      <c r="E29" s="72">
        <f>SUMIFS('Monthly P&amp;L'!$E29:$AN29,'Monthly P&amp;L'!$E$4:$AN$4,"&gt;"&amp;D$3,'Monthly P&amp;L'!$E$4:$AN$4,"&lt;="&amp;E$3)</f>
        <v>183532.71088669388</v>
      </c>
      <c r="F29" s="72">
        <f>SUMIFS('Monthly P&amp;L'!$E29:$AN29,'Monthly P&amp;L'!$E$4:$AN$4,"&gt;"&amp;E$3,'Monthly P&amp;L'!$E$4:$AN$4,"&lt;="&amp;F$3)</f>
        <v>338674.38009472605</v>
      </c>
      <c r="G29" s="72">
        <f>SUMIFS('Monthly P&amp;L'!$E29:$AN29,'Monthly P&amp;L'!$E$4:$AN$4,"&gt;"&amp;F$3,'Monthly P&amp;L'!$E$4:$AN$4,"&lt;="&amp;G$3)</f>
        <v>492899.74254304421</v>
      </c>
    </row>
    <row r="30" spans="1:7" x14ac:dyDescent="0.25">
      <c r="A30" s="111" t="s">
        <v>156</v>
      </c>
      <c r="B30" s="122"/>
      <c r="C30" s="122"/>
      <c r="D30" s="122"/>
      <c r="E30" s="114">
        <f>SUMIFS('Monthly P&amp;L'!$E30:$AN30,'Monthly P&amp;L'!$E$4:$AN$4,"&gt;"&amp;D$3,'Monthly P&amp;L'!$E$4:$AN$4,"&lt;="&amp;E$3)</f>
        <v>8903007.4909850899</v>
      </c>
      <c r="F30" s="114">
        <f>SUMIFS('Monthly P&amp;L'!$E30:$AN30,'Monthly P&amp;L'!$E$4:$AN$4,"&gt;"&amp;E$3,'Monthly P&amp;L'!$E$4:$AN$4,"&lt;="&amp;F$3)</f>
        <v>14459245.66224185</v>
      </c>
      <c r="G30" s="114">
        <f>SUMIFS('Monthly P&amp;L'!$E30:$AN30,'Monthly P&amp;L'!$E$4:$AN$4,"&gt;"&amp;F$3,'Monthly P&amp;L'!$E$4:$AN$4,"&lt;="&amp;G$3)</f>
        <v>18624762.066852048</v>
      </c>
    </row>
    <row r="31" spans="1:7" x14ac:dyDescent="0.25">
      <c r="E31" s="72">
        <f>SUMIFS('Monthly P&amp;L'!$E31:$AN31,'Monthly P&amp;L'!$E$4:$AN$4,"&gt;"&amp;D$3,'Monthly P&amp;L'!$E$4:$AN$4,"&lt;="&amp;E$3)</f>
        <v>0</v>
      </c>
      <c r="F31" s="72">
        <f>SUMIFS('Monthly P&amp;L'!$E31:$AN31,'Monthly P&amp;L'!$E$4:$AN$4,"&gt;"&amp;E$3,'Monthly P&amp;L'!$E$4:$AN$4,"&lt;="&amp;F$3)</f>
        <v>0</v>
      </c>
      <c r="G31" s="72">
        <f>SUMIFS('Monthly P&amp;L'!$E31:$AN31,'Monthly P&amp;L'!$E$4:$AN$4,"&gt;"&amp;F$3,'Monthly P&amp;L'!$E$4:$AN$4,"&lt;="&amp;G$3)</f>
        <v>0</v>
      </c>
    </row>
    <row r="32" spans="1:7" x14ac:dyDescent="0.25">
      <c r="A32" s="123" t="s">
        <v>157</v>
      </c>
      <c r="B32" s="122"/>
      <c r="C32" s="122"/>
      <c r="D32" s="122"/>
      <c r="E32" s="114">
        <f>SUMIFS('Monthly P&amp;L'!$E32:$AN32,'Monthly P&amp;L'!$E$4:$AN$4,"&gt;"&amp;D$3,'Monthly P&amp;L'!$E$4:$AN$4,"&lt;="&amp;E$3)</f>
        <v>-1281868.1501196013</v>
      </c>
      <c r="F32" s="114">
        <f>SUMIFS('Monthly P&amp;L'!$E32:$AN32,'Monthly P&amp;L'!$E$4:$AN$4,"&gt;"&amp;E$3,'Monthly P&amp;L'!$E$4:$AN$4,"&lt;="&amp;F$3)</f>
        <v>3425540.8546228269</v>
      </c>
      <c r="G32" s="114">
        <f>SUMIFS('Monthly P&amp;L'!$E32:$AN32,'Monthly P&amp;L'!$E$4:$AN$4,"&gt;"&amp;F$3,'Monthly P&amp;L'!$E$4:$AN$4,"&lt;="&amp;G$3)</f>
        <v>12097257.495729595</v>
      </c>
    </row>
    <row r="33" spans="1:7" x14ac:dyDescent="0.25">
      <c r="A33" t="s">
        <v>170</v>
      </c>
      <c r="E33" s="65">
        <f>SUM('Fixed Assets Schedule'!E8+'Fixed Assets Schedule'!E15+'Fixed Assets Schedule'!E22+'Fixed Assets Schedule'!E29)</f>
        <v>1727753.4246575343</v>
      </c>
      <c r="F33" s="65">
        <f>SUM('Fixed Assets Schedule'!F8+'Fixed Assets Schedule'!F15+'Fixed Assets Schedule'!F22+'Fixed Assets Schedule'!F29)</f>
        <v>1949023.2801651342</v>
      </c>
      <c r="G33" s="65">
        <f>SUM('Fixed Assets Schedule'!G8+'Fixed Assets Schedule'!G15+'Fixed Assets Schedule'!G22+'Fixed Assets Schedule'!G29)</f>
        <v>1730358.8875000319</v>
      </c>
    </row>
    <row r="35" spans="1:7" x14ac:dyDescent="0.25">
      <c r="A35" s="108" t="s">
        <v>180</v>
      </c>
      <c r="B35" s="122"/>
      <c r="C35" s="122"/>
      <c r="D35" s="122"/>
      <c r="E35" s="124">
        <f>E32-E33</f>
        <v>-3009621.5747771356</v>
      </c>
      <c r="F35" s="124">
        <f t="shared" ref="F35:G35" si="0">F32-F33</f>
        <v>1476517.5744576927</v>
      </c>
      <c r="G35" s="124">
        <f t="shared" si="0"/>
        <v>10366898.608229563</v>
      </c>
    </row>
    <row r="36" spans="1:7" x14ac:dyDescent="0.25">
      <c r="A36" s="120" t="s">
        <v>181</v>
      </c>
      <c r="E36" s="65">
        <v>0</v>
      </c>
      <c r="F36" s="65">
        <v>0</v>
      </c>
      <c r="G36" s="65">
        <v>0</v>
      </c>
    </row>
    <row r="38" spans="1:7" x14ac:dyDescent="0.25">
      <c r="A38" s="108" t="s">
        <v>182</v>
      </c>
      <c r="B38" s="122"/>
      <c r="C38" s="122"/>
      <c r="D38" s="122"/>
      <c r="E38" s="124">
        <f>E35-E36</f>
        <v>-3009621.5747771356</v>
      </c>
      <c r="F38" s="124">
        <f t="shared" ref="F38:G38" si="1">F35-F36</f>
        <v>1476517.5744576927</v>
      </c>
      <c r="G38" s="124">
        <f t="shared" si="1"/>
        <v>10366898.608229563</v>
      </c>
    </row>
    <row r="39" spans="1:7" x14ac:dyDescent="0.25">
      <c r="A39" t="s">
        <v>183</v>
      </c>
      <c r="E39" s="65">
        <v>0</v>
      </c>
      <c r="F39" s="65">
        <f>F38*Assumptions!$G$103</f>
        <v>371639.47349100123</v>
      </c>
      <c r="G39" s="65">
        <f>G38*Assumptions!$G$103</f>
        <v>2609348.3796913805</v>
      </c>
    </row>
    <row r="40" spans="1:7" x14ac:dyDescent="0.25">
      <c r="A40" s="108" t="s">
        <v>184</v>
      </c>
      <c r="B40" s="122"/>
      <c r="C40" s="122"/>
      <c r="D40" s="122"/>
      <c r="E40" s="124">
        <f>E38-E39</f>
        <v>-3009621.5747771356</v>
      </c>
      <c r="F40" s="124">
        <f t="shared" ref="F40:G40" si="2">F38-F39</f>
        <v>1104878.1009666915</v>
      </c>
      <c r="G40" s="124">
        <f t="shared" si="2"/>
        <v>7757550.2285381816</v>
      </c>
    </row>
    <row r="41" spans="1:7" x14ac:dyDescent="0.25">
      <c r="A41" t="s">
        <v>185</v>
      </c>
    </row>
    <row r="42" spans="1:7" x14ac:dyDescent="0.25">
      <c r="A42" s="8" t="s">
        <v>186</v>
      </c>
      <c r="E42" s="125">
        <f>E40/E10</f>
        <v>-0.12298713238515674</v>
      </c>
      <c r="F42" s="125">
        <f t="shared" ref="F42:G42" si="3">F40/F10</f>
        <v>2.4467707757913241E-2</v>
      </c>
      <c r="G42" s="125">
        <f t="shared" si="3"/>
        <v>0.11803947474968592</v>
      </c>
    </row>
    <row r="44" spans="1:7" s="96" customFormat="1" x14ac:dyDescent="0.25">
      <c r="A44" s="97" t="s">
        <v>150</v>
      </c>
      <c r="B44" s="95"/>
      <c r="C44" s="95"/>
      <c r="D44" s="9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Problem Statement</vt:lpstr>
      <vt:lpstr>Assumptions</vt:lpstr>
      <vt:lpstr>Converter</vt:lpstr>
      <vt:lpstr>Monthly Revenue</vt:lpstr>
      <vt:lpstr>Monthly P&amp;L</vt:lpstr>
      <vt:lpstr>Capital Structure</vt:lpstr>
      <vt:lpstr>Fixed Assets Schedule</vt:lpstr>
      <vt:lpstr>Working Capital</vt:lpstr>
      <vt:lpstr>Annual P&amp;L</vt:lpstr>
      <vt:lpstr>Balance Sheet</vt:lpstr>
      <vt:lpstr>Cash Flow Statement</vt:lpstr>
      <vt:lpstr>Findings</vt:lpstr>
      <vt:lpstr>Den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cp:revision/>
  <dcterms:created xsi:type="dcterms:W3CDTF">2023-06-03T08:49:04Z</dcterms:created>
  <dcterms:modified xsi:type="dcterms:W3CDTF">2023-11-24T09:26:07Z</dcterms:modified>
</cp:coreProperties>
</file>