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tudent\Documents\GitHub Deliverable\"/>
    </mc:Choice>
  </mc:AlternateContent>
  <xr:revisionPtr revIDLastSave="0" documentId="8_{BE11FDC6-CD82-4CE7-A344-92C3064AE369}" xr6:coauthVersionLast="47" xr6:coauthVersionMax="47" xr10:uidLastSave="{00000000-0000-0000-0000-000000000000}"/>
  <bookViews>
    <workbookView xWindow="-108" yWindow="-108" windowWidth="23256" windowHeight="12576" tabRatio="958" xr2:uid="{CC7E270D-BD12-4B50-A266-B2462C6CF52F}"/>
  </bookViews>
  <sheets>
    <sheet name="database" sheetId="1" r:id="rId1"/>
    <sheet name="literature" sheetId="2" r:id="rId2"/>
    <sheet name="Mazzolli et al. 2002" sheetId="10" r:id="rId3"/>
    <sheet name="Meadows and Knowlton 2000" sheetId="11" r:id="rId4"/>
    <sheet name="Andelt et al. 1999" sheetId="12" r:id="rId5"/>
    <sheet name="Bromley and Gese 2001" sheetId="13" r:id="rId6"/>
    <sheet name="Khorozyan et al. 2017" sheetId="14" r:id="rId7"/>
    <sheet name="Pfeifer and Goos 1982" sheetId="15" r:id="rId8"/>
  </sheets>
  <definedNames>
    <definedName name="_xlnm._FilterDatabase" localSheetId="4" hidden="1">'Andelt et al. 1999'!$A$1:$C$72</definedName>
    <definedName name="_xlnm._FilterDatabase" localSheetId="5" hidden="1">'Bromley and Gese 2001'!$B$1:$E$1</definedName>
    <definedName name="_xlnm._FilterDatabase" localSheetId="0" hidden="1">database!$A$1:$K$509</definedName>
    <definedName name="_xlnm._FilterDatabase" localSheetId="6" hidden="1">'Khorozyan et al. 2017'!$A$1:$D$40</definedName>
    <definedName name="_xlnm._FilterDatabase" localSheetId="1" hidden="1">literature!$A$1:$B$291</definedName>
    <definedName name="_xlnm._FilterDatabase" localSheetId="2" hidden="1">'Mazzolli et al. 2002'!$A$1:$I$15</definedName>
    <definedName name="_xlnm._FilterDatabase" localSheetId="3" hidden="1">'Meadows and Knowlton 2000'!$B$1:$F$1</definedName>
    <definedName name="_xlnm._FilterDatabase" localSheetId="7" hidden="1">'Pfeifer and Goos 1982'!$B$1:$C$1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39" i="1" l="1"/>
  <c r="K248" i="1"/>
  <c r="K443" i="1"/>
  <c r="K228" i="1"/>
  <c r="K227" i="1"/>
  <c r="K226" i="1"/>
  <c r="K507" i="1"/>
  <c r="K506" i="1"/>
  <c r="K505" i="1"/>
  <c r="K486" i="1"/>
  <c r="K485" i="1"/>
  <c r="K484" i="1"/>
  <c r="K318" i="1"/>
  <c r="K261" i="1"/>
  <c r="K190" i="1"/>
  <c r="K157" i="1"/>
  <c r="K156" i="1"/>
  <c r="K117" i="1"/>
  <c r="K116" i="1"/>
  <c r="K115" i="1"/>
  <c r="K88" i="1"/>
  <c r="K85" i="1"/>
  <c r="K84" i="1"/>
  <c r="K9" i="1"/>
  <c r="K90" i="1"/>
  <c r="K165" i="1"/>
  <c r="K92" i="1"/>
  <c r="K470" i="1"/>
  <c r="K447" i="1"/>
  <c r="K446" i="1"/>
  <c r="K444" i="1"/>
  <c r="K350" i="1"/>
  <c r="K349" i="1"/>
  <c r="K270" i="1"/>
  <c r="K269" i="1"/>
  <c r="K268" i="1"/>
  <c r="K267" i="1"/>
  <c r="K266" i="1"/>
  <c r="K265" i="1"/>
  <c r="K264" i="1"/>
  <c r="K263" i="1"/>
  <c r="K262" i="1"/>
  <c r="K249" i="1"/>
  <c r="K185" i="1"/>
  <c r="K184" i="1"/>
  <c r="K183" i="1"/>
  <c r="K182" i="1"/>
  <c r="K181" i="1"/>
  <c r="K100" i="1"/>
  <c r="K99" i="1"/>
  <c r="K82" i="1"/>
  <c r="K89" i="1"/>
  <c r="K86" i="1"/>
  <c r="K21" i="1"/>
  <c r="K256" i="1"/>
  <c r="K438" i="1"/>
  <c r="K180" i="1"/>
  <c r="K471" i="1"/>
  <c r="K179" i="1"/>
  <c r="K330" i="1"/>
  <c r="K331" i="1"/>
  <c r="K373" i="1"/>
  <c r="K372" i="1"/>
  <c r="K371" i="1"/>
  <c r="K187" i="1"/>
  <c r="K166" i="1"/>
  <c r="K153" i="1"/>
  <c r="K154" i="1"/>
  <c r="K102" i="1"/>
  <c r="K64" i="1"/>
  <c r="K398" i="1"/>
  <c r="K327" i="1"/>
  <c r="K295" i="1"/>
  <c r="K445" i="1"/>
  <c r="K247" i="1"/>
  <c r="K134" i="1"/>
  <c r="K96" i="1"/>
  <c r="K94" i="1"/>
  <c r="K83" i="1"/>
  <c r="K479" i="1"/>
  <c r="K474" i="1"/>
  <c r="K456" i="1"/>
  <c r="K454" i="1"/>
  <c r="K453" i="1"/>
  <c r="K455" i="1"/>
  <c r="K418" i="1"/>
  <c r="K310" i="1"/>
  <c r="K277" i="1"/>
  <c r="K276" i="1"/>
  <c r="K222" i="1"/>
  <c r="K178" i="1"/>
  <c r="K177" i="1"/>
  <c r="K113" i="1"/>
  <c r="K105" i="1"/>
  <c r="K104" i="1"/>
  <c r="K47" i="1"/>
  <c r="K11" i="1"/>
  <c r="K6" i="1"/>
  <c r="K5" i="1"/>
  <c r="K4" i="1"/>
  <c r="K450" i="1"/>
  <c r="K273" i="1"/>
  <c r="K272" i="1"/>
  <c r="K258" i="1"/>
  <c r="K155" i="1"/>
  <c r="K87" i="1"/>
  <c r="K462" i="1"/>
  <c r="K257" i="1"/>
  <c r="K274" i="1"/>
  <c r="K98" i="1"/>
  <c r="K468" i="1"/>
  <c r="K467" i="1"/>
  <c r="K466" i="1"/>
  <c r="K465" i="1"/>
  <c r="K464" i="1"/>
  <c r="K463" i="1"/>
  <c r="K448" i="1"/>
  <c r="K369" i="1"/>
  <c r="K368" i="1"/>
  <c r="K367" i="1"/>
  <c r="K253" i="1"/>
  <c r="K238" i="1"/>
  <c r="K239" i="1"/>
  <c r="K209" i="1"/>
  <c r="K210" i="1"/>
  <c r="K449" i="1"/>
  <c r="K305" i="1"/>
  <c r="K296" i="1"/>
  <c r="K428" i="1"/>
  <c r="K203" i="1"/>
  <c r="K496" i="1"/>
  <c r="K500" i="1"/>
  <c r="K499" i="1"/>
  <c r="K480" i="1"/>
  <c r="K422" i="1"/>
  <c r="K421" i="1"/>
  <c r="K260" i="1"/>
  <c r="K220" i="1"/>
  <c r="K219" i="1"/>
  <c r="K218" i="1"/>
  <c r="K217" i="1"/>
  <c r="K148" i="1"/>
  <c r="K146" i="1"/>
  <c r="K74" i="1"/>
  <c r="K393" i="1"/>
  <c r="K389" i="1"/>
  <c r="K376" i="1"/>
  <c r="K354" i="1"/>
  <c r="K353" i="1"/>
  <c r="K352" i="1"/>
  <c r="K351" i="1"/>
  <c r="K346" i="1"/>
  <c r="C34" i="15"/>
  <c r="C35" i="15"/>
  <c r="C36" i="15"/>
  <c r="B36" i="15"/>
  <c r="B35" i="15"/>
  <c r="B34" i="15"/>
  <c r="K347" i="1"/>
  <c r="K342" i="1"/>
  <c r="K427" i="1"/>
  <c r="K424" i="1"/>
  <c r="K452" i="1"/>
  <c r="K451" i="1"/>
  <c r="K495" i="1"/>
  <c r="K341" i="1"/>
  <c r="K332" i="1"/>
  <c r="K329" i="1"/>
  <c r="K328" i="1"/>
  <c r="K315" i="1"/>
  <c r="K314" i="1"/>
  <c r="K313" i="1"/>
  <c r="K311" i="1"/>
  <c r="K302" i="1"/>
  <c r="K286" i="1"/>
  <c r="K285" i="1"/>
  <c r="K284" i="1"/>
  <c r="K282" i="1"/>
  <c r="K216" i="1"/>
  <c r="K214" i="1"/>
  <c r="K213" i="1"/>
  <c r="K212" i="1"/>
  <c r="K211" i="1"/>
  <c r="K208" i="1"/>
  <c r="K207" i="1"/>
  <c r="B58" i="14"/>
  <c r="B57" i="14"/>
  <c r="B56" i="14"/>
  <c r="B54" i="14"/>
  <c r="B53" i="14"/>
  <c r="B52" i="14"/>
  <c r="K206" i="1"/>
  <c r="B49" i="14"/>
  <c r="B48" i="14"/>
  <c r="B47" i="14"/>
  <c r="B45" i="14"/>
  <c r="B44" i="14"/>
  <c r="B43" i="14"/>
  <c r="K202" i="1"/>
  <c r="K188" i="1"/>
  <c r="K189" i="1"/>
  <c r="K174" i="1"/>
  <c r="K171" i="1"/>
  <c r="K158" i="1"/>
  <c r="K152" i="1"/>
  <c r="K151" i="1"/>
  <c r="K150" i="1"/>
  <c r="K149" i="1"/>
  <c r="K142" i="1"/>
  <c r="K141" i="1"/>
  <c r="K101" i="1"/>
  <c r="K81" i="1"/>
  <c r="H5" i="13"/>
  <c r="K6" i="13"/>
  <c r="K5" i="13"/>
  <c r="J6" i="13"/>
  <c r="J5" i="13"/>
  <c r="I6" i="13"/>
  <c r="I5" i="13"/>
  <c r="H6" i="13"/>
  <c r="K80" i="1"/>
  <c r="K69" i="1"/>
  <c r="K63" i="1"/>
  <c r="K62" i="1"/>
  <c r="K61" i="1"/>
  <c r="K60" i="1"/>
  <c r="K57" i="1"/>
  <c r="K51" i="1"/>
  <c r="K50" i="1"/>
  <c r="K49" i="1"/>
  <c r="K48" i="1"/>
  <c r="K44" i="1"/>
  <c r="K32" i="1"/>
  <c r="G16" i="12"/>
  <c r="F16" i="12"/>
  <c r="G15" i="12"/>
  <c r="F15" i="12"/>
  <c r="G14" i="12"/>
  <c r="F14" i="12"/>
  <c r="K399" i="1"/>
  <c r="K413" i="1"/>
  <c r="K437" i="1"/>
  <c r="K436" i="1"/>
  <c r="K482" i="1"/>
  <c r="K501" i="1"/>
  <c r="K508" i="1"/>
  <c r="K255" i="1"/>
  <c r="K254" i="1"/>
  <c r="K234" i="1"/>
  <c r="K198" i="1"/>
  <c r="K197" i="1"/>
  <c r="K196" i="1"/>
  <c r="K194" i="1"/>
  <c r="K193" i="1"/>
  <c r="K169" i="1"/>
  <c r="K168" i="1"/>
  <c r="K167" i="1"/>
  <c r="K164" i="1"/>
  <c r="K163" i="1"/>
  <c r="K123" i="1"/>
  <c r="K122" i="1"/>
  <c r="K120" i="1"/>
  <c r="K93" i="1"/>
  <c r="K504" i="1"/>
  <c r="K503" i="1"/>
  <c r="K441" i="1"/>
  <c r="K435" i="1"/>
  <c r="K340" i="1"/>
  <c r="K339" i="1"/>
  <c r="K293" i="1"/>
  <c r="K292" i="1"/>
  <c r="C45" i="11"/>
  <c r="E45" i="11"/>
  <c r="F45" i="11"/>
  <c r="B45" i="11"/>
  <c r="C44" i="11"/>
  <c r="E44" i="11"/>
  <c r="F44" i="11"/>
  <c r="B44" i="11"/>
  <c r="C43" i="11"/>
  <c r="E43" i="11"/>
  <c r="F43" i="11"/>
  <c r="B43" i="11"/>
  <c r="K271" i="1"/>
  <c r="K252" i="1"/>
  <c r="K251" i="1"/>
  <c r="K244" i="1"/>
  <c r="K199" i="1"/>
  <c r="K162" i="1"/>
  <c r="K119" i="1"/>
  <c r="K111" i="1"/>
  <c r="K65" i="1"/>
  <c r="K37" i="1"/>
  <c r="K472" i="1"/>
  <c r="K419" i="1"/>
  <c r="K420" i="1"/>
  <c r="K411" i="1"/>
  <c r="K317" i="1"/>
  <c r="K139" i="1"/>
  <c r="K125" i="1"/>
  <c r="K124" i="1"/>
  <c r="K118" i="1"/>
  <c r="K10" i="1"/>
  <c r="K221" i="1"/>
  <c r="K483" i="1"/>
  <c r="K2" i="1"/>
  <c r="K36" i="1"/>
  <c r="K401" i="1"/>
  <c r="K400" i="1"/>
  <c r="K345" i="1"/>
  <c r="K344" i="1"/>
  <c r="K338" i="1"/>
  <c r="K324" i="1"/>
  <c r="K322" i="1"/>
  <c r="K323" i="1"/>
  <c r="K321" i="1"/>
  <c r="K319" i="1"/>
  <c r="K320" i="1"/>
  <c r="K176" i="1"/>
  <c r="K175" i="1"/>
  <c r="K68" i="1"/>
  <c r="K67" i="1"/>
  <c r="K52" i="1"/>
  <c r="K46" i="1"/>
  <c r="K312" i="1"/>
  <c r="K186" i="1"/>
  <c r="K426" i="1"/>
  <c r="K425" i="1"/>
  <c r="K170" i="1"/>
  <c r="K161" i="1"/>
  <c r="K160" i="1"/>
  <c r="K108" i="1"/>
  <c r="K107" i="1"/>
  <c r="K106" i="1"/>
  <c r="K442" i="1"/>
  <c r="K390" i="1"/>
  <c r="K388" i="1"/>
  <c r="K387" i="1"/>
  <c r="K386" i="1"/>
  <c r="K383" i="1"/>
  <c r="K382" i="1"/>
  <c r="K385" i="1"/>
  <c r="K381" i="1"/>
  <c r="K380" i="1"/>
  <c r="K384" i="1"/>
  <c r="K379" i="1"/>
  <c r="K348" i="1"/>
  <c r="K326" i="1"/>
  <c r="K325" i="1"/>
  <c r="K300" i="1"/>
  <c r="K275" i="1"/>
  <c r="K232" i="1"/>
  <c r="K205" i="1"/>
  <c r="K416" i="1"/>
  <c r="K145" i="1"/>
  <c r="K144" i="1"/>
  <c r="K143" i="1"/>
  <c r="K138" i="1"/>
  <c r="K135" i="1"/>
  <c r="K121" i="1"/>
  <c r="K110" i="1"/>
  <c r="K95" i="1"/>
  <c r="K79" i="1"/>
  <c r="K66" i="1"/>
  <c r="K40" i="1"/>
  <c r="K39" i="1"/>
  <c r="K358" i="1"/>
  <c r="K294" i="1"/>
  <c r="K237" i="1"/>
  <c r="K192" i="1"/>
  <c r="K13" i="1"/>
  <c r="K12" i="1"/>
  <c r="K291" i="1"/>
  <c r="K290" i="1"/>
  <c r="K289" i="1"/>
  <c r="K287" i="1"/>
  <c r="K288" i="1"/>
  <c r="H14" i="10"/>
  <c r="H3" i="10"/>
  <c r="F3" i="10"/>
  <c r="F15" i="10" s="1"/>
  <c r="K283" i="1"/>
  <c r="H6" i="10"/>
  <c r="I6" i="10"/>
  <c r="I15" i="10"/>
  <c r="H15" i="10"/>
  <c r="G15" i="10"/>
  <c r="E15" i="10"/>
  <c r="K481" i="1"/>
  <c r="K391" i="1"/>
  <c r="K364" i="1"/>
  <c r="K223" i="1"/>
  <c r="K215" i="1"/>
  <c r="K147" i="1"/>
  <c r="K136" i="1"/>
  <c r="K126" i="1"/>
  <c r="K127" i="1"/>
  <c r="K128" i="1"/>
  <c r="K129" i="1"/>
  <c r="K130" i="1"/>
  <c r="K131" i="1"/>
  <c r="K133" i="1"/>
  <c r="K8" i="1"/>
  <c r="K41" i="1"/>
  <c r="K42" i="1"/>
  <c r="K43" i="1"/>
  <c r="K245" i="1"/>
  <c r="K250" i="1"/>
  <c r="K402" i="1"/>
  <c r="K403" i="1"/>
  <c r="K404" i="1"/>
  <c r="K405" i="1"/>
  <c r="K159" i="1"/>
  <c r="K301" i="1"/>
  <c r="K45" i="1"/>
  <c r="K38" i="1"/>
  <c r="K392" i="1"/>
  <c r="K366" i="1"/>
  <c r="K370" i="1"/>
  <c r="K355" i="1"/>
  <c r="K356" i="1"/>
  <c r="K357" i="1"/>
  <c r="K477" i="1"/>
  <c r="K478" i="1"/>
  <c r="K476" i="1"/>
  <c r="K414" i="1"/>
  <c r="K415" i="1"/>
  <c r="K417" i="1"/>
  <c r="K333" i="1"/>
  <c r="K259" i="1"/>
  <c r="K343" i="1"/>
  <c r="K172" i="1"/>
  <c r="K440" i="1"/>
  <c r="K54" i="1"/>
  <c r="K55" i="1"/>
  <c r="K56" i="1"/>
  <c r="K58" i="1"/>
  <c r="K24" i="1"/>
  <c r="K25" i="1"/>
  <c r="K26" i="1"/>
  <c r="K27" i="1"/>
  <c r="K28" i="1"/>
  <c r="K29" i="1"/>
  <c r="K30" i="1"/>
  <c r="K31" i="1"/>
  <c r="K53" i="1"/>
  <c r="K59" i="1"/>
  <c r="K70" i="1"/>
  <c r="K75" i="1"/>
  <c r="K76" i="1"/>
  <c r="K77" i="1"/>
  <c r="K78" i="1"/>
  <c r="K73" i="1"/>
  <c r="K91" i="1"/>
  <c r="K97" i="1"/>
  <c r="K109" i="1"/>
  <c r="K112" i="1"/>
  <c r="K114" i="1"/>
  <c r="K137" i="1"/>
  <c r="K173" i="1"/>
  <c r="K200" i="1"/>
  <c r="K201" i="1"/>
  <c r="K204" i="1"/>
  <c r="K225" i="1"/>
  <c r="K229" i="1"/>
  <c r="K230" i="1"/>
  <c r="K231" i="1"/>
  <c r="K233" i="1"/>
  <c r="K235" i="1"/>
  <c r="K236" i="1"/>
  <c r="K240" i="1"/>
  <c r="K241" i="1"/>
  <c r="K242" i="1"/>
  <c r="K243" i="1"/>
  <c r="K278" i="1"/>
  <c r="K279" i="1"/>
  <c r="K280" i="1"/>
  <c r="K281" i="1"/>
  <c r="K297" i="1"/>
  <c r="K298" i="1"/>
  <c r="K299" i="1"/>
  <c r="K303" i="1"/>
  <c r="K316" i="1"/>
  <c r="K334" i="1"/>
  <c r="K335" i="1"/>
  <c r="K336" i="1"/>
  <c r="K337" i="1"/>
  <c r="K377" i="1"/>
  <c r="K378" i="1"/>
  <c r="K394" i="1"/>
  <c r="K395" i="1"/>
  <c r="K396" i="1"/>
  <c r="K397" i="1"/>
  <c r="K406" i="1"/>
  <c r="K407" i="1"/>
  <c r="K408" i="1"/>
  <c r="K409" i="1"/>
  <c r="K412" i="1"/>
  <c r="K423" i="1"/>
  <c r="K429" i="1"/>
  <c r="K430" i="1"/>
  <c r="K431" i="1"/>
  <c r="K432" i="1"/>
  <c r="K433" i="1"/>
  <c r="K434" i="1"/>
  <c r="K457" i="1"/>
  <c r="K458" i="1"/>
  <c r="K459" i="1"/>
  <c r="K460" i="1"/>
  <c r="K461" i="1"/>
  <c r="K469" i="1"/>
  <c r="K473" i="1"/>
  <c r="K475" i="1"/>
  <c r="K497" i="1"/>
  <c r="K498" i="1"/>
  <c r="K502" i="1"/>
  <c r="K509" i="1"/>
  <c r="K7" i="1"/>
  <c r="K14" i="1"/>
  <c r="K15" i="1"/>
  <c r="K16" i="1"/>
  <c r="K17" i="1"/>
  <c r="K18" i="1"/>
  <c r="K19" i="1"/>
  <c r="K20" i="1"/>
  <c r="K22" i="1"/>
  <c r="K23" i="1"/>
</calcChain>
</file>

<file path=xl/sharedStrings.xml><?xml version="1.0" encoding="utf-8"?>
<sst xmlns="http://schemas.openxmlformats.org/spreadsheetml/2006/main" count="4981" uniqueCount="1174">
  <si>
    <t>crops</t>
  </si>
  <si>
    <t>No. recaptured</t>
  </si>
  <si>
    <t>Singer and Bratton 1980</t>
  </si>
  <si>
    <t>Singer F.J. and Bratton S.P. 1980. Black bear/human conflicts in the Great Smoky Mountains National Park. Bears - Their Biology and Management 4, 137-139.</t>
  </si>
  <si>
    <t>Smith et al. 2008</t>
  </si>
  <si>
    <t>Smith T.S., Herrero S., Debruyn T.D. and Wilder J.M. 2008. Efficacy of bear deterrent spray in Alaska. Journal of Wildlife Management 72, 640-645.</t>
  </si>
  <si>
    <t>Smith et al. 2012</t>
  </si>
  <si>
    <t>Mishra et al. 2003</t>
  </si>
  <si>
    <t>Bauer et al. 2017</t>
  </si>
  <si>
    <t>capacity building</t>
  </si>
  <si>
    <t>compensation from tourist fees</t>
  </si>
  <si>
    <t>No. predators killed</t>
  </si>
  <si>
    <t>Rust N.A., Whitehouse-Tedd K.M. and MacMillan D.C. 2013. Perceived efficacy of livestock-guarding dogs in South Africa: implications for cheetah conservation. Wildlife Society Bulletin 37, 690-697.</t>
  </si>
  <si>
    <t>Paper</t>
  </si>
  <si>
    <t>Predator species</t>
  </si>
  <si>
    <t>Fernando 2016</t>
  </si>
  <si>
    <t>Sri Lanka</t>
  </si>
  <si>
    <t>Johnson H.E., Lewis D.L., Lischka S.A. and Breck S.W. 2018. Assessing ecological and social outcomes of a bear-proofing experiment. Journal of Wildlife Management 82, 1102-1114.</t>
  </si>
  <si>
    <r>
      <t xml:space="preserve">Bauer H., Müller L., Van Der Goes D. and Sillero-Zubiri C. 2017. Financial compensation for damage to livestock by lions </t>
    </r>
    <r>
      <rPr>
        <i/>
        <sz val="10"/>
        <rFont val="Arial"/>
        <family val="2"/>
      </rPr>
      <t>Panthera leo</t>
    </r>
    <r>
      <rPr>
        <sz val="10"/>
        <rFont val="Arial"/>
        <family val="2"/>
      </rPr>
      <t xml:space="preserve"> on community rangelands in Kenya. Oryx 51, 106-114.</t>
    </r>
  </si>
  <si>
    <t>Maclennan et al. 2009</t>
  </si>
  <si>
    <t>compensation from compensation fund</t>
  </si>
  <si>
    <t>Gustavson C.R., Jowsey J.R. and Milligan D.N. 1982. A 3-year evaluation of taste aversion coyote control in Saskatchewan. Journal of Range Management 35, 57-59.</t>
  </si>
  <si>
    <t>% food consumed</t>
  </si>
  <si>
    <t>% households with chronic predation</t>
  </si>
  <si>
    <t>% losses</t>
  </si>
  <si>
    <t>% losses/farm</t>
  </si>
  <si>
    <t>% occasions</t>
  </si>
  <si>
    <t>% successes to cross</t>
  </si>
  <si>
    <t>Mijiddorj et al. 2018</t>
  </si>
  <si>
    <t>Mongolia</t>
  </si>
  <si>
    <t>Tobajas et al. 2020</t>
  </si>
  <si>
    <t xml:space="preserve">Tobajas J., Ruiz-Aguilera M.J., López-Bao J.V., Ferreras P. and Mateo R. 2020. The effectiveness of conditioned aversion in wolves: insights from experimental tests. Behavioural Processes 181, 104259. </t>
  </si>
  <si>
    <t>Wooldridge and Belton 1980</t>
  </si>
  <si>
    <t>No. attacks/month</t>
  </si>
  <si>
    <t xml:space="preserve">Wooldridge D.R. and Belton P. 1980. Natural and synthesized aggressive sounds as polar bear repellents. Bears - Their Biology and Management 4, 85-91. </t>
  </si>
  <si>
    <t>Yamazaki 2003</t>
  </si>
  <si>
    <t>pruning</t>
  </si>
  <si>
    <t>% damaged trees</t>
  </si>
  <si>
    <t>brush clearing</t>
  </si>
  <si>
    <t>mean, abs</t>
  </si>
  <si>
    <t>SD, abs</t>
  </si>
  <si>
    <t>SHEPHERDS</t>
  </si>
  <si>
    <t>DOGS</t>
  </si>
  <si>
    <t>Andelt 1992</t>
  </si>
  <si>
    <t>Andelt 1999</t>
  </si>
  <si>
    <t>Andelt and Hopper 2000</t>
  </si>
  <si>
    <t>Angst et al. 2002</t>
  </si>
  <si>
    <t>Beckmann et al. 2004</t>
  </si>
  <si>
    <t>Breck et al. 2011</t>
  </si>
  <si>
    <t>Breck et al. 2006</t>
  </si>
  <si>
    <t>Breck et al. 2002</t>
  </si>
  <si>
    <t>deCalesta and Cropsey 1978</t>
  </si>
  <si>
    <t>Dorrance and Bourne 1980</t>
  </si>
  <si>
    <t>Gustavson et al. 1982</t>
  </si>
  <si>
    <t>Hansen and Smith 1999</t>
  </si>
  <si>
    <t>Herrero and Higgins 1998</t>
  </si>
  <si>
    <t>Huygens and Hayashi 1999</t>
  </si>
  <si>
    <t>Iliopoulos et al. 2009</t>
  </si>
  <si>
    <t>Jelinski et al. 1983</t>
  </si>
  <si>
    <t>Kavčič et al. 2013</t>
  </si>
  <si>
    <t>Villalba L., Maffei L., Fleytas M. and Polisar J. 2016. Primeras experiencias de mitigación de conflictos entre ganaderos y grandes felinos en estancias de Paraguay. In: II. Conflictos entre felinos y humanos en América Latina (eds. Castaño-Uribe C., Lasso C.A., Hoogesteijn R., Diaz-Pulido A. and Payán E.). Serie Editorial Fauna Silvestre Neotropical. Instituto de Investigación de Recursos Biológicos Alexander von Humboldt, Bogotá, Colombia, pp. 227-236. (in Spanish)</t>
  </si>
  <si>
    <t>Pakistan</t>
  </si>
  <si>
    <r>
      <t>Ali U., Minhas R.A., Awan M.S., Ahmed K.B., Qamar Q.Z. and Dar N.I. 2016. Human-grey wolf (</t>
    </r>
    <r>
      <rPr>
        <i/>
        <sz val="10"/>
        <rFont val="Arial"/>
        <family val="2"/>
      </rPr>
      <t xml:space="preserve">Canis lupus </t>
    </r>
    <r>
      <rPr>
        <sz val="10"/>
        <rFont val="Arial"/>
        <family val="2"/>
      </rPr>
      <t>Linnaeus, 1758) conflict in Shounther Valley, District Neelum, Azad Jammu and Kashmir, Pakistan. Pakistan Journal of Zoology 48, 861-868.</t>
    </r>
  </si>
  <si>
    <t>proportion of cattle in scats</t>
  </si>
  <si>
    <t>Allen B.L. and Leung L.K-P. 2014. The (non)effects of lethal population control on the diet of Australian dingoes. PLoS One 9, e108251.</t>
  </si>
  <si>
    <t xml:space="preserve">Martin J. and O'Brien A. 2000. The use of bone oil (Renardine) as a coyote repellent on sheep farms in Ontario. Proceedings of the 19th Vertebrate Pest Conference (eds. Salmon T.P. and Crabb A.C.), pp. 310-314. Davis CA, Univ. California at Davis Press. </t>
  </si>
  <si>
    <t>Swanson V.B. and Scott G.E. 1973. Livestock protectors for sheep predator control. Proceedings of the Western Section of the American Society of Animal Science 24, 34-36.</t>
  </si>
  <si>
    <t>Otstavel et al. 2009</t>
  </si>
  <si>
    <t>Binge E.N. 2017. Guarding dogs as a mitigation tool in human-wildlife conflict. Case study: the Anatolian shepherd dog breeding project in Namaqua National Park. MSc thesis. University of Cape Town, South Africa.</t>
  </si>
  <si>
    <t>mean No. visits to detection and shock zones</t>
  </si>
  <si>
    <t>Jelinski D.E., Rounds R.C. and Jowsey J.R. 1983. Coyote predation on sheep, and control by aversive conditioning in Saskatchewan. Journal of Range Management 36, 16-19.</t>
  </si>
  <si>
    <r>
      <t>Lesilau F., Fonck M., Gatta M., Musyoki C., van Zelfde M., Persoon G.A., Musters K.C.J.M., de Snoo G.R. and de Iongh H.H. 2018. Effectiveness of a LED flashlight technique in reducing livestock depredation by lions (</t>
    </r>
    <r>
      <rPr>
        <i/>
        <sz val="10"/>
        <rFont val="Arial"/>
        <family val="2"/>
      </rPr>
      <t>Panthera leo</t>
    </r>
    <r>
      <rPr>
        <sz val="10"/>
        <rFont val="Arial"/>
        <family val="2"/>
      </rPr>
      <t>) around Nairobi National Park, Kenya. PLoS One 13, e0190898.</t>
    </r>
  </si>
  <si>
    <t>Morehouse A.T. and Boyce M.S. 2017. Evaluation of intercept feeding to reduce livestock depredation by grizzly bears. Ursus 28, 66-80.</t>
  </si>
  <si>
    <t>Garrote et al. 2015</t>
  </si>
  <si>
    <t>Iberian lynx</t>
  </si>
  <si>
    <t>Lesilau et al. 2018</t>
  </si>
  <si>
    <t>on-site education</t>
  </si>
  <si>
    <t>probability of rule violation</t>
  </si>
  <si>
    <t>Massopust J.L. and Anderson R.K. 1984. Homing tendencies of translocated nuisance black bears in northern Wisconsin. Proceedings of the Eastern Workshop on Black Bear Management and Research 7, 66-73.</t>
  </si>
  <si>
    <t>MacArthur 1981</t>
  </si>
  <si>
    <t>No. predators resuming damage infliction and returning</t>
  </si>
  <si>
    <t>acoustic deterrent + visual deterrent + physical deterrent</t>
  </si>
  <si>
    <t>Jope 1985</t>
  </si>
  <si>
    <t>Jope K.J. 1985. Implications of grizzly bear habituation to hikers. Wildlife Society Bulletin 13, 32-37.</t>
  </si>
  <si>
    <t>No. removals with recurrence</t>
  </si>
  <si>
    <t>No. camera-trap pictures/site</t>
  </si>
  <si>
    <t>No. failures</t>
  </si>
  <si>
    <t xml:space="preserve">No. begging cases </t>
  </si>
  <si>
    <t>Matchett M.R., Breck S.W. and Callon J. 2013. Efficacy of electronet fencing for excluding coyotes: a case study for enhancing production of black-footed ferrets. Wildlife Society Bulletin 37, 893-900.</t>
  </si>
  <si>
    <t>average for sheep-killing</t>
  </si>
  <si>
    <t>average for sheep-killing 1998</t>
  </si>
  <si>
    <t>average for sheep-killing 1999</t>
  </si>
  <si>
    <t>No. visits inside/outside livestock areas</t>
  </si>
  <si>
    <t>Hawley J.E., Gehring T.M., Schultz R.N., Rossler S.T. and Wydeven A.P. 2009. Assessment of shock collars as nonlethal management for wolves in Wisconsin. Journal of Wildlife Management 73, 518-525.</t>
  </si>
  <si>
    <t>Angst C. 2001. Electric fencing of fallow deer enclosures in Switzerland – a predator proof method. Carnivore Damage Prevention News 3, 8-9.</t>
  </si>
  <si>
    <t>Kirilyuk and Ke 2020</t>
  </si>
  <si>
    <t>Kirilyuk A. and Ke R. 2020. Wolf depredation on livestock in Daursky State Nature Biosphere Reserve, Russia. Journal for Nature Conservation 58, 125916.</t>
  </si>
  <si>
    <t>LeFlore et al. 2020</t>
  </si>
  <si>
    <t>cattle, goats, horses and donkeys</t>
  </si>
  <si>
    <t>enclosure + geofence + education</t>
  </si>
  <si>
    <t>financial losses in USD</t>
  </si>
  <si>
    <t>Tumenta P.N., de Iongh H.H., Funston P.J. and Udo de Haes H.A. 2013. Livestock depredation and mitigation methods practised by resident and nomadic pastoralists around Waza National Park, Cameroon. Oryx 47, 237-242.</t>
  </si>
  <si>
    <t>Van Bommel L. and Johnson C.N. 2012. Good dog! Using livestock guardian dogs to protect livestock from predators in Australia’s extensive grazing systems. Wildlife Research 39, 220-229.</t>
  </si>
  <si>
    <t>Van Liere D., Dwyer C., Jordan D., Premik-Banič A., Valenčič A., Kompan D. and Siard N. 2013. Farm characteristics in Slovene wolf habitat related to attacks on sheep. Applied Animal Behaviour Science 144, 46-56.</t>
  </si>
  <si>
    <t>Country</t>
  </si>
  <si>
    <t xml:space="preserve">Acorn and Dorrance 1994 </t>
  </si>
  <si>
    <t>Espuno N., Lequette B., Poulle M-L., Migot P. and Lebreton J-D. 2004. Heterogeneous response to preventive sheep husbandry during wolf recolonization of the French Alps. Wildlife Society Bulletin 32, 1195-1208.</t>
  </si>
  <si>
    <t>Gehring T.M., VerCauteren K.C., Provost M.L. and Cellar A.C. 2010. Utility of livestock-protection dogs for deterring wildlife from cattle farms. Wildlife Research 37, 715-721.</t>
  </si>
  <si>
    <t>Miller E.A., Young J.K., Stelting S. and Kimball B.A. 2014. Efficacy of Ropel® as a coyote repellent. Human-Wildlife Interactions 8, 271-278.</t>
  </si>
  <si>
    <t>Musiani M. and Visalberghi E. 2001. Effectiveness of fladry on wolves in captivity. Wildlife Society Bulletin 29, 91-98.</t>
  </si>
  <si>
    <t>siren</t>
  </si>
  <si>
    <t>No. predators habituating</t>
  </si>
  <si>
    <t>Coppinger et al. 1988</t>
  </si>
  <si>
    <r>
      <t>Coppinger R., Coppinger L., Langeloh G., Gettler L. and Lorenz J. 1988. A decade of use of livestock guarding dogs. Proceedings of the 13</t>
    </r>
    <r>
      <rPr>
        <vertAlign val="superscript"/>
        <sz val="10"/>
        <rFont val="Arial"/>
        <family val="2"/>
      </rPr>
      <t>th</t>
    </r>
    <r>
      <rPr>
        <sz val="10"/>
        <rFont val="Arial"/>
        <family val="2"/>
      </rPr>
      <t xml:space="preserve"> Vertebrate Pest Conference (eds. Crabb A.C. and Marsh R.E.), pp. 209-214. Univ. of California at Davis Press, Davis CA.</t>
    </r>
  </si>
  <si>
    <t>Green and Woodruff 1983</t>
  </si>
  <si>
    <t>American black bear, coyote, puma and bobcat</t>
  </si>
  <si>
    <t>Green J.S. and Woodruff R.A. 1983. The use of three breeds of dog to protect rangeland sheep from predators. Applied Animal Ethology 11, 141-161.</t>
  </si>
  <si>
    <t>Green 1989</t>
  </si>
  <si>
    <t>Green J.S. 1989. APHIS Animal Damage Control Livestock Guarding Dog Program. Proceedings of the Great Plains Wildlife Damage Control Workshop: 50-53.</t>
  </si>
  <si>
    <t>Hansen et al. 2002</t>
  </si>
  <si>
    <t>brown bear, Eurasian lynx and wolverine</t>
  </si>
  <si>
    <t>Hansen I., Staatland T. and Ringsø A. 2002. Patrolling with livestock guard dogs: a potential method to reduce predation on sheep. Acta Agriculturae Scandinavica, sect. A. Animal Sciences 52, 43-48.</t>
  </si>
  <si>
    <t>Horgan 2015</t>
  </si>
  <si>
    <t>No. killed/farm and year</t>
  </si>
  <si>
    <t>Potgieter et al. 2016</t>
  </si>
  <si>
    <t>% farms reporting kills</t>
  </si>
  <si>
    <t>caracal</t>
  </si>
  <si>
    <t>Bromley and Gese 2001</t>
  </si>
  <si>
    <t>sterilization</t>
  </si>
  <si>
    <t>toxic collar</t>
  </si>
  <si>
    <t>poisoning</t>
  </si>
  <si>
    <t>trapping and shooting</t>
  </si>
  <si>
    <t>strychnine baiting</t>
  </si>
  <si>
    <t>Okemwa et al. 2018</t>
  </si>
  <si>
    <t>LED flash light near bomas</t>
  </si>
  <si>
    <t>lion, spotted hyena, leopard and cheetah</t>
  </si>
  <si>
    <t>No. attacks/6 months</t>
  </si>
  <si>
    <t>No. killed/6 months</t>
  </si>
  <si>
    <t>National Project Steering Committee 2014. National wild dog action plan: promoting and supporting community-driven action for landscape-scale wild dog management. WoolProducers Australia, Barton ACT.</t>
  </si>
  <si>
    <t>coyote, red fox, gray fox, bobcat and wild dog</t>
  </si>
  <si>
    <t>livestock and poultry in general</t>
  </si>
  <si>
    <t>Sampson F.W. and Brohn A. 1955. Missouri’s program of extension predator control. Journal of Wildlife Management 19, 272-280.</t>
  </si>
  <si>
    <t>Rabinowitz A.R. 1986. Jaguar predation on domestic livestock in Belize. Wildlife Society Bulletin 14, 170-174.</t>
  </si>
  <si>
    <t>Ross and Jalkotzy 1996</t>
  </si>
  <si>
    <r>
      <t xml:space="preserve">Ross P.I. and Jalkotzy M.G. 1996. Fate of translocated cougars </t>
    </r>
    <r>
      <rPr>
        <i/>
        <sz val="10"/>
        <rFont val="Arial"/>
        <family val="2"/>
      </rPr>
      <t xml:space="preserve">Felis concolor </t>
    </r>
    <r>
      <rPr>
        <sz val="10"/>
        <rFont val="Arial"/>
        <family val="2"/>
      </rPr>
      <t>in Alberta. Cat News 25, 15-16.</t>
    </r>
  </si>
  <si>
    <t>Zimbabwe</t>
  </si>
  <si>
    <t>Anonymous 1997</t>
  </si>
  <si>
    <t>Anonymous. 1997. Livestock killers translocated in Zimbabwe. Cat News 27, 11.</t>
  </si>
  <si>
    <t>Aziz 1998</t>
  </si>
  <si>
    <t xml:space="preserve">Aziz T. 1998. Tigers saved by cattle compensation scheme in india. Cat News 29, 9. </t>
  </si>
  <si>
    <t>Miller et al. 2011</t>
  </si>
  <si>
    <t>Garrote G., López G., Gil-Sánchez J.M., Rojas E., Ruiz M., Bueno J.F., de Lillo S., Rodriguez-Siles J., Martin J.M., Pérez J., García-Tardío M., Valenzuela G. and Simón M.A. 2013. Human-felid conflict as a further handicap to the conservation of the critically endangered Iberian lynx. European Journal of Wildlife Research 59, 287-290.</t>
  </si>
  <si>
    <t>Goodrich et al. 2011</t>
  </si>
  <si>
    <t>Bauder et al. 2020</t>
  </si>
  <si>
    <t>Andelt W.F. 1999. Relative effectiveness of guarding-dog breeds to deter predation on domestic sheep in Colorado. Wildlife Society Bulletin 27, 706-714.</t>
  </si>
  <si>
    <t>Salkina G. 2000. Experiments in scaring away tigers in Russia. Cat News 33, 6-8.</t>
  </si>
  <si>
    <t>Athreya 2012</t>
  </si>
  <si>
    <t>% predators with allured behavior</t>
  </si>
  <si>
    <t>No. incidents</t>
  </si>
  <si>
    <t>Athreya V. 2012. Conflict resolution and leopard conservation in a human-dominated landscape. PhD dissertation. Manipal University, 146 p.</t>
  </si>
  <si>
    <t>Alldredge et al. 2019</t>
  </si>
  <si>
    <t>Alldredge M.W., Buderman F.E. and Blecha K.A. 2019. Human-cougar interactions in the wildland-urban interface of Colorado’s front range. Ecology and Evolution 9, 10415-10431.</t>
  </si>
  <si>
    <t>Guerisoli et al. 2017</t>
  </si>
  <si>
    <t>Argentina</t>
  </si>
  <si>
    <t>Allen L.R. 2014. Wild dog control impacts on calf wastage in extensive beef cattle enterprises. Animal Production Science 54, 214-220.</t>
  </si>
  <si>
    <t>Beckmann J.P., Lackey C.W. and Berger J. 2004. Evaluation of deterrent techniques and dogs to alter behavior of “nuisance” black bears. Wildlife Society Bulletin 32, 1141-1146.</t>
  </si>
  <si>
    <t>Herrero S. and Higgins A. 1998. Field use of capsicum spray as a bear deterrent. Ursus 10, 533-537.</t>
  </si>
  <si>
    <t>McManus J.S., Dickman A.J., Gaynor D., Smuts B.H. and Macdonald D.W. 2015. Dead or alive? Comparing costs and benefits of lethal and non-lethal human-wildlife conflict mitigation on livestock farms. Oryx 49, 687-695.</t>
  </si>
  <si>
    <t>Salvatori V. and Mertens A.D. 2012. Damage prevention methods in Europe: experiences from LIFE nature projects. Hystrix 23, 73-79.</t>
  </si>
  <si>
    <t>Knarrum et al. 2006</t>
  </si>
  <si>
    <t>invasive management + acoustic deterrent</t>
  </si>
  <si>
    <t>GPS collar-activated acoustic and visual deterrents</t>
  </si>
  <si>
    <t>GPS collar-activated sounds and strobe light</t>
  </si>
  <si>
    <t>Campbell et al. 2019</t>
  </si>
  <si>
    <t>fetal/calf loss</t>
  </si>
  <si>
    <t>Campbell G., Coffey A., Miller H., Read J.L., Brook A., Fleming P.J.S., Bird P., Eldridge S. and Allen B.L. 2019. Dingo baiting did not reduce fetal/calf loss in beef cattle in northern South Australia. Animal Production Science 59, 319-330.</t>
  </si>
  <si>
    <t>Peirce K.N. and Van Daele L.J. 2006. Use of a garbage dump by brown bears in Dillingham, Alaska. Ursus 17, 165-177.</t>
  </si>
  <si>
    <t>Rauer et al. 2003</t>
  </si>
  <si>
    <t>Austria</t>
  </si>
  <si>
    <t xml:space="preserve">Rauer G., Kaczensky P. and Knauer F. 2003. Experiences with aversive conditioning of habituated brown bears in Austria and other European countries. Ursus 14, 215-224. </t>
  </si>
  <si>
    <t>Otto T.E. and Roloff G.J. 2015. Black bear exclusion fences to protect mobile apiaries. Human-Wildlife Interactions 9, 78-86.</t>
  </si>
  <si>
    <t>Peirce and Van Daele 2006</t>
  </si>
  <si>
    <t>Leigh 2007</t>
  </si>
  <si>
    <t>husbandry + non-invasive management</t>
  </si>
  <si>
    <t>husbandry + invasive management + non-invasive management</t>
  </si>
  <si>
    <t>before-after</t>
  </si>
  <si>
    <t>Sitio Sao Pedro</t>
  </si>
  <si>
    <t>Sta Cruz</t>
  </si>
  <si>
    <t>TOTAL</t>
  </si>
  <si>
    <t xml:space="preserve">Living sheep </t>
  </si>
  <si>
    <t>Ellins and Catalano 1980</t>
  </si>
  <si>
    <t>Fritts et al. 1984</t>
  </si>
  <si>
    <t>Gates et al. 1978</t>
  </si>
  <si>
    <t>Gillin et al. 1994</t>
  </si>
  <si>
    <t>Gonzalez et al. 2012</t>
  </si>
  <si>
    <t>Hawley et al. 2009</t>
  </si>
  <si>
    <t>Khan 2009</t>
  </si>
  <si>
    <t>Landriault et al. 2006</t>
  </si>
  <si>
    <t>Linhart 1984</t>
  </si>
  <si>
    <t>Matchett et al. 2013</t>
  </si>
  <si>
    <t>Miller and Ballard 1982</t>
  </si>
  <si>
    <t>Ogada et al. 2003</t>
  </si>
  <si>
    <t>Pimenta et al. 2017</t>
  </si>
  <si>
    <t>Poudyal N., Baral N. and Asah S.T. 2016. Wolf lethal control and livestock depredations: counter-evidence from respecified models. PLoS One 11, e0148743.</t>
  </si>
  <si>
    <t>Robel et al. 1981</t>
  </si>
  <si>
    <r>
      <t>Khorozyan I., Ghoddousi S., Soufi M., Soofi M. and Waltert M. 2020. Studded leather collars are very effective in protecting cattle from leopard (</t>
    </r>
    <r>
      <rPr>
        <i/>
        <sz val="10"/>
        <rFont val="Arial"/>
        <family val="2"/>
      </rPr>
      <t>Panthera pardus</t>
    </r>
    <r>
      <rPr>
        <sz val="10"/>
        <rFont val="Arial"/>
        <family val="2"/>
      </rPr>
      <t>) attacks. Ecological Solutions and Evidence 1, e12013.</t>
    </r>
  </si>
  <si>
    <t>pepper spray + rubber bullet + cracker shell + dogs</t>
  </si>
  <si>
    <t>Ropel animal repellent</t>
  </si>
  <si>
    <t>thiabendazole</t>
  </si>
  <si>
    <t>motorized water pistol</t>
  </si>
  <si>
    <t>metal sheeting</t>
  </si>
  <si>
    <t>protective collar</t>
  </si>
  <si>
    <t>shocking device</t>
  </si>
  <si>
    <t>shortgun with bean bag rounds</t>
  </si>
  <si>
    <t>trunk netting</t>
  </si>
  <si>
    <t>chanting mantras</t>
  </si>
  <si>
    <t>surgery</t>
  </si>
  <si>
    <t>light + rockets</t>
  </si>
  <si>
    <t>strobe light + siren</t>
  </si>
  <si>
    <t>fire</t>
  </si>
  <si>
    <t>flash light</t>
  </si>
  <si>
    <t>gas exploder</t>
  </si>
  <si>
    <t>scarecrow</t>
  </si>
  <si>
    <t>strobe light</t>
  </si>
  <si>
    <r>
      <t>Garrote G., Lopez G., Ruiz M., de Lillo S., Bueno J.F. and Simon M.A. 2015. Effectiveness of electric fences as a means to prevent Iberian lynx (</t>
    </r>
    <r>
      <rPr>
        <i/>
        <sz val="10"/>
        <rFont val="Arial"/>
        <family val="2"/>
      </rPr>
      <t>Lynx pardinus</t>
    </r>
    <r>
      <rPr>
        <sz val="10"/>
        <rFont val="Arial"/>
        <family val="2"/>
      </rPr>
      <t>) predation on lambs. Hystrix 26, 61-62.</t>
    </r>
  </si>
  <si>
    <t>Bangladesh</t>
  </si>
  <si>
    <t>No. tiger-specific barking signals</t>
  </si>
  <si>
    <r>
      <t xml:space="preserve">Khan M.M.H. 2009. Can domestic dogs save humans from tigers </t>
    </r>
    <r>
      <rPr>
        <i/>
        <sz val="10"/>
        <rFont val="Arial"/>
        <family val="2"/>
      </rPr>
      <t>Panthera tigris</t>
    </r>
    <r>
      <rPr>
        <sz val="10"/>
        <rFont val="Arial"/>
        <family val="2"/>
      </rPr>
      <t>? Oryx 43, 44-47.</t>
    </r>
  </si>
  <si>
    <t>visitation rate</t>
  </si>
  <si>
    <t>Weise F.J., Wiesel I., Lemeris J. Jr. and van Vuuren R.J. 2015c. Evaluation of a conflict-related brown hyena translocation in central Namibia. African Journal of Wildlife Research 45, 178-186.</t>
  </si>
  <si>
    <t>Kuiper et al. 2015</t>
  </si>
  <si>
    <r>
      <t>Gehring T.M., Hawly J.E., Davidson S.J., Rossler S.T., Cellar A.C., Schultz R.N., Wydeven A.P. and VerCauteren K.C. 2006. Are viable non-lethal management tools available for reducing wolf-human conflict? In Proceedings of the 22</t>
    </r>
    <r>
      <rPr>
        <vertAlign val="superscript"/>
        <sz val="10"/>
        <rFont val="Arial"/>
        <family val="2"/>
      </rPr>
      <t>nd</t>
    </r>
    <r>
      <rPr>
        <sz val="10"/>
        <rFont val="Arial"/>
        <family val="2"/>
      </rPr>
      <t xml:space="preserve"> Vertebrate Pest Conference (eds. Timm R.M. and O’Brien J.M.), pp. 2-6. Univ. of California at Davis Press, Davis CA.</t>
    </r>
  </si>
  <si>
    <t>trapping</t>
  </si>
  <si>
    <t>Cavalcanti S.M.C., Crawshaw P.G. and Tortato F.R. 2012. Use of electric fencing and associated measures as deterrents to jaguar predation on cattle in the Pantanal of Brazil. In: Fencing for Conservation (eds. Somers M.J. and Hayward M.W.), pp. 295-309. NY, Springer.</t>
  </si>
  <si>
    <t>Nuninger et al. 2017</t>
  </si>
  <si>
    <t>bait (beef, chicken)</t>
  </si>
  <si>
    <t xml:space="preserve">acoustic deterrent </t>
  </si>
  <si>
    <t>No. feeding events/min</t>
  </si>
  <si>
    <t>deodorant</t>
  </si>
  <si>
    <t>hanging aluminum sheets</t>
  </si>
  <si>
    <t>movement-activated ultrasound garden protector</t>
  </si>
  <si>
    <t>radio</t>
  </si>
  <si>
    <t>chemical deterrent + visual deterrent</t>
  </si>
  <si>
    <t>burnt sheep wool + red flash light</t>
  </si>
  <si>
    <t>Ribeiro S. and Petrucci-Fonseca F. 2005. The use of livestock guarding dogs in Portugal. Carnivore Damage Prevention News 9, 27-33.</t>
  </si>
  <si>
    <t>Rigg 2004</t>
  </si>
  <si>
    <t>mean No. killed</t>
  </si>
  <si>
    <t>Rigg R. 2004. The extent of predation on livestock by large carnivores in Slovakia and mitigating carnivore-human conflict using livestock guarding dogs. MSc thesis. University of Aberdeen, UK.</t>
  </si>
  <si>
    <t>Blejwas K.M., Sacks B.N., Jaeger M.M. and McCullough D.R. 2002. The effectiveness of selective removal of breeding coyotes in reducing sheep predation. Journal of Wildlife Management 66, 451-462.</t>
  </si>
  <si>
    <t>Hipolito et al. 2020</t>
  </si>
  <si>
    <t>No. damaged/attack</t>
  </si>
  <si>
    <t>Hipólito D., Reljić S., Rosalino L.M., Wilson S.M., Fonseca C. and Huber Đ. 2020. Brown bear damage: patterns and hotspots in Croatia. Oryx 54, 511-519.</t>
  </si>
  <si>
    <t>bait (sheep/goat carcass)</t>
  </si>
  <si>
    <t>Iliopoulos et al. 2019</t>
  </si>
  <si>
    <r>
      <t>Iliopoulos Y., Astaras C., Lazarou Y., Petridou M., Kazantzidis S. and Waltert M. 2019. Tools for co-existence: fladry corrals efficiently repel wild wolves (</t>
    </r>
    <r>
      <rPr>
        <i/>
        <sz val="10"/>
        <rFont val="Arial"/>
        <family val="2"/>
      </rPr>
      <t>Canis lupus</t>
    </r>
    <r>
      <rPr>
        <sz val="10"/>
        <rFont val="Arial"/>
        <family val="2"/>
      </rPr>
      <t xml:space="preserve">) from experimental baiting sites. Wildlife Research 46, 484-498. </t>
    </r>
  </si>
  <si>
    <t>Goodrich J.M., Seryodkin I., Miquelle D.G. and Bereznuk S.L. 2011. Conflicts between Amur (Siberian) tigers and humans in the Russian Far East. Biological Conservation 144, 584-592.</t>
  </si>
  <si>
    <t>Jamwal et al. 2019</t>
  </si>
  <si>
    <t>mixed</t>
  </si>
  <si>
    <t>Jamwal P.S., Takpa J. and Parsons M.H. 2019. Factors contributing to a striking shift in human-wildlife dynamics in Hemis National Park, India: 22 years of reported snow leopard depredation. Oryx 53, 58-62.</t>
  </si>
  <si>
    <t>Khorozyan et al. 2017</t>
  </si>
  <si>
    <t>presence of shepherds</t>
  </si>
  <si>
    <t>Iran</t>
  </si>
  <si>
    <t>Treves et al. 2002</t>
  </si>
  <si>
    <t>Treves A., Jurewicz R.R., Naughton-Treves L., Rose R.A., Willging R.C. and Wydeven A.P. 2002. Wolf depredation on domestic animals in Wisconsin, 1976-2000. Wildlife Society Bulletin 30, 231-241.</t>
  </si>
  <si>
    <t>Bear Aware campaign</t>
  </si>
  <si>
    <t>probability of trash availability</t>
  </si>
  <si>
    <t>Appleby R., Smith B., Mackie J., Bernede L. and Jones D. 2017. Preliminary observations of dingo responses to assumed aversive stimuli. Pacific Conservation Biology 23, 295-301.</t>
  </si>
  <si>
    <r>
      <t>Armistead A.R., Mitchell K. and Connolly G. 1994. Bear relocations to avoid bear/sheep conflicts. Proceedings of the 16</t>
    </r>
    <r>
      <rPr>
        <vertAlign val="superscript"/>
        <sz val="10"/>
        <rFont val="Arial"/>
        <family val="2"/>
      </rPr>
      <t>th</t>
    </r>
    <r>
      <rPr>
        <sz val="10"/>
        <rFont val="Arial"/>
        <family val="2"/>
      </rPr>
      <t xml:space="preserve"> Vertebrate Pest Conference (eds. Halverson W.S. and Crabb A.C.), pp. 31-35. Univ. of California at Davis Press, Davis CA.</t>
    </r>
  </si>
  <si>
    <t>thick walls and wire mesh roof</t>
  </si>
  <si>
    <t>wire mesh roof</t>
  </si>
  <si>
    <t>Afghanistan</t>
  </si>
  <si>
    <t xml:space="preserve">Mohammad G., Mostafawi S.N., Dadul J. and Rosen T. 2016. Corral improvements. In: Snow leopards (eds. McCarthy T. and Mallon D.), pp. 180-183. Elsevier, Amsterdam. </t>
  </si>
  <si>
    <t>Bagchi et al. 2020</t>
  </si>
  <si>
    <t>livestock exclusion + capacity building + herding</t>
  </si>
  <si>
    <t>% livestock in diet</t>
  </si>
  <si>
    <t>Bagchi S., Sharma R.K. and Bhatnagar Y.V. 2020. Change in snow leopard predation on livestock after revival of wild prey in the Trans-Himalaya. Wildlife Biology 2020, wlb.00583.</t>
  </si>
  <si>
    <t>Alldredge M.W., Walsh D.P., Sweanor L.L., Davies R.B. and Trujillo A. 2015. Evaluation of translocation of black bears involved in human-bear conflicts in south-central Colorado. Wildlife Society Bulletin 39, 334-340.</t>
  </si>
  <si>
    <t>Anderson et al. 2002</t>
  </si>
  <si>
    <t>acoustic deterrent</t>
  </si>
  <si>
    <t>Barrett et al. 2014</t>
  </si>
  <si>
    <t>non-invasive management</t>
  </si>
  <si>
    <t>food/garbage isolation</t>
  </si>
  <si>
    <t>bear-proof bins</t>
  </si>
  <si>
    <t>Dondina O., Meriggi A., Dagradi V., Perversi M. and Milanesi P. 2015. Wolf predation on livestock in an area of northern Italy and prediction of damage risk. Ethology, Ecology and Evolution 27, 200-219.</t>
  </si>
  <si>
    <t>Anderson C.R., Ternent M.A. and Moody D.S. 2002. Grizzly bear-cattle interactions on two grazing allotments in northwest Wyoming. Ursus 13, 247-256.</t>
  </si>
  <si>
    <t>No. culprit captures</t>
  </si>
  <si>
    <t>Stander P.E. 1990. A suggested management strategy for stock-raiding lions in Namibia. South African Journal of Wildlife Research 20, 37-43.</t>
  </si>
  <si>
    <t>Peebles K.A., Wielgus R.B., Maletzke B.T. and Swanson M.E. 2013. Effects of remedial sport hunting on cougar complaints and livestock depredations. PLoS One 8, e79713.</t>
  </si>
  <si>
    <t>Goodrich and Miquelle 2005</t>
  </si>
  <si>
    <t>Rosas-Rosas O.C. and Valdez R. 2010. The role of landowners in jaguar conservation in Sonora, Mexico. Conservation Biology 24, 366-371.</t>
  </si>
  <si>
    <t>Weise et al. 2019</t>
  </si>
  <si>
    <t>geofence</t>
  </si>
  <si>
    <t>geofence triggering SMS alert from GPS collars to locals when crossed by predators</t>
  </si>
  <si>
    <t>annual loss in USD</t>
  </si>
  <si>
    <t>puma - 1993</t>
  </si>
  <si>
    <t>American black bear - 1993</t>
  </si>
  <si>
    <t>domestic dog - 1993</t>
  </si>
  <si>
    <t>Coyote ID</t>
  </si>
  <si>
    <t>Sutton A.E., Downey M.G., Kamande E., Munyao F., Rinaldi M., Taylor A.K. and Pimm S. 2017. Boma fortification is cost-effective at reducing predation of livestock in a high-predation zone in the Western Mara region, Kenya. Conservation Evidence 14, 32-38.</t>
  </si>
  <si>
    <t>Santiago-Avila F.J., Cornman A.M. and Treves A. 2018. Killing wolves to prevent predation on livestock may protect one farm but harm neighbors. PLoS One 13, e0189729.</t>
  </si>
  <si>
    <t>Schultz R.N., Jonas K.W., Skuldt L.H. and Wydeven A.P. 2005. Experimental use of dog-training shock collars to deter depredation by gray wolves. Wildlife Society Bulletin 33, 142-148.</t>
  </si>
  <si>
    <t>Rigg R., Findo S., Wechselberger M., Gorman M.L., Sillero-Zubiri C. and Macdonald D.W. 2011. Mitigating carnivore-livestock conflict in Europe: lessons from Slovakia. Oryx 45, 272-280.</t>
  </si>
  <si>
    <r>
      <t xml:space="preserve">Landa A., Gudvangen K., Swenson J.E. and Røskaft E. 1999. Factors associated with wolverine </t>
    </r>
    <r>
      <rPr>
        <i/>
        <sz val="10"/>
        <rFont val="Arial"/>
        <family val="2"/>
      </rPr>
      <t xml:space="preserve">Gulo gulo </t>
    </r>
    <r>
      <rPr>
        <sz val="10"/>
        <rFont val="Arial"/>
        <family val="2"/>
      </rPr>
      <t>predation on domestic sheep. Journal of Applied Ecology 36, 963-973.</t>
    </r>
  </si>
  <si>
    <t>No. compensated</t>
  </si>
  <si>
    <t>Lichtenfeld L.L., Trout C. and Kisimir E.L. 2015. Evidence-based conservation: predator-proof bomas protect livestock and lions. Biodiversity and Conservation 24, 483-491.</t>
  </si>
  <si>
    <t>Mazzolli M., Graipel M.E. and Dunstone N. 2002. Mountain lion depredation in southern Brazil. Biological Conservation 105, 43-51.</t>
  </si>
  <si>
    <t>Journal (1)/non-journal(0)</t>
  </si>
  <si>
    <t>journal</t>
  </si>
  <si>
    <t>Linhart et al. 1979</t>
  </si>
  <si>
    <t>cattle, sheep and horses</t>
  </si>
  <si>
    <t>cattle and horses</t>
  </si>
  <si>
    <t>mixed deterrents</t>
  </si>
  <si>
    <t>chemical deterrent + physical deterrent + acoustic deterrent</t>
  </si>
  <si>
    <t>chemical deterrent + physical deterrent + acoustic deterrent + dogs</t>
  </si>
  <si>
    <t>fortified boma, thin walls</t>
  </si>
  <si>
    <t>guarding animals + enclosure</t>
  </si>
  <si>
    <t>guarding donkeys + enclosure (night)</t>
  </si>
  <si>
    <t>air shots</t>
  </si>
  <si>
    <t>aluminum sheets</t>
  </si>
  <si>
    <t>bell collar</t>
  </si>
  <si>
    <t>bird sounds + shortgun and gun rubber bullets</t>
  </si>
  <si>
    <t>different sounds + scarecrow</t>
  </si>
  <si>
    <t>discharging firearms</t>
  </si>
  <si>
    <t>freon horn</t>
  </si>
  <si>
    <t>noise</t>
  </si>
  <si>
    <t>noise + strobe light</t>
  </si>
  <si>
    <t>siren + strobe light</t>
  </si>
  <si>
    <t>yelling + approaching + throwing objects</t>
  </si>
  <si>
    <t>aggressive bear sounds</t>
  </si>
  <si>
    <t>coyote urine</t>
  </si>
  <si>
    <t>wolf scats and urine</t>
  </si>
  <si>
    <t>bone oil = Renardine</t>
  </si>
  <si>
    <t>capsaicin</t>
  </si>
  <si>
    <t>LiCl or pepper</t>
  </si>
  <si>
    <t>LiCl</t>
  </si>
  <si>
    <t>napthalene and others</t>
  </si>
  <si>
    <t>pepper spray + rubber bullet + cracker shell</t>
  </si>
  <si>
    <t>baiting (poison)</t>
  </si>
  <si>
    <t>proportion of died/year</t>
  </si>
  <si>
    <t>Blanchard B.M. and Knight R.R. 1995. Biological consequences of relocating grizzly bears in the Yellowstone ecosystem. Journal of Wildlife Management 59, 560-565.</t>
  </si>
  <si>
    <t>Bourne J. and Dorrance M.J. 1982. A field test of lithium chloride aversion to reduce coyote predation on domestic sheep. Journal of Wildlife Management 46, 235-239.</t>
  </si>
  <si>
    <t>Breck S.W., Poessel S.A. and Bonnell M.A. 2017. Evaluating lethal and nonlethal management options for urban coyotes. Human-Wildlife Interactions 11, 133-145.</t>
  </si>
  <si>
    <t>Burns R.J. 1983. Microencapsulated lithium chloride bait aversion did not stop coyote predation on sheep. Journal of Wildlife Management 47, 1010-1017.</t>
  </si>
  <si>
    <t>LeFlore E.G., Fuller T.K., Tomeletso M., Dimbindo T.C. and Stein A.B. 2020. Human dimensions of human-lion conflict: a pre- and post-assessment of a lion conservation programme in the Okavango Delta, Botswana. Environmental Conservation 47, 182-189.</t>
  </si>
  <si>
    <t>Louis et al. 2020</t>
  </si>
  <si>
    <t>red wolf scats</t>
  </si>
  <si>
    <t>% nights with coyote camera-trap pictures</t>
  </si>
  <si>
    <t>No. attacks/boma-month</t>
  </si>
  <si>
    <t>Ciucci P. and Boitani L. 1998. Wolf and dog depredation on livestock in central Italy. Wildlife Society Bulletin 26, 504-514.</t>
  </si>
  <si>
    <t>Musiani M., Mamo C., Boitani L., Callaghan C., Gates C.C., Mattei L., Visalberghi E., Breck S. and Volpi G. 2003. Wolf depredation trends and the use of flandry barriers to protect livestock in western North America. Conservation Biology 17, 1538-1547.</t>
  </si>
  <si>
    <t>Palmer B.C., Conover M.R. and Frey S.N. 2010. Replication of a 1970s study on domestic sheep losses to predators on Utah’s summer rangelands. Rangeland Ecology and Management 63, 689-695.</t>
  </si>
  <si>
    <t>Linhart et al. 1992</t>
  </si>
  <si>
    <t>Lance et al. 2010</t>
  </si>
  <si>
    <t>electrified fladry</t>
  </si>
  <si>
    <t>electric fence + visual deterrent</t>
  </si>
  <si>
    <t>Fernando S. 2016. Evaluation of alternative strategies to limit leopard predation on livestock around Yala National Park, Sri Lanka. MSc thesis. Clark University, 34 p.</t>
  </si>
  <si>
    <t>Garrote et al. 2013</t>
  </si>
  <si>
    <t>poultry</t>
  </si>
  <si>
    <t xml:space="preserve">No. enclosures attacked </t>
  </si>
  <si>
    <t>Allen 2014</t>
  </si>
  <si>
    <t>National Project Steering Committee 2014</t>
  </si>
  <si>
    <t>Sampson and Brohn 1955</t>
  </si>
  <si>
    <t>Wagner and Conover 1999</t>
  </si>
  <si>
    <t>Mahoney and Charry 2005</t>
  </si>
  <si>
    <t>Fernandez-Gil et al. 2016</t>
  </si>
  <si>
    <t>Edgar et al. 2007</t>
  </si>
  <si>
    <t>Shivik et al. 2003</t>
  </si>
  <si>
    <t>Gehring et al. 2006</t>
  </si>
  <si>
    <t>% died</t>
  </si>
  <si>
    <t>Mahoney S. and Charry A.A. 2005. The use of alpacas as new-born lamb protectors to minimize fox predation. Extension Farming Systems Journal 1, 65-70.</t>
  </si>
  <si>
    <t>untrasound device</t>
  </si>
  <si>
    <t>No. occasions with bait consumption</t>
  </si>
  <si>
    <t>Bradley et al. 2005</t>
  </si>
  <si>
    <t>invasive management</t>
  </si>
  <si>
    <t>translocation</t>
  </si>
  <si>
    <t>No. wolves preying on livestock</t>
  </si>
  <si>
    <t>Bjorge R.R. and Gunson J.R. 1985. Evaluation of wolf control to reduce cattle predation in Alberta. Journal of Range Management 35, 483-487.</t>
  </si>
  <si>
    <t>Protected assets</t>
  </si>
  <si>
    <t>No. holes dug/week</t>
  </si>
  <si>
    <t>USA/Canada</t>
  </si>
  <si>
    <t>bait (tuna)</t>
  </si>
  <si>
    <t>bait (rabbits)</t>
  </si>
  <si>
    <t>No. feeding events/day</t>
  </si>
  <si>
    <t>fortified boma (pole)</t>
  </si>
  <si>
    <t>% enclosures</t>
  </si>
  <si>
    <t>fortified boma (bush)</t>
  </si>
  <si>
    <t>cattle, sheep, llama and horses</t>
  </si>
  <si>
    <t>% sightings inside/outside</t>
  </si>
  <si>
    <t>injection (LiCl)</t>
  </si>
  <si>
    <t>intraperitoneal injection</t>
  </si>
  <si>
    <t>Heard H.W. and Stephenson A. 1987. Electrification of a fence to control the movements of black-backed jackals. South African Journal of Wildlife Research 17, 20-24.</t>
  </si>
  <si>
    <t>Study design</t>
  </si>
  <si>
    <t>González A., Novaro A., Funes M., Pailacura O., Bolgeri M.J. and Walker S. 2012. Mixed-breed guarding dogs reduce conflict between goat herders and native carnivores in Patagonia. Human-Wildlife Interactions 6, 327-334.</t>
  </si>
  <si>
    <t>Athreya et al. 2010</t>
  </si>
  <si>
    <t>cattle and sheep/goats</t>
  </si>
  <si>
    <t>Morehouse and Boyce 2017</t>
  </si>
  <si>
    <t>No. killed</t>
  </si>
  <si>
    <t>crops and beehives</t>
  </si>
  <si>
    <t>chemical deterrent</t>
  </si>
  <si>
    <t>physical deterrent</t>
  </si>
  <si>
    <t>visual deterrent</t>
  </si>
  <si>
    <t>guarding animals</t>
  </si>
  <si>
    <t>supplemental feeding</t>
  </si>
  <si>
    <t>jaguar</t>
  </si>
  <si>
    <t>sheep (lamb)</t>
  </si>
  <si>
    <t>sheep (ewe)</t>
  </si>
  <si>
    <t xml:space="preserve">Thomson P.C., Marlow N.J., Rose K. and Kok N.E. 2000. The effectiveness of a large-scale baiting campaign and an evaluation of a buffer zone strategy for fox control. Wildlife Research 27, 465-472.  </t>
  </si>
  <si>
    <t>Till and Knowlton 1983</t>
  </si>
  <si>
    <t>denning</t>
  </si>
  <si>
    <t>removal of pups only</t>
  </si>
  <si>
    <t>removal of adults and pups</t>
  </si>
  <si>
    <t>Till J.A. and Knowlton F.F. 1983. Efficacy of denning in alleviating coyote depredations upon domestic sheep. Journal of Wildlife Management 47, 1018-1025.</t>
  </si>
  <si>
    <t>VerCauteren et al. 2003</t>
  </si>
  <si>
    <t>sound CD, pop-up scarecrow and strob light activated by predators</t>
  </si>
  <si>
    <t>RCT</t>
  </si>
  <si>
    <t>ewe-control</t>
  </si>
  <si>
    <t>lamb-treatment</t>
  </si>
  <si>
    <t>lamb-control</t>
  </si>
  <si>
    <t>SD</t>
  </si>
  <si>
    <t>n</t>
  </si>
  <si>
    <t>Landriault et al. 2009</t>
  </si>
  <si>
    <t>cattle, goats, swine and horses</t>
  </si>
  <si>
    <t>acoustic and visual deterrents</t>
  </si>
  <si>
    <t>infrared-activated sounds and strobe light</t>
  </si>
  <si>
    <t>kg food consumed</t>
  </si>
  <si>
    <t>Shivik J.A., Wilson R.R. and Gilbert-Norton L. 2011b. Will an artificial scent boundary prevent coyote intrusion? Wildlife Society Bulletin 35, 494-497.</t>
  </si>
  <si>
    <t>No. occurrences</t>
  </si>
  <si>
    <r>
      <t xml:space="preserve">Landriault L.J., Brown G.S., Hamr J. and Mallory F.F. 2009. Age, sex and relocation distance as predictors of return for relocated nuisance black bears </t>
    </r>
    <r>
      <rPr>
        <i/>
        <sz val="10"/>
        <rFont val="Arial"/>
        <family val="2"/>
      </rPr>
      <t>Ursus americanus</t>
    </r>
    <r>
      <rPr>
        <sz val="10"/>
        <rFont val="Arial"/>
        <family val="2"/>
      </rPr>
      <t xml:space="preserve"> in Ontario, Canada. Wildlife Biology 15, 155-164.</t>
    </r>
  </si>
  <si>
    <t>No. days inside/outside livestock areas</t>
  </si>
  <si>
    <t>Schultz et al. 2005</t>
  </si>
  <si>
    <t>shock collar</t>
  </si>
  <si>
    <t>Davidson-Nelson and Gehring 2010</t>
  </si>
  <si>
    <t>Gehring et al. 2010</t>
  </si>
  <si>
    <t>No.visits/day inside/outside livestock areas</t>
  </si>
  <si>
    <t>Espuno et al. 2004</t>
  </si>
  <si>
    <t>France</t>
  </si>
  <si>
    <t>Bradley et al. 2015</t>
  </si>
  <si>
    <t>lethal control</t>
  </si>
  <si>
    <t>shooting</t>
  </si>
  <si>
    <t>full pack removal</t>
  </si>
  <si>
    <t>partial pack removal</t>
  </si>
  <si>
    <t>probability of depredation</t>
  </si>
  <si>
    <t>Poudyal et al. 2016</t>
  </si>
  <si>
    <t>Santiago-Avila et al. 2018</t>
  </si>
  <si>
    <t>Bjorge and Gunson 1985</t>
  </si>
  <si>
    <t>neck bell</t>
  </si>
  <si>
    <t>probability of moving forward and charging</t>
  </si>
  <si>
    <t>resettlement of people</t>
  </si>
  <si>
    <t>livestock occurrence in diet</t>
  </si>
  <si>
    <t>snow leopard, Eurasian lynx, wolf and brown bear</t>
  </si>
  <si>
    <t>Cavalcanti et al. 2012</t>
  </si>
  <si>
    <t>No. killed/farm</t>
  </si>
  <si>
    <t>No. killed/enclosure</t>
  </si>
  <si>
    <t>Not given for cattle and goats as livestock corrals were not used for them.</t>
  </si>
  <si>
    <t>Comly-Gericke L.M. and Vaughan M.R. 1997. Survival and reproduction of translocated Virginia black bears. International Conference of Bear Research and Management 9, 113-117.</t>
  </si>
  <si>
    <t>Massopust and Anderson 1984</t>
  </si>
  <si>
    <t>insurance</t>
  </si>
  <si>
    <t>Nepal</t>
  </si>
  <si>
    <t>Gurung G.S., Thapa K., Kunkel K., Thapa G.J., Kollmair M. and Mueller Boeker U. 2011. Enhancing herders' livelihood and conserving the snow leopard in Nepal. Cat News 55, 17-21.</t>
  </si>
  <si>
    <t>Salkina 2000</t>
  </si>
  <si>
    <t>No. killed/month</t>
  </si>
  <si>
    <t>No. damage records/unit</t>
  </si>
  <si>
    <t>Bitrex</t>
  </si>
  <si>
    <t>UK</t>
  </si>
  <si>
    <t>milk consumption rate in s/hr</t>
  </si>
  <si>
    <t>Macdonald D.W. and Baker S.E. 2004. Non-lethal control of fox predation: the potential of generalised aversion. Animal Welfare 13, 77-85.</t>
  </si>
  <si>
    <t>Massei et al. 2003</t>
  </si>
  <si>
    <t>levamisole</t>
  </si>
  <si>
    <t>Massei G., Lyon A. and Cowan D.P. 2003. Levamisole can induce conditioned taste aversion in foxes. Wildlife Research 30, 633-637.</t>
  </si>
  <si>
    <t>Clark J.D., Dobey S., Masters D.V., Scheick B.K., Pelton M.R. and Sunquist M.E. 2005. American black bears and bee yard depredation at Okefenokee Swamp, Georgia. Ursus 16, 234-244.</t>
  </si>
  <si>
    <t>Fies M.L., Martin D.D. and Blank Jr. G.T. 1987. Movements and rates of return of translocated black bears in Virginia. International Conference on Bear Research and Management 7, 369-372.</t>
  </si>
  <si>
    <t>Fies et al. 1987</t>
  </si>
  <si>
    <t>Fredrikkson 2005</t>
  </si>
  <si>
    <t>sun bear</t>
  </si>
  <si>
    <t>tree plantations</t>
  </si>
  <si>
    <t>Indonesia</t>
  </si>
  <si>
    <t>Fredrikkson G. 2005. Human-sun bear conflicts in East Kalimantan, Indonesian Borneo. Ursus 16, 130-137.</t>
  </si>
  <si>
    <t>Gore et al. 2008</t>
  </si>
  <si>
    <t>food/garbage removal</t>
  </si>
  <si>
    <t>change of habits</t>
  </si>
  <si>
    <t>not feeding pets outdoors</t>
  </si>
  <si>
    <t>storing barbecue stuff indoors</t>
  </si>
  <si>
    <t>using birdfeeders in cold time</t>
  </si>
  <si>
    <t>vegetation care</t>
  </si>
  <si>
    <t>harvesting fruits from trees</t>
  </si>
  <si>
    <t>Davidson-Nelson S.J. and Gehring T.M. 2010. Testing fladry as a nonlethal management tool for wolves and coyotes in Michigan. Human-Wildlife Interactions 4, 87-94.</t>
  </si>
  <si>
    <t>Connolly and Burns 1990</t>
  </si>
  <si>
    <t>sheep (captive)</t>
  </si>
  <si>
    <t>sheep (field)</t>
  </si>
  <si>
    <r>
      <t>Connolly G. and Burns R.J. 1990. Efficacy of Compound 1080 livestock protection collars for killing coyotes that attack sheep. Proceedings of the 14</t>
    </r>
    <r>
      <rPr>
        <vertAlign val="superscript"/>
        <sz val="10"/>
        <rFont val="Arial"/>
        <family val="2"/>
      </rPr>
      <t>th</t>
    </r>
    <r>
      <rPr>
        <sz val="10"/>
        <rFont val="Arial"/>
        <family val="2"/>
      </rPr>
      <t xml:space="preserve"> Vertebrate Pest Conference (eds. Davis L.R. and Marsh R.E.), pp. 269-276. Univ. of California at Davis Press, Davis CA.</t>
    </r>
  </si>
  <si>
    <t>Hoover and Conover 1998</t>
  </si>
  <si>
    <t>irritating chemicals</t>
  </si>
  <si>
    <t>captive (food)</t>
  </si>
  <si>
    <t>captive (eggs)</t>
  </si>
  <si>
    <t>Hoover S.E. and Conover M.R. 1998. Effectiveness of volatile irritants at reducing consumption of eggs by captive coyotes. Journal of Wildlife Management 62, 399-405.</t>
  </si>
  <si>
    <t>Hoover and Conover 2000</t>
  </si>
  <si>
    <t>pulegone (dipped)</t>
  </si>
  <si>
    <t>pulegone (injected)</t>
  </si>
  <si>
    <t>% predators which chose treatments</t>
  </si>
  <si>
    <t>Hoover S.E. and Conover M.R. 2000. Using eggs containing an irritating odor to teach mammalian predators to stop depredating eggs. Wildlife Society Bulletin 28, 84-89.</t>
  </si>
  <si>
    <t>Linhart S.B., Sterner R.T., Carrigan T.C. and Henne D.R. 1979. Komondor guard dogs reduce sheep losses to coyotes: a preliminary evaluation. Journal of Range Management 32, 238-241.</t>
  </si>
  <si>
    <t>Andelt W.F., Phillips R.L., Gruver K.S. and Guthrie J.W. 1999. Coyote predation on domestic sheep deterred with electronic dog-training collar. Wildlife Society Bulletin 27, 12-18.</t>
  </si>
  <si>
    <t>ultrasound mole repeller</t>
  </si>
  <si>
    <t>Andelt W.F. 1992. Effectiveness of livestock guarding dogs for reducing predation on domestic sheep. Wildlife Society Bulletin 20, 55-62.</t>
  </si>
  <si>
    <t>coyote - 1986</t>
  </si>
  <si>
    <t>coyote - 1993</t>
  </si>
  <si>
    <t>No. returning</t>
  </si>
  <si>
    <t>fladry</t>
  </si>
  <si>
    <t>Papworth et al. 2014</t>
  </si>
  <si>
    <t>Papworth S.K., Kang A., Rao M., Chin S.T., Zhao H., Zhao X. and Carrasco L.R. 2014. Bear-proof fences reduce livestock losses in the Tibetan Autonomous Region, China. Conservation Evidence 11, 8-11.</t>
  </si>
  <si>
    <t>China</t>
  </si>
  <si>
    <t>Rogers L.L. 1984. Reactions of free-ranging black bears to capsaicin spray repellent. Wildlife Society Bulletin 12, 59-61.</t>
  </si>
  <si>
    <t>Van Der Meulen 1977</t>
  </si>
  <si>
    <t>Van Der Meulen J.H. 1977. Notes on the capture and translocation of stock raiding lions in north eastern and north western Rhodesia. South African Journal of Wildlife Research 7, 15-17.</t>
  </si>
  <si>
    <t>Burns et al. 1984</t>
  </si>
  <si>
    <t>No. attacks with kills</t>
  </si>
  <si>
    <r>
      <t>Goodrich J.M. and Miquelle D.G. 2005. Translocation of problem Amur tigers</t>
    </r>
    <r>
      <rPr>
        <i/>
        <sz val="10"/>
        <rFont val="Arial"/>
        <family val="2"/>
      </rPr>
      <t xml:space="preserve"> Panthera pardus altaica</t>
    </r>
    <r>
      <rPr>
        <sz val="10"/>
        <rFont val="Arial"/>
        <family val="2"/>
      </rPr>
      <t xml:space="preserve"> to alleviate tiger-human conflicts. Oryx 39, 454-457.</t>
    </r>
  </si>
  <si>
    <t>Schumann et al. 2006</t>
  </si>
  <si>
    <t>livestock and game</t>
  </si>
  <si>
    <t>swing gates</t>
  </si>
  <si>
    <t>No. predators passing</t>
  </si>
  <si>
    <t>Schumann M., Schumann B., Dickman A., Watson L.H. and Marker L. 2006. Assessing the use of swing gates in game fences as a potential non-lethal predator exclusion technique. South African Journal of Wildlife Research 36, 173-181.</t>
  </si>
  <si>
    <t>Weilenmann et al. 2010</t>
  </si>
  <si>
    <t>Weilenmann M., Gusset M., Mills D.R., Gabanapelo T. and Schiess-Meier M. 2010. Is translocation of stock-raiding leopards into a protected area with resident conspecifics an effective management tool? Wildlife Research 37, 702-707.</t>
  </si>
  <si>
    <t>Weise et al. 2015b</t>
  </si>
  <si>
    <t>Nuninger L.M., Becker L. and Bologov V.V. 2017. Neophobia in captive wolves evoked by simple, low-cost disruptive stimuli. Carnivore Damage Prevention News 13, 17-24.</t>
  </si>
  <si>
    <t>Pacioni et al. 2018</t>
  </si>
  <si>
    <t>baiting (poison), trapping and shooting</t>
  </si>
  <si>
    <t>poisoning, trapping and shooting</t>
  </si>
  <si>
    <t>predator density</t>
  </si>
  <si>
    <t>Pacioni C., Kennedy M.S., Berry O., Stephens D. and Schumaker N.H. 2018. Spatially-explicit model for assessing wild dog control strategies in western Australia. Ecological Modelling 368, 246-256.</t>
  </si>
  <si>
    <t>Petracca et al. 2019</t>
  </si>
  <si>
    <t>probability of return</t>
  </si>
  <si>
    <t>Petracca L.S., Frair J.L., Bastille-Rousseau G., Hunt J.E., Macdonald D.W., Sibanda L. and Loveridge A.J. 2019. The effectiveness of hazing African lions as a conflict mitigation tool: implications for carnivore management. Ecosphere 10, e02967.</t>
  </si>
  <si>
    <t>Saitone and Bruno 2020</t>
  </si>
  <si>
    <t>bait (biscuit)</t>
  </si>
  <si>
    <t>ziram</t>
  </si>
  <si>
    <t>No. visits</t>
  </si>
  <si>
    <t>Clark J.E., van Manen F.T. and Pelton M.I.B. 2002. Correlates of success for on-site releases of nuisance black bears in Great Smoky Mountains National Park. Wildlife Society Bulletin 30, 104-111.</t>
  </si>
  <si>
    <t>Cornell D. and Cornely J.E. 1979. Aversive conditioning of campground coyotes in Joshua Tree National Monument. Wildlife Society Bulletin 7, 129-131.</t>
  </si>
  <si>
    <t>No. predators trespassing</t>
  </si>
  <si>
    <t>turkey</t>
  </si>
  <si>
    <t>Ellins S.R. and Catalano S.M. 1980. Field application of the conditioned taste aversion paradigm to the control of coyote predation on sheep and turkeys. Behavioral and Neural Biology 29, 532-536.</t>
  </si>
  <si>
    <t>Davies J.C. and Rockwell R.F. 1986. An electric fence to deter polar bears. Wildlife Society Bulletin 14, 406-409.</t>
  </si>
  <si>
    <t>acoustic deterrent + physical deterrent</t>
  </si>
  <si>
    <t>No. ranchers killing predators</t>
  </si>
  <si>
    <t xml:space="preserve">Andean fox </t>
  </si>
  <si>
    <t>crossover</t>
  </si>
  <si>
    <t>BACI</t>
  </si>
  <si>
    <t>lion, leopard, spotted hyena and black-backed jackal</t>
  </si>
  <si>
    <t>aversion</t>
  </si>
  <si>
    <t>husbandry</t>
  </si>
  <si>
    <t>red fox</t>
  </si>
  <si>
    <t>alpaca</t>
  </si>
  <si>
    <t>black-backed jackal, caracal and leopard</t>
  </si>
  <si>
    <t>South Africa</t>
  </si>
  <si>
    <t>polar bear</t>
  </si>
  <si>
    <t>predators in general</t>
  </si>
  <si>
    <t>Finland</t>
  </si>
  <si>
    <t>coyote, puma and American black bear</t>
  </si>
  <si>
    <t>Slovakia</t>
  </si>
  <si>
    <t>goats</t>
  </si>
  <si>
    <t>Portugal</t>
  </si>
  <si>
    <t>Spain</t>
  </si>
  <si>
    <t>Croatia</t>
  </si>
  <si>
    <t>beehive</t>
  </si>
  <si>
    <t>enclosure</t>
  </si>
  <si>
    <t>African wild dog</t>
  </si>
  <si>
    <t>puma and jaguar</t>
  </si>
  <si>
    <t>Mexico</t>
  </si>
  <si>
    <t>Asiatic black bear</t>
  </si>
  <si>
    <t>Rossler S.W., Gehring T.M., Schultz R.N., Rossler M.T., Wydeven A.P. and Hawley J.E. 2012. Shock collars as a site-aversive conditioning tool for wolves. Wildlife Society Bulletin 36, 176-184.</t>
  </si>
  <si>
    <t>Gustavson C.R., Garcia J., Hankins W.G. and Rusiniak K.W. 1974. Coyote predation control by aversive conditioning. Science 184, 581-583.</t>
  </si>
  <si>
    <t>Stone S.A., Breck S.W., Timberlake J., Haswell P.M., Najera F., Bean B.S. and Thornhill D.J. 2017. Adaptive use of nonlethal strategies for minimizing wolf-sheep conflict in Idaho. Journal of Mammalogy 98, 33-44.</t>
  </si>
  <si>
    <t>Alldredge et al. 2015</t>
  </si>
  <si>
    <t>livestock in general and neighborhood safety</t>
  </si>
  <si>
    <t>Andelt et al. 1999</t>
  </si>
  <si>
    <t>Meadows L.E. and Knowlton F.F. 2000. Efficacy of guard llamas to reduce canine predation on domestic sheep. Wildlife Society Bulletin 28, 614-622.</t>
  </si>
  <si>
    <t>Griffiths et al. 1978</t>
  </si>
  <si>
    <t>Griffiths R.E, Connolly G.E, Burns R.J. and Sterner R.T. 1978. Coyotes, sheep and lithium chloride. Proceedings of the Vertebrate Pest Conference 8, 190-196.</t>
  </si>
  <si>
    <r>
      <t>Houben J.M., Bonwell W.R. and McConnell T.R. 2004. Development of the West Virginia Integrated Predation Management Program to protect livestock. Proceedings of the 21</t>
    </r>
    <r>
      <rPr>
        <vertAlign val="superscript"/>
        <sz val="10"/>
        <rFont val="Arial"/>
        <family val="2"/>
      </rPr>
      <t>st</t>
    </r>
    <r>
      <rPr>
        <sz val="10"/>
        <rFont val="Arial"/>
        <family val="2"/>
      </rPr>
      <t xml:space="preserve"> Vertebrate Pest Conference (eds. Timm R.M. and Gorenzel W.P.), pp. 70-74. Univ. of California at Davis Press, Davis CA.</t>
    </r>
  </si>
  <si>
    <t>Houben et al. 2004</t>
  </si>
  <si>
    <t>shooting, trapping, poisoning</t>
  </si>
  <si>
    <t>No. killed/farm/year</t>
  </si>
  <si>
    <t>Makkay et al. 2010</t>
  </si>
  <si>
    <r>
      <t>Makkay A.M., Burguess K.I., Zellner A.S. and Huffman J.E. 2010. Retrofitting dumpsters with bear resistant lids to reduce human-bear conflict in New Jersey. Proceedings of the 24</t>
    </r>
    <r>
      <rPr>
        <vertAlign val="superscript"/>
        <sz val="10"/>
        <rFont val="Arial"/>
        <family val="2"/>
      </rPr>
      <t>th</t>
    </r>
    <r>
      <rPr>
        <sz val="10"/>
        <rFont val="Arial"/>
        <family val="2"/>
      </rPr>
      <t xml:space="preserve"> Vertebrate Pest Conference (eds. Timm R.M. and Fagerstone K.A.), pp. 278-284. Univ. of California at Davis Press, Davis CA.</t>
    </r>
  </si>
  <si>
    <t>No. camera-trap pictures/day</t>
  </si>
  <si>
    <r>
      <t>Nolte D.L., Veenendaal T.J., Partridge S.T., Robbins C.T., Ziegltrum G.J. and Fersterer P. 2002. Bear response to supplemental feed offered to reduce tree peeling. Proceedings of the 20</t>
    </r>
    <r>
      <rPr>
        <vertAlign val="superscript"/>
        <sz val="10"/>
        <rFont val="Arial"/>
        <family val="2"/>
      </rPr>
      <t>th</t>
    </r>
    <r>
      <rPr>
        <sz val="10"/>
        <rFont val="Arial"/>
        <family val="2"/>
      </rPr>
      <t xml:space="preserve"> Vertebrate Pest Conference (eds. Timm R.M. and Schmidt R.H.), pp. 330-339. Univ. of California at Davis Press, Davis CA.</t>
    </r>
  </si>
  <si>
    <t>Nolte et al. 2002</t>
  </si>
  <si>
    <t>Khorozyan et al. 2020</t>
  </si>
  <si>
    <t>Alexander et al. 2015</t>
  </si>
  <si>
    <t>Ali et al. 2016</t>
  </si>
  <si>
    <t>Allen and Leung 2014</t>
  </si>
  <si>
    <t>Baker et al. 2007</t>
  </si>
  <si>
    <t>Dar et al. 2009</t>
  </si>
  <si>
    <t>Woodroffe R., Frank L.G., Lindsey P.A., ole Ranah S.M.K. and Romañach S. 2007. Livestock husbandry as a tool for carnivore conservation in Africa’s community rangelands: a case-control study. Biodiversity and Conservation 16, 1245-1260.</t>
  </si>
  <si>
    <t>Zarco-González M.M. and Monroy-Vilchis O. 2014. Effectiveness of low-cost deterrents in decreasing livestock predation by felids: a case in Central Mexico. Animal Conservation 17, 371-378.</t>
  </si>
  <si>
    <t>Kavčič I., Adamič M., Kaczensky P., Krofel M. and Jerina K. 2013. Supplemental feeding with carrion is not reducing brown bear depredations on sheep in Slovenia. Ursus 24, 111-119.</t>
  </si>
  <si>
    <t>Binge 2017</t>
  </si>
  <si>
    <t>Hoogesteijn et al. 2016</t>
  </si>
  <si>
    <t>Villalba et al. 2016</t>
  </si>
  <si>
    <t>LED flash light</t>
  </si>
  <si>
    <t>Paraguay</t>
  </si>
  <si>
    <t xml:space="preserve">Hoogesteijn A.L., Tortato F., Hoogesteijn R., Viana D., Concone H.V.B. and Crawshaw P. Jr. 2016. Experiencias en manejo antidepredatorio por jaguars y pumas en el Pantanal de Brasil. In: II. Conflictos entre felinos y humanos en América Latina (eds. Castaño-Uribe C., Lasso C.A., Hoogesteijn R., Diaz-Pulido A. and Payán E.). Serie Editorial Fauna Silvestre Neotropical. Instituto de Investigación de Recursos Biológicos Alexander von Humboldt, Bogotá, Colombia, pp. 211-226. (in Spanish) </t>
  </si>
  <si>
    <t>Rogers L.L. 1986. Effects of translocation distance on frequency of return by adult black bears. Wildlife Society Bulletin 14, 76-80.</t>
  </si>
  <si>
    <t>Rogers L.L. 2011. Does diversionary feeding create nuisance bears and jeopardize public safety? Human-Wildlife Interactions 5, 287-295.</t>
  </si>
  <si>
    <t>captive</t>
  </si>
  <si>
    <t>Ellins S.R. 2005. Living with coyotes: managing predators humanely using food aversion conditioning. Austin, University of Texas Press.</t>
  </si>
  <si>
    <t>Stoynov et al. 2014</t>
  </si>
  <si>
    <t>replacement of sheep/goats by cattle</t>
  </si>
  <si>
    <t>Bulgaria</t>
  </si>
  <si>
    <t>Stoynov E., Grozdanov A., Stanchev S., Peshev H., Vangelova N. and Peshev D. 2014. How to avoid depredation on livestock by wolf – theories and tests. Bulgarian Journal of Agricultural Science 20, 129-134.</t>
  </si>
  <si>
    <t>Maclennan S.D., Groom R.J., Macdonald D.W. and Frank L.G. 2009. Evaluation of a compensation scheme to bring about pastoralist tolerance of lions. Biological Conservation 142, 2419-2427.</t>
  </si>
  <si>
    <t>India</t>
  </si>
  <si>
    <t>Athreya V., Odden M., Linnell J.D.C. and Karanth K.U. 2010. Translocation as a tool for mitigating conflict with leopards in human-dominated landscapes of India. Conservation Biology 25, 133-141.</t>
  </si>
  <si>
    <t>Stander 1990</t>
  </si>
  <si>
    <t>Namibia</t>
  </si>
  <si>
    <t>Allen 2000</t>
  </si>
  <si>
    <t>% killed/living</t>
  </si>
  <si>
    <t>Burns R.J. and Connolly G.E. 1980. Lithium chloride bait aversion did not influence prey killing by coyotes. Proceedings of the Vertebrate Pest Conference 9, 200-204</t>
  </si>
  <si>
    <t>Burns and Connolly 1980</t>
  </si>
  <si>
    <t>jackrabbits</t>
  </si>
  <si>
    <t>No. killed and consumed</t>
  </si>
  <si>
    <t>Burns et al. 1988</t>
  </si>
  <si>
    <t>Burns R.J., Connolly G. and Savarie P.J. 1988. Large livestock protection collars effective against coyotes. Proceedings of the 13th Vertebrate Pest Conference (eds. Crabb A.C. and Marsh R.E.), pp. 215-219. Univ. of California at Davis Press, Davis CA.</t>
  </si>
  <si>
    <t>Dorrance and Roy 1978</t>
  </si>
  <si>
    <t>Dorrance M.J. and Roy L.D. 1978. Aversive conditioning tests of black bears in beeyards failed. Proceedings of the Vertebrate Pest Conference 8, 251-254.</t>
  </si>
  <si>
    <t>No. beehives damaged, 1975</t>
  </si>
  <si>
    <t>No. beehives damaged, 1976</t>
  </si>
  <si>
    <t>Cupric sulphate</t>
  </si>
  <si>
    <t>Horn 1983</t>
  </si>
  <si>
    <t>Miller et al. 2014</t>
  </si>
  <si>
    <t>Musiani and Visalberghi 2001</t>
  </si>
  <si>
    <t>No. foods consumed fully and partly after treatment</t>
  </si>
  <si>
    <t>chickens</t>
  </si>
  <si>
    <t>No. pairs habituating</t>
  </si>
  <si>
    <t>lambs</t>
  </si>
  <si>
    <t>rabbits</t>
  </si>
  <si>
    <t xml:space="preserve">No. attacks </t>
  </si>
  <si>
    <t>guarding dogs + enclosure (night)</t>
  </si>
  <si>
    <t>Stone et al. 2017</t>
  </si>
  <si>
    <t>husbandry + aversion</t>
  </si>
  <si>
    <t>herding, guarding animals and deterrents</t>
  </si>
  <si>
    <t>Potgieter G.C., Kerley G.I.H. and Marker L.L. 2016. More bark than bite? The role of livestock guarding dogs in predator control on Namibian farmlands. Oryx 50, 514-522.</t>
  </si>
  <si>
    <t>Rabinowitz 1986</t>
  </si>
  <si>
    <t>Belize</t>
  </si>
  <si>
    <t>No. records inside/outside</t>
  </si>
  <si>
    <t>non-cultivated fields</t>
  </si>
  <si>
    <t>Honda T., Miyagawa Y., Ueda H. and Inoue M. 2009. Effectiveness of newly-designed electric fences in reducing crop damage by medium and large mammals. Mammal Study 34, 13-17.</t>
  </si>
  <si>
    <t>sheep/goat</t>
  </si>
  <si>
    <t>enclosure (stone, wire mesh)</t>
  </si>
  <si>
    <t>Jackson R.M. and Wangchuk R. 2004. A community-based approach to mitigating livestock depredation by snow leopards. Human Dimensions of Wildlife 9, 307-315.</t>
  </si>
  <si>
    <t>Kuiper T.R., Loveridge A.J., Parker D.M., Johnson P.J., Hunt J.E., Stapelkamp B., Sibanda L. and Macdonald D.W. 2015. Seasonal herding practices influence predation on domestic stock by African lions along a protected area boundary. Biological Conservation 191, 546-554.</t>
  </si>
  <si>
    <t>Mattiello S., Bresciani T., Gaggero S., Russo C. and Mazzarone V. 2012. Sheep predation: characteristics and risk factors. Small Ruminant Research 105, 315-320.</t>
  </si>
  <si>
    <t>enclosure + herding</t>
  </si>
  <si>
    <t>Montalvo V., Alfaro L., Saenz C., Cruz J., Fuller T.K. and Carrillo E. 2016. Factors affecting jaguar and puma predation on livestock in Costa Rica. Wildlife Biology in Practice 12, 32-42.</t>
  </si>
  <si>
    <t>cattle (calves), sheep/goats and small game</t>
  </si>
  <si>
    <r>
      <t xml:space="preserve">Selebatso M., Moe S.R. and Swenson J.E. 2008. Do farmers support cheetah </t>
    </r>
    <r>
      <rPr>
        <i/>
        <sz val="10"/>
        <rFont val="Arial"/>
        <family val="2"/>
      </rPr>
      <t xml:space="preserve">Acinonyx jubatus </t>
    </r>
    <r>
      <rPr>
        <sz val="10"/>
        <rFont val="Arial"/>
        <family val="2"/>
      </rPr>
      <t>conservation in Botswana despite livestock depredation? Oryx 42, 430-436.</t>
    </r>
  </si>
  <si>
    <t>Bhutan</t>
  </si>
  <si>
    <t>cattle, goats, horses and pigs</t>
  </si>
  <si>
    <t>dhole</t>
  </si>
  <si>
    <t>Tshering K. and Thinley P. 2017. Assessing livestock herding practices of agro-pastoralists in western Bhutan: livestock vulnerability to predation and implications for livestock management policy. Pastoralism: Research, Policy and Practice 7, 5.</t>
  </si>
  <si>
    <t>Comly-Gericke and Vaughan 1997</t>
  </si>
  <si>
    <t>Wooldridge D.R. 1983. Polar bear electronic deterrent and detection systems. International Conference of Bear Research and Management 5, 264-269.</t>
  </si>
  <si>
    <r>
      <t>VerCauteren K.C., Lavelle M.J. and Moyles S. 2003. Coyote-activated frightening devices for reducing sheep predation on open range. Proceedings of the 10</t>
    </r>
    <r>
      <rPr>
        <vertAlign val="superscript"/>
        <sz val="10"/>
        <rFont val="Arial"/>
        <family val="2"/>
      </rPr>
      <t>th</t>
    </r>
    <r>
      <rPr>
        <sz val="10"/>
        <rFont val="Arial"/>
        <family val="2"/>
      </rPr>
      <t xml:space="preserve"> Wildlife Damage Management Conference (eds. Fagerstone K.A. and Witmer G.W.), pp. 146-151.</t>
    </r>
  </si>
  <si>
    <t xml:space="preserve">Gore M.L., Knuth B.A., Scherer C.W. and Curtis P.D. 2008. Evaluating a conservation investment designed to reduce human-wildlife conflict. Conservation Letters 1, 136-145. </t>
  </si>
  <si>
    <t>Hamr et al. 2015</t>
  </si>
  <si>
    <t>Johnson et al. 2018</t>
  </si>
  <si>
    <t>Louis M.M., Tucker S.M., Stoskopf M.K. and Kennedy-Stoskopf S. 2020. Evaluating red wolf scat to deter coyote access to urban pastureland. Human-Wildlife Interactions 14, 192-199.</t>
  </si>
  <si>
    <t>Radford et al. 2020</t>
  </si>
  <si>
    <t>artificial eyespots on rump</t>
  </si>
  <si>
    <t>Radford C., McNutt J.W., Rogers T., Maslen B. and Jordan N. 2020. Artificial eyespots on cattle reduce predation by large carnivores. Communications Biology 3, 430.</t>
  </si>
  <si>
    <t>Tiwari et al. 2020</t>
  </si>
  <si>
    <t>Tiwari M.P., Devkota B.P., Jackson R.M., Chhetri B.B.K. and Bagale S. 2020. What factors predispose households in Trans-Himalaya (central Nepal) to livestock predation by snow leopards. Animals 10, 2187.</t>
  </si>
  <si>
    <t>Van Der Weyde et al. 2020</t>
  </si>
  <si>
    <t>proportion of losses</t>
  </si>
  <si>
    <t>Van Der Weyde L.K., Kokole M., Modise C., Mbinda B., Seele P. and Klein R. 2020. Reducing livestock-carnivore conflict on rural farms using local livestock guarding dogs. Journal of Vertebrate Biology 69, 20090.</t>
  </si>
  <si>
    <t>Thompson B.C. 1979. Evaluation of wire fences for coyote control. Journal of Range Management 32, 457-461.</t>
  </si>
  <si>
    <t>Miller C.S., Petrunenko Y.K., Goodrich J.M., Hebblewhite M., Seryodkin I.V. and Miquelle D.G. 2011. Translocation a success, but poaching remains a problem for Amur tigers. Cat News 55, 22-25.</t>
  </si>
  <si>
    <t>Gurung et al. 2011</t>
  </si>
  <si>
    <t>snow leopard</t>
  </si>
  <si>
    <t>yak (juveniles)</t>
  </si>
  <si>
    <t>Manoa and Mwaura 2016</t>
  </si>
  <si>
    <t>donkey</t>
  </si>
  <si>
    <t>Manoa D.O. and Mwaura F. 2016. Predator-proof bomas as a tool in mitigating human-predator conflict in Loitokitok Sub-County, Amboseli region of Kenya. Natural Resources 7, 28-39.</t>
  </si>
  <si>
    <t>Gillin C.M., Hammond F.M. and Peterson C.M. 1994. Evaluation of aversive conditioning technique used on female grizzly bears in the Yellowstone ecosystem. International Conference on Bear Research and Management 9, 503-512.</t>
  </si>
  <si>
    <t>% attacks</t>
  </si>
  <si>
    <t>% killed</t>
  </si>
  <si>
    <t>No. depredation events (kills)</t>
  </si>
  <si>
    <t>No. mass kills</t>
  </si>
  <si>
    <t>proportion of returning individuals</t>
  </si>
  <si>
    <t>No. attacks/boma</t>
  </si>
  <si>
    <t>No. attacks - treatment</t>
  </si>
  <si>
    <t>No. attacks - control</t>
  </si>
  <si>
    <t>control</t>
  </si>
  <si>
    <t>treatment</t>
  </si>
  <si>
    <t>mean</t>
  </si>
  <si>
    <t>% damage records</t>
  </si>
  <si>
    <t>Weise F.J., Hauptmeier H., Stratford K.J., Hayward M.W., Aal K., Heuer M., Tomeletso M., Wulf V., Somers M.J. and Stein A.B. 2019. Lions at the gates: trans-disciplinary design of an early warning system to improve human-lion coexistence. Frontiers in Ecology and Evolution 6, 242.</t>
  </si>
  <si>
    <t>Riley et al. 1994</t>
  </si>
  <si>
    <t>Riley S.J., Aune K., Mace R.D. and Madel M.J. 1994. Translocation of nuisance grizzly bears in northwestern Montana. International Conference on Bear Research and Management 9, 567-573.</t>
  </si>
  <si>
    <t>Sagør et al. 1997</t>
  </si>
  <si>
    <r>
      <t>Sagør J.T., Swenson J.E. and R</t>
    </r>
    <r>
      <rPr>
        <sz val="10"/>
        <rFont val="Arial"/>
      </rPr>
      <t>ø</t>
    </r>
    <r>
      <rPr>
        <sz val="10"/>
        <rFont val="Arial"/>
        <family val="2"/>
      </rPr>
      <t xml:space="preserve">skaft E. 1997. Compatibility of brown bear </t>
    </r>
    <r>
      <rPr>
        <i/>
        <sz val="10"/>
        <rFont val="Arial"/>
        <family val="2"/>
      </rPr>
      <t xml:space="preserve">Ursus arctos </t>
    </r>
    <r>
      <rPr>
        <sz val="10"/>
        <rFont val="Arial"/>
        <family val="2"/>
      </rPr>
      <t>and free-ranging sheep in Norway. Biological Conservation 81, 91-95.</t>
    </r>
  </si>
  <si>
    <r>
      <t>Witmer G.W. and Pipas M.J. 2020. A preliminary field evaluation of candidate repellents to reduce black bear damage to western larch trees. Proceedings of the 29</t>
    </r>
    <r>
      <rPr>
        <vertAlign val="superscript"/>
        <sz val="10"/>
        <color indexed="8"/>
        <rFont val="Arial"/>
        <family val="2"/>
      </rPr>
      <t>th</t>
    </r>
    <r>
      <rPr>
        <sz val="10"/>
        <color indexed="8"/>
        <rFont val="Arial"/>
        <family val="2"/>
      </rPr>
      <t xml:space="preserve"> Vertebrate Pest Conference (ed. Woods D.M.), pp. 1-5. Univ. of California at Davis Press, Davis CA.</t>
    </r>
  </si>
  <si>
    <t>Witmer and Pipas 2020</t>
  </si>
  <si>
    <t>Hot Sauce - capsaicin</t>
  </si>
  <si>
    <t>brown bear scats</t>
  </si>
  <si>
    <t>Tree Guard - denatonium benzoate</t>
  </si>
  <si>
    <t>% damaged records</t>
  </si>
  <si>
    <t>Zemlicka and Mason 2000</t>
  </si>
  <si>
    <t>Allen L. 2000. Measuring predator control effectiveness: reducing numbers may not reduce predator impact. Proceedings of the 19th Vertebrate Pest Conference (eds. Salmon T.P. and Crabb A.C.), pp. 284-289. Univ. of California at Davis Press, Davis CA.</t>
  </si>
  <si>
    <r>
      <t>Zemlicka D.E. and Mason J.R. 2000. Response of captive coyotes to Renardine coyote repellent. Proceedings of the 19</t>
    </r>
    <r>
      <rPr>
        <vertAlign val="superscript"/>
        <sz val="10"/>
        <rFont val="Arial"/>
        <family val="2"/>
      </rPr>
      <t>th</t>
    </r>
    <r>
      <rPr>
        <sz val="10"/>
        <rFont val="Arial"/>
        <family val="2"/>
      </rPr>
      <t xml:space="preserve"> Vertebrate Pest Conference (eds. Salmon T.P. and Crabb A.C.), pp. 336-338. Univ. of California at Davis Press, Davis CA.</t>
    </r>
  </si>
  <si>
    <t>captive, experiment 1</t>
  </si>
  <si>
    <t>captive, experiment 2</t>
  </si>
  <si>
    <t>Ziegltrum 1994</t>
  </si>
  <si>
    <r>
      <t>Ziegltrum G.J. 1994. Supplemental bear feeding program in western Washington. Proceedings of the 16</t>
    </r>
    <r>
      <rPr>
        <vertAlign val="superscript"/>
        <sz val="10"/>
        <rFont val="Arial"/>
        <family val="2"/>
      </rPr>
      <t>th</t>
    </r>
    <r>
      <rPr>
        <sz val="10"/>
        <rFont val="Arial"/>
        <family val="2"/>
      </rPr>
      <t xml:space="preserve"> Vertebrate Pest Conference (eds. Halverson W.S. and Crabb A.C.), pp. 36-40. Univ. of California at Davis Press, Davis CA.</t>
    </r>
  </si>
  <si>
    <r>
      <t>Burns R.J., Connolly G.E. and Griffiths R.E. Jr. 1984. Repellent or aversive chemicals in sheep neck collars did not deter coyote attacks. Proceedings of the 11</t>
    </r>
    <r>
      <rPr>
        <vertAlign val="superscript"/>
        <sz val="10"/>
        <color indexed="8"/>
        <rFont val="Arial"/>
        <family val="2"/>
      </rPr>
      <t>th</t>
    </r>
    <r>
      <rPr>
        <sz val="10"/>
        <color indexed="8"/>
        <rFont val="Arial"/>
        <family val="2"/>
      </rPr>
      <t xml:space="preserve"> Vertebrate Pest Conference (ed. Clark D.O.), pp. 146-153. Univ. of California at Davis Press, Davis CA.</t>
    </r>
  </si>
  <si>
    <t>Greentree et al. 2000</t>
  </si>
  <si>
    <t>Greentree C., Saunders G., McLeod L. and Hone J. 2000. Lamb predation and fox control in south-eastern Australia. Journal of Applied Ecology 37, 935-943.</t>
  </si>
  <si>
    <t>Macdonald and Baker 2004</t>
  </si>
  <si>
    <t>supplemental feeding by fruits</t>
  </si>
  <si>
    <t xml:space="preserve">Stringham S.F. and Bryant A. 2015. Distance-dependent effectiveness of diversionary bear bait sites. Human-Wildlife Interactions 9, 229-235. </t>
  </si>
  <si>
    <t>Treves et al. 2010</t>
  </si>
  <si>
    <t>No. nuisance animals/year</t>
  </si>
  <si>
    <t>bait (deer)</t>
  </si>
  <si>
    <t>No. visits/day</t>
  </si>
  <si>
    <t>No. killed before dogs</t>
  </si>
  <si>
    <t>No. killed with dogs</t>
  </si>
  <si>
    <t>Beeman and Pelton 1976</t>
  </si>
  <si>
    <t>Poole and McKillop 2002</t>
  </si>
  <si>
    <t>electrified netting fence</t>
  </si>
  <si>
    <t>electrified strained-wire fence</t>
  </si>
  <si>
    <t>No. predators that crossed the fence</t>
  </si>
  <si>
    <r>
      <t>Poole D.W. and McKillop I.G. 2002. Effectiveness of two types of electric fence for excluding the red fox (</t>
    </r>
    <r>
      <rPr>
        <i/>
        <sz val="10"/>
        <rFont val="Arial"/>
        <family val="2"/>
      </rPr>
      <t>Vulpes vulpes</t>
    </r>
    <r>
      <rPr>
        <sz val="10"/>
        <rFont val="Arial"/>
        <family val="2"/>
      </rPr>
      <t xml:space="preserve">). Mammal Review 32, 51-57. </t>
    </r>
  </si>
  <si>
    <t>Thomson et al. 2000</t>
  </si>
  <si>
    <t>proportion of predator population surviving</t>
  </si>
  <si>
    <t>deCalesta D.S. and Cropsey M.G. 1978. Field test of a coyote-proof fence. Wildlife Society Bulletin 6, 256-259.</t>
  </si>
  <si>
    <t>Dorrance M.J. and Bourne J. 1980. An evaluation of anti-coyote electric fencing. Journal of Range Management 33, 385-387.</t>
  </si>
  <si>
    <t>Saitone T.L. and Bruno E.M. 2020. Cost effectiveness of livestock guardian dogs for predator control. Wildlife Society Bulletin 44, 101-109.</t>
  </si>
  <si>
    <t>sheep (Dala replaced by Rygja)</t>
  </si>
  <si>
    <t>sheep (Dala replaced by Norwegian short-tailed)</t>
  </si>
  <si>
    <t>sheep (Dala replaced by Norwegian fur-bearing)</t>
  </si>
  <si>
    <t>swine</t>
  </si>
  <si>
    <t>Intervention details</t>
  </si>
  <si>
    <t>herding (children)</t>
  </si>
  <si>
    <t>black-backed jackal and caracal</t>
  </si>
  <si>
    <t>No. damage records</t>
  </si>
  <si>
    <t>Bauer et al. 2010</t>
  </si>
  <si>
    <t>Benin</t>
  </si>
  <si>
    <t>Angst 2001</t>
  </si>
  <si>
    <t>fallow deer</t>
  </si>
  <si>
    <t>Ciucci and Boitani 1998</t>
  </si>
  <si>
    <t>Linhart et al. 1982</t>
  </si>
  <si>
    <t>Van Liere et al. 2013</t>
  </si>
  <si>
    <t>Mertens A., Promberger C. and Gheorge P. 2002. Testing and implementing the use of electric fences for night corrals in Romania. Carnivore Damage Prevention News 5, 2-5.</t>
  </si>
  <si>
    <t>Mertens et al. 2002</t>
  </si>
  <si>
    <t>gray wolf and brown bear</t>
  </si>
  <si>
    <t>Wam et al. 2004</t>
  </si>
  <si>
    <t>Baker S.E., Johnson P.J., Slater D., Watkins R.W. and Macdonald D.W. 2007. Learned food aversion with and without an odour cue for protecting untreated baits from wild mammal foraging. Applied Animal Behaviour Science 102, 410-428.</t>
  </si>
  <si>
    <t>cattle, sheep/goats, donkeys and horses</t>
  </si>
  <si>
    <t>Dar N.I., Minhas R.A., Zaman Q. and Linkie M. 2009. Predicting the patterns, perceptions and causes of human-carnivore conflict in and around Machiara National Park, Pakistan. Biological Conservation 142, 2076-2082.</t>
  </si>
  <si>
    <t>apple orchard</t>
  </si>
  <si>
    <t>Bauder J.M., Roberts N.M., Ruid D., Kohn B. and Allen M.L. 2020. Black bear translocations in response to nuisance behaviour indicate increased effectiveness by translocation distance and landscape context. Wildlife Research 47, 426-435.</t>
  </si>
  <si>
    <t>Blejwas et al. 2002</t>
  </si>
  <si>
    <t xml:space="preserve">Krogstad S., Christiansen F., Smith M.E., Røste O.C., Aanesland N., Tillung R.H. and Thorud L. 2000. Forebyggende tiltak mot rovdyrskader på sau. Gjeting og bruk av vokterhund i Lierne. Sluttrapport - 2000. NINA Fagrapport 41, 66 p. (in Norwegian with English summary and legends)  </t>
  </si>
  <si>
    <t>% killed/year</t>
  </si>
  <si>
    <t>Guerisoli M.M., Luengos Vidal E., Franchini M., Caruso N., Casanave E.B. and Lucherini M. 2017. Characterization of puma-livestock conflicts in rangelands of central Argentina. Royal Society Open Science 4, 170852.</t>
  </si>
  <si>
    <t>Linhart S.B., Roberts J.D. and Dasch G.J. 1982. Electric fencing reduces coyote predation on pastured sheep. Journal of Range Management 35, 276-281.</t>
  </si>
  <si>
    <t>Wilson S.M., Madel M.J., Mattson D.J., Graham J.M., Burchfield J.A. and Belsky J.M. 2005. Natural landscape features, human-related attractants, and conflict hotspots: a spatial analysis of human-grizzly bear conflicts. Ursus 16, 117-129.</t>
  </si>
  <si>
    <t>Huygens O.C. and Hayashi H. 1999. Using electric fences to reduce Asiatic black bear depredation in Nagano Prefecture, central Japan. Wildlife Society Bulletin 27, 959-964.</t>
  </si>
  <si>
    <r>
      <t>Hamr J., Popp J.N., Brown D.L. and Mallory F.F. 2015. Problem behaviour of black bears (</t>
    </r>
    <r>
      <rPr>
        <i/>
        <sz val="10"/>
        <rFont val="Arial"/>
        <family val="2"/>
      </rPr>
      <t>Ursus americanus</t>
    </r>
    <r>
      <rPr>
        <sz val="10"/>
        <rFont val="Arial"/>
        <family val="2"/>
      </rPr>
      <t>) in central Ontario: the effects of hunting and natural food availability. Animal Biology 65, 151-161.</t>
    </r>
  </si>
  <si>
    <t>Landry and Raydelet 2010</t>
  </si>
  <si>
    <t>Lichtenfeld et al. 2015</t>
  </si>
  <si>
    <t>Mazzolli et al. 2002</t>
  </si>
  <si>
    <t>McManus et al. 2015</t>
  </si>
  <si>
    <t>Meadows and Knowlton 2000</t>
  </si>
  <si>
    <t>Miller 1987</t>
  </si>
  <si>
    <t>Musiani et al. 2003</t>
  </si>
  <si>
    <t>Nass and Threade 1988</t>
  </si>
  <si>
    <t>Palmer et al. 2010</t>
  </si>
  <si>
    <t>Rigg et al. 2011</t>
  </si>
  <si>
    <t>Rust et al. 2013</t>
  </si>
  <si>
    <r>
      <t xml:space="preserve">Landriault L.J., Hall M.N., Hamr J. and Mallory F.F. 2006. Long-range homing by an adult female black bear, </t>
    </r>
    <r>
      <rPr>
        <i/>
        <sz val="10"/>
        <rFont val="Arial"/>
        <family val="2"/>
      </rPr>
      <t>Ursus americanus</t>
    </r>
    <r>
      <rPr>
        <sz val="10"/>
        <rFont val="Arial"/>
        <family val="2"/>
      </rPr>
      <t>. Canadian Field-Naturalist 120, 57-60.</t>
    </r>
  </si>
  <si>
    <t>No. killed/week</t>
  </si>
  <si>
    <t>Bromley C. and Gese E.M. 2001. Surgical sterilization as a method of reducing coyote predation on domestic sheep. Journal of Wildlife Management 65, 510-519.</t>
  </si>
  <si>
    <t>pronghorn antelope</t>
  </si>
  <si>
    <t>Seidler R. 2009. Surgical sterilization of coyotes to reduce predation on pronghorn fawns. MSc thesis. Logan UT, Utah University Press.</t>
  </si>
  <si>
    <t>Seidler 2009</t>
  </si>
  <si>
    <t>recreational hunting</t>
  </si>
  <si>
    <t>Peebles et al. 2013</t>
  </si>
  <si>
    <t>preventive hunting</t>
  </si>
  <si>
    <t>Stahl et al. 2001</t>
  </si>
  <si>
    <t>selective removal</t>
  </si>
  <si>
    <t>No. attacks</t>
  </si>
  <si>
    <t xml:space="preserve">% foods tasted or consumed after treatment </t>
  </si>
  <si>
    <t>lion, spotted hyena and golden jackal</t>
  </si>
  <si>
    <t>No. killed/attack</t>
  </si>
  <si>
    <t>Breck S.W., Kluever B.M., Panasci M., Oakleaf J., Johnson T., Ballard W., Howery L. and Bergman D.L. 2011. Domestic calf mortality and producer detection rates in the Mexican wolf recovery area: implications for livestock management and carnivore compensation schemes. Biological Conservation 144, 930-936.</t>
  </si>
  <si>
    <t>Miller G.D. 1987. Field tests of potential polar bear repellents. International Conference of Bear Research and Management 7, 383-390.</t>
  </si>
  <si>
    <t>% eggs opened and/or consumed</t>
  </si>
  <si>
    <t>% farmers reporting losses</t>
  </si>
  <si>
    <r>
      <t>Knarrum V., S</t>
    </r>
    <r>
      <rPr>
        <sz val="10"/>
        <rFont val="Arial"/>
      </rPr>
      <t>ø</t>
    </r>
    <r>
      <rPr>
        <sz val="10"/>
        <rFont val="Arial"/>
        <family val="2"/>
      </rPr>
      <t>rensen O.J., Eggen T., Kvam T., Opseth O., Overskaug K. and Eidsmo A. 2006. Brown bear predation on domestic sheep in central Norway. Ursus 17, 67-74.</t>
    </r>
  </si>
  <si>
    <t>Kobashikawa et al. 2019</t>
  </si>
  <si>
    <t>Stahl P., Vandel J.M., Herrenschmidt V. and Migot P. 2001. The effect of removing lynx in reducing attacks on sheep in the French Jura Mountains. Biological Conservation 101, 15-22.</t>
  </si>
  <si>
    <t>No. repels/year</t>
  </si>
  <si>
    <t>killed/week</t>
  </si>
  <si>
    <r>
      <t>Weise F.J., Lemeris Jr. J., Stratford K.J., van Vuuren R.J., Munro S.J., Crawford S.J., Marker L.L. and Stein A.B. 2015b. A home away from home: insights from successful leopard (</t>
    </r>
    <r>
      <rPr>
        <i/>
        <sz val="10"/>
        <rFont val="Arial"/>
        <family val="2"/>
      </rPr>
      <t>Panthera pardus</t>
    </r>
    <r>
      <rPr>
        <sz val="10"/>
        <rFont val="Arial"/>
        <family val="2"/>
      </rPr>
      <t>) translocations. Biodiversity and Conservation 24, 1755-1774.</t>
    </r>
  </si>
  <si>
    <t>Weise et al. 2015a</t>
  </si>
  <si>
    <t>Naha et al. 2020</t>
  </si>
  <si>
    <t>cattle and goats</t>
  </si>
  <si>
    <t>Naha D., Chaudhary P., Sonker G. and Sathyakumar S. 2020. Effectiveness of non-lethal predator deterrents to reduce livestock losses to leopard attacks within a multiple-use landscape of the Himalayan region. PeerJ 8, e9544.</t>
  </si>
  <si>
    <r>
      <t>Weise F.J., Lemeris Jr. J.R., Munro S.J., Bowden A., Venter C., van Vuuren M. and van Vuuren R.J. 2015a. Cheetahs (</t>
    </r>
    <r>
      <rPr>
        <i/>
        <sz val="10"/>
        <rFont val="Arial"/>
        <family val="2"/>
      </rPr>
      <t>Acinonyx jubatus</t>
    </r>
    <r>
      <rPr>
        <sz val="10"/>
        <rFont val="Arial"/>
        <family val="2"/>
      </rPr>
      <t>) running the gauntlet: an evaluation of translocations into free-range environments in Namibia. PeerJ 3, e1346.</t>
    </r>
  </si>
  <si>
    <t>Weise F.J., Hayward M.W., Aguirre R.C., Tomeletso M., Gadimang P., Somers M.J. and Stein A.B. 2018. Size, shape and maintenance matter: a critical appraisal of a global carnivore conflict mitigation strategy – livestock protection kraals in northern Botswana. Biological Conservation 225, 88-97.</t>
  </si>
  <si>
    <t>Weise et al. 2018</t>
  </si>
  <si>
    <t>fortified boma</t>
  </si>
  <si>
    <t>Hazzah et al. 2014</t>
  </si>
  <si>
    <t>Lion Guardians</t>
  </si>
  <si>
    <t>Hazzah L., Dolpenry S., Naughton L., Edwards C.T.T., Mwebi O., Kearney F. and Frank L. 2014. Efficacy of two lion conservation programs in Maasailand, Kenya. Conservation Biology 28, 851-860.</t>
  </si>
  <si>
    <t>Dondina et al. 2015</t>
  </si>
  <si>
    <t>Honda et al. 2009</t>
  </si>
  <si>
    <t>Jackson and Wangchuk 2004</t>
  </si>
  <si>
    <t>Mattiello et al. 2012</t>
  </si>
  <si>
    <t>Montalvo et al. 2016</t>
  </si>
  <si>
    <t>Selebatso et al. 2008</t>
  </si>
  <si>
    <t>Tshering and Thinley 2017</t>
  </si>
  <si>
    <t>Wallach et al. 2017</t>
  </si>
  <si>
    <t>Weise et al. 2015c</t>
  </si>
  <si>
    <r>
      <t>Singh H.S. and Gibson L. 2011. A conservation success story in the otherwise dire megafauna extinction crisis: the Asiatic lion (</t>
    </r>
    <r>
      <rPr>
        <i/>
        <sz val="10"/>
        <rFont val="Arial"/>
        <family val="2"/>
      </rPr>
      <t>Panthera leo persica</t>
    </r>
    <r>
      <rPr>
        <sz val="10"/>
        <rFont val="Arial"/>
        <family val="2"/>
      </rPr>
      <t>) of Gir forest. Biological Conservation 144, 1753-1757.</t>
    </r>
  </si>
  <si>
    <t>Ternent M.A. and Garshelis D.L. 1999. Taste-aversion conditioning to reduce nuisance activity by black bears in a minnesota military reservation. Wildlife Society Bulletin 27, 720-728.</t>
  </si>
  <si>
    <t>Conover et al. 1977</t>
  </si>
  <si>
    <t>Darrow and Shivik 2009</t>
  </si>
  <si>
    <t>Gustavson et al. 1974</t>
  </si>
  <si>
    <t>Heard and Stephenson 1987</t>
  </si>
  <si>
    <t>Jankovsky M.J., Swanson V.B. and Cramer D.A. 1974. Field trials of coyote repellents in western Colorado. Proceedings of the Western Section of the American Society of Animal Science 25, 74-76.</t>
  </si>
  <si>
    <r>
      <t>Linhart S.B., Dasch G.J., Johnson R.R., Roberts J.D. and Packham C.J. 1992. Electronic frightening devices for reducing coyote predation on domestic sheep: efficacy under range conditions and operational use. Proceedings of the 15</t>
    </r>
    <r>
      <rPr>
        <vertAlign val="superscript"/>
        <sz val="10"/>
        <rFont val="Arial"/>
        <family val="2"/>
      </rPr>
      <t>th</t>
    </r>
    <r>
      <rPr>
        <sz val="10"/>
        <rFont val="Arial"/>
        <family val="2"/>
      </rPr>
      <t xml:space="preserve"> Vertebrate Pest Conference (eds. Borrecco J.E. and Marsh R.E.), pp. 386-392. Univ. of California at Davis Press, Davis CA.</t>
    </r>
  </si>
  <si>
    <t>Nass R.D. and Threade J. 1988. Electric fences for reducing sheep losses to predators. Journal of Range Management 41, 251-252.</t>
  </si>
  <si>
    <t>Leigh J. 2007. Effects of aversive conditioning on behavior of nuisance Louisiana black bears. MSc thesis. Louisiana State University, 45 p.</t>
  </si>
  <si>
    <t>Levin 2000</t>
  </si>
  <si>
    <t>Sweden</t>
  </si>
  <si>
    <t>Levin M. 2000. Electrical fences against large predators. Carnivore Damage Prevention News 2, 6-7.</t>
  </si>
  <si>
    <t>Mazur 2010</t>
  </si>
  <si>
    <t>chasing</t>
  </si>
  <si>
    <t>pepper spray</t>
  </si>
  <si>
    <t>Ranch</t>
  </si>
  <si>
    <t>Area, ha</t>
  </si>
  <si>
    <t>Swine</t>
  </si>
  <si>
    <t>Predated swine, 1993-95</t>
  </si>
  <si>
    <t>Boa Vista</t>
  </si>
  <si>
    <t>Cabanha Sto Cristo</t>
  </si>
  <si>
    <t>Do Aleixo</t>
  </si>
  <si>
    <t>Dona Olindina</t>
  </si>
  <si>
    <t>Judas Tadeu</t>
  </si>
  <si>
    <t>Mineiros</t>
  </si>
  <si>
    <t>Palmeira Velha</t>
  </si>
  <si>
    <t>Potreiro Velho</t>
  </si>
  <si>
    <t>Sao Domingo</t>
  </si>
  <si>
    <t>Saulo Yung</t>
  </si>
  <si>
    <t>Sitio Ruck</t>
  </si>
  <si>
    <t xml:space="preserve">Barrett M.A., Telesco D.J., Barrett S.E., Widness K.M. and Leone E.H. 2014. Testing bear-resistant trash cans in residential areas of Florida. Southeastern Naturalist 13, 26-39. </t>
  </si>
  <si>
    <t>Clark et al. 2005</t>
  </si>
  <si>
    <t>Hopkins and Kalinowski 2013</t>
  </si>
  <si>
    <t>Mukesh et al. 2015</t>
  </si>
  <si>
    <t>Hopkins J.B. and Kalinowski S.T. 2013. The fate of transported American black bears in Yosemite National Park. Ursus 24, 120-126.</t>
  </si>
  <si>
    <t>Mukesh, Sharma L.K., Charoo S.A. and Sathyakumar S. 2015. Conflict bear translocation: investigating population genetics and fate of bear translocation in Dachigam National Park, Jammu and Kashmir, India. PLoS One 10, e0132005.</t>
  </si>
  <si>
    <t>Landa and Tømmerås 1996</t>
  </si>
  <si>
    <r>
      <t xml:space="preserve">Landa A. and Tømmerås B.å. 1996. Do volatile repellents reduce wolverine </t>
    </r>
    <r>
      <rPr>
        <i/>
        <sz val="10"/>
        <rFont val="Arial"/>
        <family val="2"/>
      </rPr>
      <t>Gulo gulo</t>
    </r>
    <r>
      <rPr>
        <sz val="10"/>
        <rFont val="Arial"/>
        <family val="2"/>
      </rPr>
      <t xml:space="preserve"> predation on sheep? Wildlife Biology 2, 119-126.</t>
    </r>
  </si>
  <si>
    <t>polyethylene dispensers with chemical agents on sheep wool</t>
  </si>
  <si>
    <t>Landa et al. 1998</t>
  </si>
  <si>
    <r>
      <t xml:space="preserve">Landa A., Krogstad S., Tømmerås B.å. and Tufto J. 1998. Do volatile repellents reduce wolverine </t>
    </r>
    <r>
      <rPr>
        <i/>
        <sz val="10"/>
        <rFont val="Arial"/>
        <family val="2"/>
      </rPr>
      <t>Gulo gulo</t>
    </r>
    <r>
      <rPr>
        <sz val="10"/>
        <rFont val="Arial"/>
        <family val="2"/>
      </rPr>
      <t xml:space="preserve"> predation on sheep? Results of a large-scale experiment. Wildlife Biology 4, 111-118.</t>
    </r>
  </si>
  <si>
    <t>Thomson 1986</t>
  </si>
  <si>
    <t>% of predators surviving</t>
  </si>
  <si>
    <t>Thomson P.C. 1986. The effectiveness of aerial baiting for the control of dingoes in north-western Australia. Australian Wildlife Research13, 165-176.</t>
  </si>
  <si>
    <t>Loveridge A.J., Kuiper T., Parry R.H., Sibanda L., Hunt J.H., Stapelkamp B., Sebele L. and Macdonald D.W. 2017. Bells, bomas and beefsteak: complex patterns of human-predator conflict at the wildlife-agropastoral interface in Zimbabwe. PeerJ 5, e2898.</t>
  </si>
  <si>
    <t>Ohrens et al. 2019</t>
  </si>
  <si>
    <t>llama and alpaca</t>
  </si>
  <si>
    <t>Chile</t>
  </si>
  <si>
    <t>Kissui et al. 2019</t>
  </si>
  <si>
    <t>cattle, sheep/goats and donkeys</t>
  </si>
  <si>
    <t>Lyamuya et al. 2016</t>
  </si>
  <si>
    <t>No. herders that experienced attacks</t>
  </si>
  <si>
    <t>African wild dog, spotted hyena, lion and leopard</t>
  </si>
  <si>
    <t>No. killed/period</t>
  </si>
  <si>
    <t>No. successes/attack</t>
  </si>
  <si>
    <t>Baruch-Mordo et al. 2011</t>
  </si>
  <si>
    <t>Blanchard and Knight 1995</t>
  </si>
  <si>
    <t>Bourne and Dorrance 1982</t>
  </si>
  <si>
    <t>Breck et al. 2017</t>
  </si>
  <si>
    <t>Burns 1983</t>
  </si>
  <si>
    <t>Clark et al. 2002</t>
  </si>
  <si>
    <t>Cornell and Cornely 1979</t>
  </si>
  <si>
    <t>Davies and Rockwell 1986</t>
  </si>
  <si>
    <t>Andelt W.F. and Hopper S.N. 2000. Livestock guard dogs reduce predation on domestic sheep in Colorado. Journal of Range Management 53, 259-267.</t>
  </si>
  <si>
    <t>cessation of hunting and waterhole drilling</t>
  </si>
  <si>
    <t>cattle (calves)</t>
  </si>
  <si>
    <t>No. killed/yr</t>
  </si>
  <si>
    <t>Wallach A.D., Ramp D. and O´Neill A.J. 2017. Cattle mortality on a predator-friendly station in central Australia. Journal of Mammalogy 98, 45-52.</t>
  </si>
  <si>
    <t>brown hyena</t>
  </si>
  <si>
    <t>Singh and Gibson 2011</t>
  </si>
  <si>
    <t>Linhart S.B., Sterner R.T., Dasch G.J. and Theade J.W. 1984. Efficacy of light and sound stimuli for reducing coyote predation upon pastured sheep. Protection Ecology 6, 75-84.</t>
  </si>
  <si>
    <t>Seijas J.M., Osorio M.A., Dominguez F.G., Munoz J., Gonzalez L.M. and Naves J. 2016. Brown bear damage protection measures to protect apiaries in the Cantambrian Mountains. Carnivore Damage Prevention News 12, 26-30.</t>
  </si>
  <si>
    <t>Type of intervention</t>
  </si>
  <si>
    <t>Category of intervention</t>
  </si>
  <si>
    <t>Romania</t>
  </si>
  <si>
    <t>Bradley E.H., Robinson H.S., Bangs E.E., Kunkel K., Jimenez M.D., Gude J.A. and Grimm T. 2015. Effects of wolf removal on livestock depredation recurrence and wolf recovery in Montana, Idaho, and Wyoming. Journal of Wildlife Management 79, 1337-1346.</t>
  </si>
  <si>
    <t>Stacy</t>
  </si>
  <si>
    <t>sterile</t>
  </si>
  <si>
    <t>South Cabin</t>
  </si>
  <si>
    <t>Crane</t>
  </si>
  <si>
    <t>intact</t>
  </si>
  <si>
    <t>Highway</t>
  </si>
  <si>
    <t>Alkali</t>
  </si>
  <si>
    <t>Red Hill</t>
  </si>
  <si>
    <t>Dry Creek</t>
  </si>
  <si>
    <t>Road Hollow</t>
  </si>
  <si>
    <t>Shortcut</t>
  </si>
  <si>
    <t>North Cabin</t>
  </si>
  <si>
    <t>McKay</t>
  </si>
  <si>
    <t>Murphy</t>
  </si>
  <si>
    <t>Table</t>
  </si>
  <si>
    <t>Munshaw</t>
  </si>
  <si>
    <t>Lake Hollow</t>
  </si>
  <si>
    <t>average for all</t>
  </si>
  <si>
    <t>Wam H.K., Dokk J.G. and Hjeljord O. 2004. Reduced wolf attacks on sheep in Østfold, Norway using electric fencing. Carnivore Damage Prevention News 7, 12-13.</t>
  </si>
  <si>
    <t>Willisch et al. 2015</t>
  </si>
  <si>
    <t>Willisch C.S., Meyer F. and Pfister U. 2015. Herd protection in the northwestern Swiss Prealps 2009-2013. Carnivore Damage Prevention News 11, 12-16.</t>
  </si>
  <si>
    <t>Seijas et al. 2016</t>
  </si>
  <si>
    <t>di Vittorio et al. 2016</t>
  </si>
  <si>
    <t>livestock in general, beehives and crops</t>
  </si>
  <si>
    <t>di Vittorio M., Costrini P., Rocco M., Bragalanti N., Borsetta M. and Salvatori V. 2016. Assessing the efficacy of electric fences to prevent bear damage in Italy. Carnivore Damage Prevention News 12, 31-37.</t>
  </si>
  <si>
    <r>
      <t>Linhart S.B. 1984. Strobe light and siren devices for protecting fenced-pasture and range sheep from coyote predation. Proceedings of the 11</t>
    </r>
    <r>
      <rPr>
        <vertAlign val="superscript"/>
        <sz val="10"/>
        <color indexed="8"/>
        <rFont val="Arial"/>
        <family val="2"/>
      </rPr>
      <t>th</t>
    </r>
    <r>
      <rPr>
        <sz val="10"/>
        <color indexed="8"/>
        <rFont val="Arial"/>
        <family val="2"/>
      </rPr>
      <t xml:space="preserve"> Vertebrate Pest Conference (ed. Clark D.O.), pp. 154-156. Univ. of California at Davis Press, Davis CA.</t>
    </r>
  </si>
  <si>
    <t>black-footed ferret</t>
  </si>
  <si>
    <t>Miller S.D. and Ballard W.B. 1982. Homing of transplanted Alaskan brown bears. Journal of Wildlife Management 46, 869-876.</t>
  </si>
  <si>
    <t>Ogada M.O., Woodroffe R., Oguge N.O. and Frank L.G. 2003. Limiting depredation by African carnivores: the role of livestock husbandry. Conservation Biology 17, 1521-1530.</t>
  </si>
  <si>
    <t>Ohrens O., Bonacic C. and Treves A. 2019. Non-lethal defense of livestock against predators: flashing lights deter puma attacks in Chile. Frontiers in Ecology and the Environment 17, 32-38.</t>
  </si>
  <si>
    <t>Quigley et al. 2015</t>
  </si>
  <si>
    <t>Costa Rica</t>
  </si>
  <si>
    <t>Venezuela</t>
  </si>
  <si>
    <t>water buffalo or Creole cattle breeds</t>
  </si>
  <si>
    <t>Costa Rica, Columbia and Brazil</t>
  </si>
  <si>
    <t>Damage metric</t>
  </si>
  <si>
    <t>Relative risk RR</t>
  </si>
  <si>
    <t>livestock-free set-asides + insurance + herding</t>
  </si>
  <si>
    <t>cattle, sheep/goats, llama and horses</t>
  </si>
  <si>
    <t>No. predators returning home</t>
  </si>
  <si>
    <t xml:space="preserve">wire fenced coop </t>
  </si>
  <si>
    <t>rocket + gunshot + vehicle chasing</t>
  </si>
  <si>
    <t>No. predators killed/year</t>
  </si>
  <si>
    <t>Quigley H., Hoogesteijn R., Hoogesteijn A., Foster R., Payan E., Corrales D., Salom-Perez R. and Urbina Y. 2015. Observations and preliminary testing of jaguar depredation reduction techniques in and between core jaguar populations. Parks 21.1, 63-72.</t>
  </si>
  <si>
    <t>Rosas-Rosas and Valdez 2010</t>
  </si>
  <si>
    <t>Okemwa B., Gichuki N., Virani M., Kanya J., Kinyamario J. and Santangeli A. 2018. Effectiveness of LED lights on bomas in protecting livestock from predation in southern Kenya. Conservation Evidence 15, 39-42.</t>
  </si>
  <si>
    <t>Kolowski and Holekamp 2006</t>
  </si>
  <si>
    <t>Landa et al. 1999</t>
  </si>
  <si>
    <t>rubber bullets + noise</t>
  </si>
  <si>
    <t>rubber bullets + cracker shells + fireworks + warning shots</t>
  </si>
  <si>
    <t>rubber bullets + noise + dogs</t>
  </si>
  <si>
    <t>rubber bullets</t>
  </si>
  <si>
    <t>yelling + discharging firearms + vehicle horns</t>
  </si>
  <si>
    <t>breeding control</t>
  </si>
  <si>
    <t>carcass disposal</t>
  </si>
  <si>
    <t>% killed/month</t>
  </si>
  <si>
    <t>Robel R.J., Dayton A.D., Henderson F.R., Meduna R.L. and Spaeth C.W. 1981. Relationships between husbandry methods and sheep losses to canine predators. Journal of Wildlife Management 45, 894-911.</t>
  </si>
  <si>
    <t xml:space="preserve">Kissui B.M., Kiffner C., König H.J. and Montgomery R.A. 2019. Patterns of livestock depredation and cost-effectiveness of fortified livestock enclosures in northern Tanzania. Ecology and Evolution 9, 11420-11433. </t>
  </si>
  <si>
    <t>enclosure (night) + Homestay Programme</t>
  </si>
  <si>
    <t>herding + guarding dogs + deterrents</t>
  </si>
  <si>
    <t>patrolling + notices</t>
  </si>
  <si>
    <t>rocks + slingshots</t>
  </si>
  <si>
    <t>Christiansen et al. 2001</t>
  </si>
  <si>
    <t>% attacking predators</t>
  </si>
  <si>
    <t>Christiansen F.O., Bakken M. and Braastad B.O. 2001. Behavioural changes and aversive conditioning in hunting dogs by the second-year confrontation with domestic sheep. Applied Animal Behaviour Science 72, 131-143.</t>
  </si>
  <si>
    <t>Hansen et al. 1997</t>
  </si>
  <si>
    <t>Horn S.W. 1983. An evaluation of predatory suppression in coyotes using lithium chloride-induced illness. Journal of Wildlife Management 47, 999-1009.</t>
  </si>
  <si>
    <t>Gates N.L., Rich J.E., Godtel D.D. and Hulet C.V. 1978. Development and evaluation of anti-coyote electric fencing. Journal of Range Management 31, 151-153.</t>
  </si>
  <si>
    <r>
      <t>Khorozyan I., Soofi M., Soufi M., Khaleghi Hamidi A., Ghoddousi A. and Waltert M. 2017. Effects of shepherds and dogs on livestock depredation by leopards (</t>
    </r>
    <r>
      <rPr>
        <i/>
        <sz val="10"/>
        <rFont val="Arial"/>
        <family val="2"/>
      </rPr>
      <t>Panthera pardus</t>
    </r>
    <r>
      <rPr>
        <sz val="10"/>
        <rFont val="Arial"/>
        <family val="2"/>
      </rPr>
      <t>) in north-eastern Iran. PeerJ 5, e3049.</t>
    </r>
  </si>
  <si>
    <t>Kuksin and Kuksina 2009</t>
  </si>
  <si>
    <t>Kuksin A.N. and Kuksina D.K. 2009. Fortification of corrals against snow leopards. Report for UNDP/GEF. Kyzyl, 29 p. (in Russian and Tuvan)</t>
  </si>
  <si>
    <t>Loveridge et al. 2017</t>
  </si>
  <si>
    <t>neighborhood safety, livestock in general, beehives and crops</t>
  </si>
  <si>
    <t>Milligan S., Brown L., Hobson D., Frame P. and Stenhouse G. 2018. Factors affecting the success of grizzly bear translocations. Journal of Wildlife Management 82, 519-530.</t>
  </si>
  <si>
    <t>Otto and Roloff 2015</t>
  </si>
  <si>
    <t>electric fence (mobile), design A</t>
  </si>
  <si>
    <t>electric fence (mobile), design B</t>
  </si>
  <si>
    <t>electric fence (mobile), design C</t>
  </si>
  <si>
    <t>electric fence (mobile), design D</t>
  </si>
  <si>
    <t>Appleby et al. 2017</t>
  </si>
  <si>
    <t>Armistead et al. 1994</t>
  </si>
  <si>
    <t>Ausband et al. 2013</t>
  </si>
  <si>
    <t>% negative responses</t>
  </si>
  <si>
    <t>No. damage records/residence</t>
  </si>
  <si>
    <t># attack</t>
  </si>
  <si>
    <t>Shepherd pres/abs</t>
  </si>
  <si>
    <t>Dog pres/abs</t>
  </si>
  <si>
    <t>mean, pres</t>
  </si>
  <si>
    <t>SD, pres</t>
  </si>
  <si>
    <t>Salvatori and Mertens 2012</t>
  </si>
  <si>
    <t>Tumenta et al. 2013</t>
  </si>
  <si>
    <t>Van Bommel and Johnson 2012</t>
  </si>
  <si>
    <t>Wilson et al. 2005</t>
  </si>
  <si>
    <t>Woodroffe et al. 2007</t>
  </si>
  <si>
    <t>Wooldridge 1983</t>
  </si>
  <si>
    <t>Zarco-González and Monroy-Vilchis 2014</t>
  </si>
  <si>
    <t>coyote</t>
  </si>
  <si>
    <t>sheep</t>
  </si>
  <si>
    <t>electric fence</t>
  </si>
  <si>
    <t>Canada</t>
  </si>
  <si>
    <t>dingo</t>
  </si>
  <si>
    <t>cattle</t>
  </si>
  <si>
    <t>Australia</t>
  </si>
  <si>
    <t>guarding dogs</t>
  </si>
  <si>
    <t>USA</t>
  </si>
  <si>
    <t>puma</t>
  </si>
  <si>
    <t>brown bear</t>
  </si>
  <si>
    <t>Eurasian lynx</t>
  </si>
  <si>
    <t>Switzerland</t>
  </si>
  <si>
    <t>llama</t>
  </si>
  <si>
    <t>leopard</t>
  </si>
  <si>
    <t>Brazil</t>
  </si>
  <si>
    <t>American black bear</t>
  </si>
  <si>
    <t>lion</t>
  </si>
  <si>
    <t>sheep/goats</t>
  </si>
  <si>
    <t>Cameroon</t>
  </si>
  <si>
    <t>spotted hyena</t>
  </si>
  <si>
    <t>herding</t>
  </si>
  <si>
    <t>gray wolf</t>
  </si>
  <si>
    <t>livestock in general</t>
  </si>
  <si>
    <t>enclosure (night)</t>
  </si>
  <si>
    <t>cheetah</t>
  </si>
  <si>
    <t>Norway</t>
  </si>
  <si>
    <t>Japan</t>
  </si>
  <si>
    <t>Greece</t>
  </si>
  <si>
    <t>domestic dog</t>
  </si>
  <si>
    <t>Italy</t>
  </si>
  <si>
    <t>supplemental feeding by carrion</t>
  </si>
  <si>
    <t>Slovenia</t>
  </si>
  <si>
    <t>Kenya</t>
  </si>
  <si>
    <t>wolverine</t>
  </si>
  <si>
    <t>breed replacement</t>
  </si>
  <si>
    <t>Tanzania</t>
  </si>
  <si>
    <t xml:space="preserve">poisoning </t>
  </si>
  <si>
    <t>No. damage records/year</t>
  </si>
  <si>
    <t>No. killed/year</t>
  </si>
  <si>
    <t>No. killed/day</t>
  </si>
  <si>
    <t>No. respondents with depredation</t>
  </si>
  <si>
    <t>No. visitations/farm/year</t>
  </si>
  <si>
    <t>cattle and sheep</t>
  </si>
  <si>
    <t>No. returning/year</t>
  </si>
  <si>
    <t>Rogers 1984</t>
  </si>
  <si>
    <t>Rogers 1986</t>
  </si>
  <si>
    <t>Rogers 2011</t>
  </si>
  <si>
    <t>Rossler et al. 2012</t>
  </si>
  <si>
    <t>Shivik and Martin 2000</t>
  </si>
  <si>
    <t>tiger</t>
  </si>
  <si>
    <t>dogs</t>
  </si>
  <si>
    <t>Russia</t>
  </si>
  <si>
    <t>proportion of bomas attacked</t>
  </si>
  <si>
    <t>Bradley E.H., Pletscher D.H., Bangs E.E., Kunkel K.E., Smith D.W., Mack C.M., Meier T.J., Fontaine J.A., Niemeyer C.C. and Jimenez M.D. 2005. Evaluating wolf translocation as a nonlethal method to reduce livestock conflicts in the northwestern United States. Conservation Biology 19, 1498-1508.</t>
  </si>
  <si>
    <t>Herfindal I., Linnell J.D.C., Moa P.F., Odden J., Austmo L.B. and Andersen R. 2005. Does recreational hunting of lynx reduce depredation losses of domestic sheep? Journal of Wildlife Management 69, 1034-1042.</t>
  </si>
  <si>
    <t>Herfindal et al. 2005</t>
  </si>
  <si>
    <t>Shivik J.A. and Martin D.J. 2000. Aversive and disruptive stimulus applications for managing predation. Proceedings of the 9th Wildlife Damage Management Conference (eds. Brittingham M.C., Kays J. and McPeake R.), pp. 111-119. State College PA Press.</t>
  </si>
  <si>
    <t>Treves A., Kapp K.J. and MacFarland D.M. 2010. American black bear nuisance complaints and hunter take. Ursus 21, 30-42.</t>
  </si>
  <si>
    <t>probability of damage</t>
  </si>
  <si>
    <t>Andean fox</t>
  </si>
  <si>
    <t>black-backed jackal</t>
  </si>
  <si>
    <r>
      <t>Lance N.J., Breck S.W., Sime C., Callahan P. and Shivik J.A. 2010. Biological, technical, and social aspects of applying electrified fladry for livestock protection from wolves (</t>
    </r>
    <r>
      <rPr>
        <i/>
        <sz val="10"/>
        <rFont val="Arial"/>
        <family val="2"/>
      </rPr>
      <t>Canis lupus</t>
    </r>
    <r>
      <rPr>
        <sz val="10"/>
        <rFont val="Arial"/>
        <family val="2"/>
      </rPr>
      <t>). Wildlife Research 37, 708-714.</t>
    </r>
  </si>
  <si>
    <t>No. failing occasions</t>
  </si>
  <si>
    <t>No. predators resuming damage infliction</t>
  </si>
  <si>
    <t xml:space="preserve">No. predators resuming damage infliction </t>
  </si>
  <si>
    <t>spiritual deterrent</t>
  </si>
  <si>
    <t>acoustic deterrent + visual deterrent</t>
  </si>
  <si>
    <t>No. trespassing locations</t>
  </si>
  <si>
    <t>No. translocation events with homing</t>
  </si>
  <si>
    <t>Kolowski J.M. and Holekamp K.E. 2006. Spatial, temporal, and physical characteristics of livestock depredations by large carnivores along a Kenyan reserve border. Biological Conservation 128, 529-541.</t>
  </si>
  <si>
    <t>compensation from trophy hunting of prey</t>
  </si>
  <si>
    <t>MacArthur K.L. 1981. Factors contributing to effectiveness of black bear transplants. Journal of Wildlife Management 45, 102-110.</t>
  </si>
  <si>
    <r>
      <t>Pfeifer W.K. and Goos M.W. 1982. Guard dogs and gas exploders as coyote depredation control tools in north Dakota. Proceedings of the 10</t>
    </r>
    <r>
      <rPr>
        <vertAlign val="superscript"/>
        <sz val="10"/>
        <rFont val="Arial"/>
        <family val="2"/>
      </rPr>
      <t>th</t>
    </r>
    <r>
      <rPr>
        <sz val="10"/>
        <rFont val="Arial"/>
        <family val="2"/>
      </rPr>
      <t xml:space="preserve"> Vertebrate Pest Conference (ed. Marsh R.E.), pp. 55-61. Univ. of California at Davis Press, Davis CA.</t>
    </r>
  </si>
  <si>
    <t>No. attacks/year</t>
  </si>
  <si>
    <t>Pimenta V., Barroso I., Boitani L. and Beja P. 2017. Wolf predation on cattle in Portugal: assessing the effects of husbandry systems. Biological Conservation 207, 17-26.</t>
  </si>
  <si>
    <t>commercial dog + household chemicals</t>
  </si>
  <si>
    <t>No. attacks/min</t>
  </si>
  <si>
    <t xml:space="preserve">Mazur R.L. 2010. Does aversive conditioning reduce human-black bear conflict? Journal of Wildlife Management 74, 48-54. </t>
  </si>
  <si>
    <t>Milligan et al. 2018</t>
  </si>
  <si>
    <t>Mijiddorj T.N., Alexander J.S. and Samelius G. 2018. Livestock depredation by large carnivores in the South Gobi, Mongolia. Wildlife Research 45, 237-246.</t>
  </si>
  <si>
    <t>handcrafts from wool - Snow Leopard Enterprises</t>
  </si>
  <si>
    <t>Mishra C., Allen P., McCarthy T., Madhusudan M.D., Bayarjargal A. and Prins H.H.T. 2003. The role of incentive programs in conserving the snow leopard. Conservation Biology 17, 1512-1520.</t>
  </si>
  <si>
    <t>levamisole + vanilla odor</t>
  </si>
  <si>
    <t>probability of meat consumption</t>
  </si>
  <si>
    <t>Landry J-M. and Raydelet P. 2010. Efficacité des chiens de protection contre la prédation du lynx dans le Massif jurassien. Lons-le-Saunier, CARCOM, 37 p. (in French)</t>
  </si>
  <si>
    <t>Angst C., Hagen S. and Breitenmoser U. 2002. Übergriffe von Luchsen auf Kleinvieh und Gehegetiere in der Schweiz. Teil II: Massnahmen zum Schutz von Nutztieren. KORA Bericht No. 10. Muri, KORA, 65 S. (in German)</t>
  </si>
  <si>
    <r>
      <t>Edgar J.P., Appleby R.G. and Jones D.N. 2007. Efficacy of an untrasonic device as a deterrent to dingoes (</t>
    </r>
    <r>
      <rPr>
        <i/>
        <sz val="10"/>
        <rFont val="Arial"/>
        <family val="2"/>
      </rPr>
      <t>Canis lupus dingo</t>
    </r>
    <r>
      <rPr>
        <sz val="10"/>
        <rFont val="Arial"/>
        <family val="2"/>
      </rPr>
      <t>): a preliminary investigation. Journal of Ethology 25, 209-213.</t>
    </r>
  </si>
  <si>
    <t>No. killed in current year</t>
  </si>
  <si>
    <t>No. killed in previous year</t>
  </si>
  <si>
    <t>Ausband D.E., Mitchell M.S., Bassing S.B. and White C. 2013. No trespassing: using a biofence to manipulate wolf movements. Wildlife Research 40, 207-216.</t>
  </si>
  <si>
    <t>Baruch-Mordo S., Breck S.W., Wilson K.R. and Broderick J. 2011. The carrot or the stick? Evaluation of education and enforcement as management tools for human-wildlife conflicts. PLoS One 6, e15681.</t>
  </si>
  <si>
    <t>Beeman L.E. and Pelton M.R. 1976. Homing of black bears in the Great Smoky Mountains National Park. Bears: Their Biology and Management 3, 87–95.</t>
  </si>
  <si>
    <t xml:space="preserve">Yamazaki K. 2003. Effects of pruning and brush clearing on debarking within damaged conifer stands by Japanese black bears. Ursus 14, 94-98. </t>
  </si>
  <si>
    <t>Ziegltrum 2004</t>
  </si>
  <si>
    <t>supplemental feeding by feed pellets</t>
  </si>
  <si>
    <t>% returning</t>
  </si>
  <si>
    <t>coyote, fox and domestic dog</t>
  </si>
  <si>
    <t>covering of openings by wire mesh</t>
  </si>
  <si>
    <t>cattle, sheep/goats, llama, alpaca, swine and horses</t>
  </si>
  <si>
    <t>Pfeifer and Goos 1982</t>
  </si>
  <si>
    <t xml:space="preserve">Ziegltrum G.J. 2004. Efficacy of black bear supplemental feeding to reduce conifer damage in western Washington. Journal of Wildlife Management 68, 470-474. </t>
  </si>
  <si>
    <t>Zimmermann et al. 2003</t>
  </si>
  <si>
    <t>livestock replacement</t>
  </si>
  <si>
    <t>replacement of sheep by cattle</t>
  </si>
  <si>
    <t xml:space="preserve">Zimmermann B., Wabakken P. and Dötterer M. 2003. Brown bear-livestock conflicts in a bear conservation zone in Norway: are cattle a good alternative to sheep? Ursus 14, 72-83. </t>
  </si>
  <si>
    <t xml:space="preserve">Bauer H., de Iongh H. and Sogbohossou E. 2010. Assessment and mitigation of human-lion conflict in West and Central Africa. Mammalia 74, 363-367. </t>
  </si>
  <si>
    <t>Iliopoulos Y., Sgardelis S., Koutis V. and Savaris D. 2009. Wolf depredation on livestock in central Greece. Acta theriologica 54, 11-22.</t>
  </si>
  <si>
    <t>Conover M.R., Francik J.G. and Miller D.E. 1977. An experimental evaluation of aversive conditioning for controlling coyote predation. Journal of Wildlife Management 41, 775-779.</t>
  </si>
  <si>
    <t>Darrow P.A. and Shivik J.A. 2009. Bold, shy, and persistent: variable coyote response to light and sound stimuli. Applied Animal Behaviour Science 116, 82-87.</t>
  </si>
  <si>
    <t>Shivik J.A., Ruid D., Willging R.C. and Mock K.E. 2011a. Are the same bears repeatedly translocated from corn crops in Wisconsin? Ursus 22, 114-119.</t>
  </si>
  <si>
    <t>Shivik et al. 2011a</t>
  </si>
  <si>
    <t>Shivik et al. 2011b</t>
  </si>
  <si>
    <t>Ternent and Garshelis 1999</t>
  </si>
  <si>
    <t>Thompson 1979</t>
  </si>
  <si>
    <t>Otstavel T., Vuori K.A., Sims D.E., Valros A., Vainio O. and Saloniemi H. 2009. The first experience of livestock guarding dogs preventing large carnivore damages in Finland. Estonian Journal of Ecology 58, 216-224.</t>
  </si>
  <si>
    <t xml:space="preserve">Kobashikawa S., Trentin B. and Koike S. 2019. The benefit of wrapping trees in biodegradable material netting to protect against bark stripping by bears extends to surrounding stands. Forest Ecology and Management 437, 134-138. </t>
  </si>
  <si>
    <t>proportion of flock killed</t>
  </si>
  <si>
    <t>ewe-treatment</t>
  </si>
  <si>
    <t>Horgan J.E. 2015. Testing the effectiveness and cost-efficiency of livestock guarding dogs in Botswana. MSc thesis. Rhodes University, South Africa.</t>
  </si>
  <si>
    <t>Ribeiro and Petrucci-Fonseca 2005</t>
  </si>
  <si>
    <t>Fernández-Gil A., Navez J., Ordiz A., Quevedo M., Revilla E. and Delibes M. 2016. Conflict misleads large carnivore management and conservation: brown bears and wolves in Spain. PLoS One 11, e0151541.</t>
  </si>
  <si>
    <t>Fritts S.H., Paul W.J. and Mech L.D. 1984. Movements of translocated wolves in Minnesota. Journal of Wildlife Management 48, 709-721.</t>
  </si>
  <si>
    <t>handicrafts</t>
  </si>
  <si>
    <t>Agvaantseren et al. 2016</t>
  </si>
  <si>
    <t>Kunkel et al. 2016</t>
  </si>
  <si>
    <t>Agvaantseren B., Allen P., Dashzeveg U., Mijiddorj T. and Rullman J.S. 2016. Handicrafts: snow leopard enterprises in Mongolia. In: Snow leopards (eds. McCarthy T. and Mallon D.), pp. 169-172. Elsevier, Amsterdam.</t>
  </si>
  <si>
    <t xml:space="preserve">Kunkel K., Hussain S. and Khatiwada A. 2016. A review of lessons, successes, and pitfalls of livestock insurance schemes. In: Snow leopards (eds. McCarthy T. and Mallon D.), pp. 173-178. Elsevier, Amsterdam. </t>
  </si>
  <si>
    <t>Mohammad et al. 2016</t>
  </si>
  <si>
    <t>control-impact</t>
  </si>
  <si>
    <t>Tajikistan</t>
  </si>
  <si>
    <t>Lyamuya R.D., Masenga E.H., Fyumagwa R.D., Mwita M.N. and Røskaft E. 2016. Pastoralist herding efficiency in dealing with carnivore-livestock conflicts in the eastern Serengeti, Tanzania. International Journal of Biodiversity Science, Ecosystem Services and Management 12, 202-211.</t>
  </si>
  <si>
    <t>Hansen I., Bakken M. and Braastad B.O. 1997. Failure of LiCl-conditioned taste aversion to prevent dogs from attacking sheep. Applied Animal Behaviour Science 54, 251-256.</t>
  </si>
  <si>
    <t>neighborhood safety</t>
  </si>
  <si>
    <t>Ellins 2005</t>
  </si>
  <si>
    <t>Jankovsky et al. 1974</t>
  </si>
  <si>
    <t>Krogstad et al. 2000</t>
  </si>
  <si>
    <t>Linhart et al. 1984</t>
  </si>
  <si>
    <t>Martin and O'Brien 2000</t>
  </si>
  <si>
    <t>Swanson and Scott 1973</t>
  </si>
  <si>
    <t>Walking for Lions 2016</t>
  </si>
  <si>
    <t>Botswana</t>
  </si>
  <si>
    <t>Walking for Lions. 2016. Quarterly Report. Permit EWT 8/36/4 XXXII (52). Pandamatenga, Botswana, 5 p.</t>
  </si>
  <si>
    <t>Smith T.S., Herrero S., Layton C.S., Larsen R.T. and Johnson K.R. 2012. Efficacy of firearms for bear deterrence in Alaska. Journal of Widlife Management 76, 1021-1027.</t>
  </si>
  <si>
    <t>Stringham and Bryant 2015</t>
  </si>
  <si>
    <r>
      <t>Acorn R.C. and Dorrance M.J. 1994. An evaluation of anti-coyote electric fences. Proceedings of the 16</t>
    </r>
    <r>
      <rPr>
        <vertAlign val="superscript"/>
        <sz val="10"/>
        <rFont val="Arial"/>
        <family val="2"/>
      </rPr>
      <t>th</t>
    </r>
    <r>
      <rPr>
        <sz val="10"/>
        <rFont val="Arial"/>
        <family val="2"/>
      </rPr>
      <t xml:space="preserve"> Vertebrate Pest Conference (eds. Halverson W.S. and Crabb A.C.), pp. 45-50. Univ. of California at Davis Press, Davis CA.</t>
    </r>
  </si>
  <si>
    <t>Breck S.W., Lance N. and Callahan P. 2006. A shocking device for protection of concentrated food sources from black bears. Wildlife Society Bulletin 34, 23-26.</t>
  </si>
  <si>
    <t>Andelt and Gipson 1979</t>
  </si>
  <si>
    <t>trapping of problem animals</t>
  </si>
  <si>
    <t>Andelt W.F. and Gipson P.S. 1979. Domestic turkey losses to radio-tagged coyotes. Journal of Wildlife Management 43, 673-679.</t>
  </si>
  <si>
    <t>Burns and Mason 1996</t>
  </si>
  <si>
    <t>collar with capsicum oleo resin</t>
  </si>
  <si>
    <t>No. predators attacking</t>
  </si>
  <si>
    <r>
      <t>Burns R.J. and Mason J.R. 1996. Effectiveness of Vichos non-lethal collars in deterring coyote attacks on sheep. Proceedings of the 17</t>
    </r>
    <r>
      <rPr>
        <vertAlign val="superscript"/>
        <sz val="10"/>
        <rFont val="Arial"/>
        <family val="2"/>
      </rPr>
      <t>th</t>
    </r>
    <r>
      <rPr>
        <sz val="10"/>
        <rFont val="Arial"/>
        <family val="2"/>
      </rPr>
      <t xml:space="preserve"> Vertebrate Pest Conference (eds. Timm R.M. and Crabb A.C.), pp. 204-206. Univ. of California at Davis Press, Davis CA.</t>
    </r>
  </si>
  <si>
    <t>Burns et al. 1996</t>
  </si>
  <si>
    <t>Burns R.J., Zemlicka D.E. and Savarie P.J. 1996. Effectiveness of large livestock protection collars against depredating coyotes. Wildlife Society Bulletin 24, 123-127.</t>
  </si>
  <si>
    <t>Burns 1980</t>
  </si>
  <si>
    <t>proportion of killed/offered</t>
  </si>
  <si>
    <t>Burns R.J. 1980. Evaluation of conditioned predation aversion for controlling coyote predation. Journal of Wildlife Management 44, 938-942.</t>
  </si>
  <si>
    <t>Predated sheep, 1993-95</t>
  </si>
  <si>
    <t>Night corrals for swine (yes, 1 or no, 0)</t>
  </si>
  <si>
    <t>Night corrals for sheep (yes, 1 or no, 0)</t>
  </si>
  <si>
    <t>sheep/goats, horses and camels</t>
  </si>
  <si>
    <t>cattle, sheep/goats, yak and horses</t>
  </si>
  <si>
    <t>sheep/goats, yak, horses, mules and donkeys</t>
  </si>
  <si>
    <t>% depredation events</t>
  </si>
  <si>
    <t>Alexander J., Chen P., Damerell P., Youkui W., Hughes J., Shi K. and Riordan P. 2015. Human wildlife conflict involving large carnivores in Qilianshan, China and the minimal paw-print of snow leopards. Biological Conservation 187, 1-9.</t>
  </si>
  <si>
    <t>No. killed/100 km2</t>
  </si>
  <si>
    <t>proportion of food consumed</t>
  </si>
  <si>
    <t>Shivik J.A., Treves A. and Callahan P. 2003. Nonlethal techniques for managing predation: primary and secondary repellents. Conservation Biology 17, 1531-1537.</t>
  </si>
  <si>
    <t>Wagner K.K. and Conover M.R. 1999. Effect of preventive coyote hunting on sheep losses to coyote predation. Journal of Wildlife Management 63, 606-612.</t>
  </si>
  <si>
    <t>Breck S.W., Williamson R., Niemeyer C. and Shivik J.A. 2002. Non-lethal radio activated guard for deterring wolf depredation in Idaho: summary and call for research. Proceedings of the 20th Vertebrate Pest Conference (eds. Timm R.M. and Schmidt R.H.), pp. 223-226. Univ. of California at Davis Press, Davis CA.</t>
  </si>
  <si>
    <t>Hansen I. and Smith M.E. 1999. Livestock-guarding dogs in Norway. Part II: different working regimes. Journal of Range Management 52, 312-316.</t>
  </si>
  <si>
    <t>Sutton et al.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</si>
</sst>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2" formatCode="0.0"/>
    <numFmt numFmtId="183" formatCode="0.000"/>
  </numFmts>
  <fonts count="11" x14ac:knownFonts="1">
    <font>
      <sz val="10"/>
      <name val="Arial"/>
    </font>
    <font>
      <sz val="10"/>
      <name val="Arial"/>
    </font>
    <font>
      <sz val="10"/>
      <name val="Arial"/>
      <family val="2"/>
    </font>
    <font>
      <sz val="8"/>
      <name val="Arial"/>
    </font>
    <font>
      <i/>
      <sz val="10"/>
      <name val="Arial"/>
      <family val="2"/>
    </font>
    <font>
      <vertAlign val="superscript"/>
      <sz val="10"/>
      <name val="Arial"/>
      <family val="2"/>
    </font>
    <font>
      <b/>
      <sz val="10"/>
      <name val="Arial"/>
      <family val="2"/>
    </font>
    <font>
      <sz val="10"/>
      <color indexed="8"/>
      <name val="Arial"/>
      <family val="2"/>
    </font>
    <font>
      <b/>
      <sz val="10"/>
      <name val="Arial"/>
      <family val="2"/>
      <charset val="204"/>
    </font>
    <font>
      <sz val="10"/>
      <name val="Tahoma"/>
      <family val="2"/>
    </font>
    <font>
      <vertAlign val="superscript"/>
      <sz val="10"/>
      <color indexed="8"/>
      <name val="Arial"/>
      <family val="2"/>
    </font>
  </fonts>
  <fills count="5">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11"/>
        <bgColor indexed="64"/>
      </patternFill>
    </fill>
  </fills>
  <borders count="1">
    <border>
      <left/>
      <right/>
      <top/>
      <bottom/>
      <diagonal/>
    </border>
  </borders>
  <cellStyleXfs count="1">
    <xf numFmtId="0" fontId="0" fillId="0" borderId="0"/>
  </cellStyleXfs>
  <cellXfs count="72">
    <xf numFmtId="0" fontId="0" fillId="0" borderId="0" xfId="0"/>
    <xf numFmtId="0" fontId="2" fillId="0" borderId="0" xfId="0" applyFont="1"/>
    <xf numFmtId="0" fontId="0" fillId="0" borderId="0" xfId="0" applyFill="1" applyAlignment="1">
      <alignment horizontal="center"/>
    </xf>
    <xf numFmtId="0" fontId="0" fillId="0" borderId="0" xfId="0" applyFill="1"/>
    <xf numFmtId="0" fontId="2" fillId="0" borderId="0" xfId="0" applyFont="1" applyFill="1"/>
    <xf numFmtId="0" fontId="0" fillId="0" borderId="0" xfId="0" applyAlignment="1">
      <alignment horizontal="center" vertical="center" wrapText="1"/>
    </xf>
    <xf numFmtId="0" fontId="0" fillId="0" borderId="0" xfId="0" applyBorder="1"/>
    <xf numFmtId="0" fontId="0" fillId="0" borderId="0" xfId="0" applyFill="1" applyBorder="1"/>
    <xf numFmtId="0" fontId="7" fillId="0" borderId="0" xfId="0" applyFont="1" applyFill="1"/>
    <xf numFmtId="0" fontId="6" fillId="0" borderId="0" xfId="0" applyFont="1"/>
    <xf numFmtId="183" fontId="0" fillId="0" borderId="0" xfId="0" applyNumberFormat="1" applyFill="1" applyBorder="1"/>
    <xf numFmtId="2" fontId="0" fillId="0" borderId="0" xfId="0" applyNumberFormat="1" applyFill="1" applyBorder="1"/>
    <xf numFmtId="0" fontId="2" fillId="0" borderId="0" xfId="0" applyFont="1" applyFill="1" applyBorder="1"/>
    <xf numFmtId="183" fontId="0" fillId="0" borderId="0" xfId="0" applyNumberFormat="1" applyBorder="1"/>
    <xf numFmtId="15" fontId="0" fillId="0" borderId="0" xfId="0" applyNumberFormat="1" applyFill="1" applyBorder="1"/>
    <xf numFmtId="0" fontId="0" fillId="0" borderId="0" xfId="0" applyFill="1" applyBorder="1" applyAlignment="1">
      <alignment horizontal="left" vertical="center"/>
    </xf>
    <xf numFmtId="0" fontId="0" fillId="0" borderId="0" xfId="0" applyFill="1" applyBorder="1" applyAlignment="1">
      <alignment vertical="center" wrapText="1"/>
    </xf>
    <xf numFmtId="183" fontId="0" fillId="0" borderId="0" xfId="0" applyNumberFormat="1" applyFill="1" applyBorder="1" applyAlignment="1">
      <alignment vertical="center" wrapText="1"/>
    </xf>
    <xf numFmtId="0" fontId="2" fillId="0" borderId="0" xfId="0" applyFont="1" applyFill="1" applyBorder="1" applyAlignment="1">
      <alignment vertical="center"/>
    </xf>
    <xf numFmtId="0" fontId="0" fillId="0" borderId="0" xfId="0" applyFill="1" applyBorder="1" applyAlignment="1">
      <alignment vertical="center"/>
    </xf>
    <xf numFmtId="183" fontId="0" fillId="0" borderId="0" xfId="0" applyNumberFormat="1" applyFill="1" applyBorder="1" applyAlignment="1">
      <alignment vertical="center"/>
    </xf>
    <xf numFmtId="0" fontId="0" fillId="0" borderId="0" xfId="0" applyFill="1" applyAlignment="1"/>
    <xf numFmtId="0" fontId="0" fillId="2" borderId="0" xfId="0" applyFill="1"/>
    <xf numFmtId="0" fontId="8" fillId="2" borderId="0" xfId="0" applyFont="1" applyFill="1" applyAlignment="1">
      <alignment horizontal="center" vertical="center" wrapText="1"/>
    </xf>
    <xf numFmtId="0" fontId="0" fillId="0" borderId="0" xfId="0" applyAlignment="1">
      <alignment horizontal="left"/>
    </xf>
    <xf numFmtId="0" fontId="8" fillId="2" borderId="0" xfId="0" applyFont="1" applyFill="1" applyAlignment="1">
      <alignment horizontal="left"/>
    </xf>
    <xf numFmtId="3" fontId="8" fillId="2" borderId="0" xfId="0" applyNumberFormat="1" applyFont="1" applyFill="1" applyAlignment="1">
      <alignment horizontal="right"/>
    </xf>
    <xf numFmtId="3" fontId="0" fillId="0" borderId="0" xfId="0" applyNumberFormat="1"/>
    <xf numFmtId="0" fontId="0" fillId="0" borderId="0" xfId="0" applyFill="1" applyAlignment="1">
      <alignment horizontal="left" vertical="center" wrapText="1"/>
    </xf>
    <xf numFmtId="1" fontId="0" fillId="0" borderId="0" xfId="0" applyNumberFormat="1" applyFill="1" applyAlignment="1">
      <alignment horizontal="right" vertical="center" wrapText="1"/>
    </xf>
    <xf numFmtId="3" fontId="0" fillId="0" borderId="0" xfId="0" applyNumberFormat="1" applyFill="1" applyAlignment="1">
      <alignment horizontal="right" vertical="center" wrapText="1"/>
    </xf>
    <xf numFmtId="0" fontId="0" fillId="0" borderId="0" xfId="0" applyFill="1" applyAlignment="1">
      <alignment horizontal="right" vertical="center" wrapText="1"/>
    </xf>
    <xf numFmtId="0" fontId="0" fillId="0" borderId="0" xfId="0" applyFill="1" applyAlignment="1">
      <alignment horizontal="left"/>
    </xf>
    <xf numFmtId="1" fontId="0" fillId="0" borderId="0" xfId="0" applyNumberFormat="1" applyFill="1" applyAlignment="1">
      <alignment horizontal="right"/>
    </xf>
    <xf numFmtId="3" fontId="0" fillId="0" borderId="0" xfId="0" applyNumberFormat="1" applyFill="1" applyAlignment="1">
      <alignment horizontal="right"/>
    </xf>
    <xf numFmtId="0" fontId="0" fillId="0" borderId="0" xfId="0" applyFill="1" applyAlignment="1">
      <alignment horizontal="right"/>
    </xf>
    <xf numFmtId="0" fontId="0" fillId="0" borderId="0" xfId="0" applyFill="1" applyAlignment="1">
      <alignment vertical="center"/>
    </xf>
    <xf numFmtId="183" fontId="0" fillId="3" borderId="0" xfId="0" applyNumberFormat="1" applyFill="1" applyBorder="1" applyAlignment="1">
      <alignment horizontal="center" vertical="center" wrapText="1"/>
    </xf>
    <xf numFmtId="0" fontId="0" fillId="2" borderId="0" xfId="0" applyFill="1" applyBorder="1" applyAlignment="1">
      <alignment horizontal="center" vertical="center" wrapText="1"/>
    </xf>
    <xf numFmtId="183" fontId="0" fillId="0" borderId="0" xfId="0" applyNumberFormat="1" applyFill="1" applyBorder="1" applyAlignment="1">
      <alignment horizontal="right" vertical="center"/>
    </xf>
    <xf numFmtId="183" fontId="0" fillId="0" borderId="0" xfId="0" applyNumberFormat="1" applyFill="1"/>
    <xf numFmtId="183" fontId="1" fillId="0" borderId="0" xfId="0" applyNumberFormat="1" applyFont="1" applyFill="1" applyBorder="1"/>
    <xf numFmtId="183" fontId="0" fillId="0" borderId="0" xfId="0" applyNumberFormat="1" applyFill="1" applyAlignment="1"/>
    <xf numFmtId="2" fontId="2" fillId="0" borderId="0" xfId="0" applyNumberFormat="1" applyFont="1"/>
    <xf numFmtId="2" fontId="0" fillId="0" borderId="0" xfId="0" applyNumberFormat="1" applyFill="1"/>
    <xf numFmtId="2" fontId="0" fillId="0" borderId="0" xfId="0" applyNumberFormat="1" applyFill="1" applyAlignment="1"/>
    <xf numFmtId="2" fontId="0" fillId="0" borderId="0" xfId="0" applyNumberFormat="1"/>
    <xf numFmtId="0" fontId="2" fillId="0" borderId="0" xfId="0" applyFont="1" applyFill="1" applyBorder="1" applyAlignment="1">
      <alignment vertical="center" wrapText="1"/>
    </xf>
    <xf numFmtId="0" fontId="7" fillId="0" borderId="0" xfId="0" applyFont="1" applyFill="1" applyBorder="1"/>
    <xf numFmtId="0" fontId="6" fillId="2" borderId="0" xfId="0" applyFont="1" applyFill="1"/>
    <xf numFmtId="183" fontId="2" fillId="0" borderId="0" xfId="0" applyNumberFormat="1" applyFont="1" applyFill="1"/>
    <xf numFmtId="0" fontId="6" fillId="2" borderId="0" xfId="0" applyFont="1" applyFill="1" applyAlignment="1">
      <alignment horizontal="left"/>
    </xf>
    <xf numFmtId="0" fontId="0" fillId="0" borderId="0" xfId="0" applyFont="1" applyFill="1" applyBorder="1"/>
    <xf numFmtId="0" fontId="0" fillId="0" borderId="0" xfId="0" applyFont="1" applyFill="1" applyBorder="1" applyAlignment="1">
      <alignment vertical="center"/>
    </xf>
    <xf numFmtId="182" fontId="0" fillId="0" borderId="0" xfId="0" applyNumberFormat="1" applyFill="1"/>
    <xf numFmtId="0" fontId="6" fillId="0" borderId="0" xfId="0" applyFont="1" applyFill="1" applyAlignment="1">
      <alignment horizontal="center"/>
    </xf>
    <xf numFmtId="0" fontId="7" fillId="0" borderId="0" xfId="0" applyFont="1" applyFill="1" applyBorder="1" applyAlignment="1"/>
    <xf numFmtId="0" fontId="0" fillId="0" borderId="0" xfId="0" applyFill="1" applyBorder="1" applyAlignment="1"/>
    <xf numFmtId="183" fontId="0" fillId="0" borderId="0" xfId="0" applyNumberFormat="1" applyFill="1" applyBorder="1" applyAlignment="1"/>
    <xf numFmtId="182" fontId="0" fillId="0" borderId="0" xfId="0" applyNumberFormat="1" applyFill="1" applyAlignment="1"/>
    <xf numFmtId="182" fontId="0" fillId="0" borderId="0" xfId="0" applyNumberFormat="1" applyFill="1" applyAlignment="1">
      <alignment vertical="center"/>
    </xf>
    <xf numFmtId="0" fontId="2" fillId="0" borderId="0" xfId="0" applyFont="1" applyFill="1" applyBorder="1" applyAlignment="1"/>
    <xf numFmtId="183" fontId="2" fillId="0" borderId="0" xfId="0" applyNumberFormat="1" applyFont="1" applyFill="1" applyBorder="1" applyAlignment="1"/>
    <xf numFmtId="0" fontId="2" fillId="0" borderId="0" xfId="0" applyFont="1" applyFill="1" applyAlignment="1"/>
    <xf numFmtId="183" fontId="2" fillId="0" borderId="0" xfId="0" applyNumberFormat="1" applyFont="1" applyFill="1" applyBorder="1" applyAlignment="1">
      <alignment vertical="center"/>
    </xf>
    <xf numFmtId="0" fontId="9" fillId="0" borderId="0" xfId="0" applyFont="1" applyFill="1" applyAlignment="1"/>
    <xf numFmtId="0" fontId="7" fillId="0" borderId="0" xfId="0" applyFont="1" applyFill="1" applyAlignment="1"/>
    <xf numFmtId="0" fontId="2" fillId="0" borderId="0" xfId="0" applyNumberFormat="1" applyFont="1" applyFill="1" applyAlignment="1"/>
    <xf numFmtId="0" fontId="0" fillId="0" borderId="0" xfId="0" applyFill="1" applyAlignment="1">
      <alignment horizontal="center" vertical="center"/>
    </xf>
    <xf numFmtId="183" fontId="2" fillId="0" borderId="0" xfId="0" applyNumberFormat="1" applyFont="1" applyFill="1" applyBorder="1"/>
    <xf numFmtId="0" fontId="0" fillId="0" borderId="0" xfId="0" applyFont="1" applyFill="1" applyAlignment="1">
      <alignment vertical="center"/>
    </xf>
    <xf numFmtId="0" fontId="0" fillId="4" borderId="0"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010205"/>
      <rgbColor rgb="00E0E0E0"/>
      <rgbColor rgb="00AEAEAE"/>
      <rgbColor rgb="00152935"/>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4BB3-61C7-4D4C-88D3-CF38041C8E1E}">
  <dimension ref="A1:N703"/>
  <sheetViews>
    <sheetView tabSelected="1" zoomScale="85" workbookViewId="0">
      <pane xSplit="1" ySplit="1" topLeftCell="B2" activePane="bottomRight" state="frozen"/>
      <selection pane="topRight" activeCell="B1" sqref="B1"/>
      <selection pane="bottomLeft" activeCell="A2" sqref="A2"/>
      <selection pane="bottomRight" activeCell="E8" sqref="E8"/>
    </sheetView>
  </sheetViews>
  <sheetFormatPr defaultRowHeight="13.2" x14ac:dyDescent="0.25"/>
  <cols>
    <col min="1" max="1" width="20.88671875" style="6" customWidth="1"/>
    <col min="2" max="2" width="9.5546875" style="6" customWidth="1"/>
    <col min="3" max="3" width="16.21875" style="7" bestFit="1" customWidth="1"/>
    <col min="4" max="5" width="17.88671875" style="6" customWidth="1"/>
    <col min="6" max="6" width="10.88671875" style="6" customWidth="1"/>
    <col min="7" max="7" width="13.5546875" style="6" customWidth="1"/>
    <col min="8" max="8" width="17.5546875" style="7" customWidth="1"/>
    <col min="9" max="9" width="11.77734375" style="6" bestFit="1" customWidth="1"/>
    <col min="10" max="10" width="23.77734375" style="6" customWidth="1"/>
    <col min="11" max="11" width="8.21875" style="13" customWidth="1"/>
  </cols>
  <sheetData>
    <row r="1" spans="1:11" s="5" customFormat="1" ht="39.6" x14ac:dyDescent="0.25">
      <c r="A1" s="38" t="s">
        <v>13</v>
      </c>
      <c r="B1" s="71" t="s">
        <v>306</v>
      </c>
      <c r="C1" s="38" t="s">
        <v>391</v>
      </c>
      <c r="D1" s="38" t="s">
        <v>14</v>
      </c>
      <c r="E1" s="38" t="s">
        <v>377</v>
      </c>
      <c r="F1" s="38" t="s">
        <v>901</v>
      </c>
      <c r="G1" s="38" t="s">
        <v>900</v>
      </c>
      <c r="H1" s="38" t="s">
        <v>743</v>
      </c>
      <c r="I1" s="38" t="s">
        <v>104</v>
      </c>
      <c r="J1" s="38" t="s">
        <v>939</v>
      </c>
      <c r="K1" s="37" t="s">
        <v>940</v>
      </c>
    </row>
    <row r="2" spans="1:11" s="3" customFormat="1" x14ac:dyDescent="0.25">
      <c r="A2" s="7" t="s">
        <v>105</v>
      </c>
      <c r="B2" s="36">
        <v>0</v>
      </c>
      <c r="C2" s="7" t="s">
        <v>185</v>
      </c>
      <c r="D2" s="7" t="s">
        <v>1000</v>
      </c>
      <c r="E2" s="7" t="s">
        <v>1001</v>
      </c>
      <c r="F2" s="7" t="s">
        <v>551</v>
      </c>
      <c r="G2" s="7" t="s">
        <v>1002</v>
      </c>
      <c r="H2" s="7" t="s">
        <v>1002</v>
      </c>
      <c r="I2" s="7" t="s">
        <v>1003</v>
      </c>
      <c r="J2" s="7" t="s">
        <v>451</v>
      </c>
      <c r="K2" s="10">
        <f>(SUM(0,0,0,0,0,0,13,0,27,7,1,27,23,17,8,4,3,1,1,1,1)/(499*21))/(SUM(27,15,12,54,20,7,121,70,7,3,0)/(499*21))</f>
        <v>0.39880952380952384</v>
      </c>
    </row>
    <row r="3" spans="1:11" s="3" customFormat="1" x14ac:dyDescent="0.25">
      <c r="A3" s="7" t="s">
        <v>1124</v>
      </c>
      <c r="B3" s="36">
        <v>0</v>
      </c>
      <c r="C3" s="7" t="s">
        <v>185</v>
      </c>
      <c r="D3" s="7" t="s">
        <v>680</v>
      </c>
      <c r="E3" s="7" t="s">
        <v>1023</v>
      </c>
      <c r="F3" s="7" t="s">
        <v>280</v>
      </c>
      <c r="G3" s="7" t="s">
        <v>9</v>
      </c>
      <c r="H3" s="7" t="s">
        <v>1123</v>
      </c>
      <c r="I3" s="7" t="s">
        <v>29</v>
      </c>
      <c r="J3" s="7" t="s">
        <v>11</v>
      </c>
      <c r="K3" s="10">
        <v>0</v>
      </c>
    </row>
    <row r="4" spans="1:11" s="3" customFormat="1" x14ac:dyDescent="0.25">
      <c r="A4" s="7" t="s">
        <v>590</v>
      </c>
      <c r="B4" s="36">
        <v>1</v>
      </c>
      <c r="C4" s="7" t="s">
        <v>1129</v>
      </c>
      <c r="D4" s="7" t="s">
        <v>449</v>
      </c>
      <c r="E4" s="7" t="s">
        <v>1164</v>
      </c>
      <c r="F4" s="7" t="s">
        <v>551</v>
      </c>
      <c r="G4" s="7" t="s">
        <v>1021</v>
      </c>
      <c r="H4" s="7" t="s">
        <v>1021</v>
      </c>
      <c r="I4" s="7" t="s">
        <v>510</v>
      </c>
      <c r="J4" s="7" t="s">
        <v>1165</v>
      </c>
      <c r="K4" s="10">
        <f>68/23</f>
        <v>2.9565217391304346</v>
      </c>
    </row>
    <row r="5" spans="1:11" s="3" customFormat="1" x14ac:dyDescent="0.25">
      <c r="A5" s="7" t="s">
        <v>591</v>
      </c>
      <c r="B5" s="36">
        <v>1</v>
      </c>
      <c r="C5" s="7" t="s">
        <v>1129</v>
      </c>
      <c r="D5" s="7" t="s">
        <v>1022</v>
      </c>
      <c r="E5" s="7" t="s">
        <v>394</v>
      </c>
      <c r="F5" s="7" t="s">
        <v>551</v>
      </c>
      <c r="G5" s="7" t="s">
        <v>1021</v>
      </c>
      <c r="H5" s="7" t="s">
        <v>1021</v>
      </c>
      <c r="I5" s="7" t="s">
        <v>61</v>
      </c>
      <c r="J5" s="7" t="s">
        <v>24</v>
      </c>
      <c r="K5" s="10">
        <f>(5+9)/61</f>
        <v>0.22950819672131148</v>
      </c>
    </row>
    <row r="6" spans="1:11" s="3" customFormat="1" x14ac:dyDescent="0.25">
      <c r="A6" s="7" t="s">
        <v>591</v>
      </c>
      <c r="B6" s="36">
        <v>1</v>
      </c>
      <c r="C6" s="7" t="s">
        <v>1129</v>
      </c>
      <c r="D6" s="7" t="s">
        <v>1022</v>
      </c>
      <c r="E6" s="7" t="s">
        <v>394</v>
      </c>
      <c r="F6" s="7" t="s">
        <v>551</v>
      </c>
      <c r="G6" s="7" t="s">
        <v>401</v>
      </c>
      <c r="H6" s="7" t="s">
        <v>1007</v>
      </c>
      <c r="I6" s="7" t="s">
        <v>61</v>
      </c>
      <c r="J6" s="7" t="s">
        <v>24</v>
      </c>
      <c r="K6" s="10">
        <f>(25+9)/61</f>
        <v>0.55737704918032782</v>
      </c>
    </row>
    <row r="7" spans="1:11" s="3" customFormat="1" x14ac:dyDescent="0.25">
      <c r="A7" s="15" t="s">
        <v>574</v>
      </c>
      <c r="B7" s="36">
        <v>1</v>
      </c>
      <c r="C7" s="15" t="s">
        <v>185</v>
      </c>
      <c r="D7" s="15" t="s">
        <v>1016</v>
      </c>
      <c r="E7" s="15" t="s">
        <v>575</v>
      </c>
      <c r="F7" s="15" t="s">
        <v>373</v>
      </c>
      <c r="G7" s="15" t="s">
        <v>374</v>
      </c>
      <c r="H7" s="15" t="s">
        <v>374</v>
      </c>
      <c r="I7" s="15" t="s">
        <v>1008</v>
      </c>
      <c r="J7" s="15" t="s">
        <v>506</v>
      </c>
      <c r="K7" s="39">
        <f>(14/66)/(66/66)</f>
        <v>0.21212121212121213</v>
      </c>
    </row>
    <row r="8" spans="1:11" s="21" customFormat="1" x14ac:dyDescent="0.25">
      <c r="A8" s="19" t="s">
        <v>160</v>
      </c>
      <c r="B8" s="19">
        <v>1</v>
      </c>
      <c r="C8" s="19" t="s">
        <v>185</v>
      </c>
      <c r="D8" s="19" t="s">
        <v>1009</v>
      </c>
      <c r="E8" s="19" t="s">
        <v>1023</v>
      </c>
      <c r="F8" s="19" t="s">
        <v>550</v>
      </c>
      <c r="G8" s="19" t="s">
        <v>399</v>
      </c>
      <c r="H8" s="19" t="s">
        <v>213</v>
      </c>
      <c r="I8" s="19" t="s">
        <v>1008</v>
      </c>
      <c r="J8" s="19" t="s">
        <v>1064</v>
      </c>
      <c r="K8" s="20">
        <f>(8-2)/8</f>
        <v>0.75</v>
      </c>
    </row>
    <row r="9" spans="1:11" s="21" customFormat="1" x14ac:dyDescent="0.25">
      <c r="A9" s="19" t="s">
        <v>617</v>
      </c>
      <c r="B9" s="36">
        <v>0</v>
      </c>
      <c r="C9" s="19" t="s">
        <v>185</v>
      </c>
      <c r="D9" s="19" t="s">
        <v>1004</v>
      </c>
      <c r="E9" s="19" t="s">
        <v>1005</v>
      </c>
      <c r="F9" s="19" t="s">
        <v>437</v>
      </c>
      <c r="G9" s="19" t="s">
        <v>130</v>
      </c>
      <c r="H9" s="19" t="s">
        <v>337</v>
      </c>
      <c r="I9" s="19" t="s">
        <v>1006</v>
      </c>
      <c r="J9" s="19" t="s">
        <v>618</v>
      </c>
      <c r="K9" s="20">
        <f>AVERAGE(0,15,0.3,0,11.3,32.1,0)/AVERAGE(8.8,0,0,1.2,0,0,0)</f>
        <v>5.87</v>
      </c>
    </row>
    <row r="10" spans="1:11" s="21" customFormat="1" x14ac:dyDescent="0.25">
      <c r="A10" s="19" t="s">
        <v>359</v>
      </c>
      <c r="B10" s="36">
        <v>1</v>
      </c>
      <c r="C10" s="19" t="s">
        <v>414</v>
      </c>
      <c r="D10" s="19" t="s">
        <v>1004</v>
      </c>
      <c r="E10" s="19" t="s">
        <v>1005</v>
      </c>
      <c r="F10" s="19" t="s">
        <v>437</v>
      </c>
      <c r="G10" s="19" t="s">
        <v>130</v>
      </c>
      <c r="H10" s="19" t="s">
        <v>337</v>
      </c>
      <c r="I10" s="19" t="s">
        <v>1006</v>
      </c>
      <c r="J10" s="19" t="s">
        <v>338</v>
      </c>
      <c r="K10" s="20">
        <f>AVERAGE((11/135)/(28/175),(47/188)/(19/190),(22/233)/(19/228),(33/189)/(12/194),(75/180)/(16/166),(11/177)/(16/174))</f>
        <v>1.9939703194341332</v>
      </c>
    </row>
    <row r="11" spans="1:11" s="21" customFormat="1" x14ac:dyDescent="0.25">
      <c r="A11" s="19" t="s">
        <v>592</v>
      </c>
      <c r="B11" s="36">
        <v>1</v>
      </c>
      <c r="C11" s="7" t="s">
        <v>1129</v>
      </c>
      <c r="D11" s="19" t="s">
        <v>1004</v>
      </c>
      <c r="E11" s="19" t="s">
        <v>1005</v>
      </c>
      <c r="F11" s="19" t="s">
        <v>437</v>
      </c>
      <c r="G11" s="19" t="s">
        <v>130</v>
      </c>
      <c r="H11" s="19" t="s">
        <v>337</v>
      </c>
      <c r="I11" s="19" t="s">
        <v>1006</v>
      </c>
      <c r="J11" s="19" t="s">
        <v>63</v>
      </c>
      <c r="K11" s="20">
        <f>AVERAGE(0.23/0.25,0.07/0.06,0.29/0.42)</f>
        <v>0.92571428571428582</v>
      </c>
    </row>
    <row r="12" spans="1:11" s="3" customFormat="1" x14ac:dyDescent="0.25">
      <c r="A12" s="12" t="s">
        <v>43</v>
      </c>
      <c r="B12" s="36">
        <v>1</v>
      </c>
      <c r="C12" s="7" t="s">
        <v>1129</v>
      </c>
      <c r="D12" s="7" t="s">
        <v>1000</v>
      </c>
      <c r="E12" s="7" t="s">
        <v>404</v>
      </c>
      <c r="F12" s="7" t="s">
        <v>551</v>
      </c>
      <c r="G12" s="7" t="s">
        <v>401</v>
      </c>
      <c r="H12" s="7" t="s">
        <v>1007</v>
      </c>
      <c r="I12" s="7" t="s">
        <v>1008</v>
      </c>
      <c r="J12" s="7" t="s">
        <v>396</v>
      </c>
      <c r="K12" s="10">
        <f>(0.012*1292/1292)/AVERAGE(0.096*897/897,0.047*460/460)</f>
        <v>0.16783216783216784</v>
      </c>
    </row>
    <row r="13" spans="1:11" s="3" customFormat="1" x14ac:dyDescent="0.25">
      <c r="A13" s="12" t="s">
        <v>43</v>
      </c>
      <c r="B13" s="36">
        <v>1</v>
      </c>
      <c r="C13" s="7" t="s">
        <v>1129</v>
      </c>
      <c r="D13" s="7" t="s">
        <v>1000</v>
      </c>
      <c r="E13" s="7" t="s">
        <v>405</v>
      </c>
      <c r="F13" s="7" t="s">
        <v>551</v>
      </c>
      <c r="G13" s="7" t="s">
        <v>401</v>
      </c>
      <c r="H13" s="7" t="s">
        <v>1007</v>
      </c>
      <c r="I13" s="7" t="s">
        <v>1008</v>
      </c>
      <c r="J13" s="7" t="s">
        <v>396</v>
      </c>
      <c r="K13" s="10">
        <f>(0.004*919/919)/AVERAGE(0.015*682/682,0.008*369/369)</f>
        <v>0.34782608695652173</v>
      </c>
    </row>
    <row r="14" spans="1:11" s="3" customFormat="1" x14ac:dyDescent="0.25">
      <c r="A14" s="12" t="s">
        <v>44</v>
      </c>
      <c r="B14" s="36">
        <v>1</v>
      </c>
      <c r="C14" s="19" t="s">
        <v>185</v>
      </c>
      <c r="D14" s="7" t="s">
        <v>1000</v>
      </c>
      <c r="E14" s="7" t="s">
        <v>404</v>
      </c>
      <c r="F14" s="7" t="s">
        <v>551</v>
      </c>
      <c r="G14" s="7" t="s">
        <v>401</v>
      </c>
      <c r="H14" s="7" t="s">
        <v>1007</v>
      </c>
      <c r="I14" s="7" t="s">
        <v>1008</v>
      </c>
      <c r="J14" s="7" t="s">
        <v>396</v>
      </c>
      <c r="K14" s="10">
        <f>((0.057*3039+0.024*548)/(3039+548))/((0.054*2712+0.038*752)/(2712+752))</f>
        <v>1.0283395950471013</v>
      </c>
    </row>
    <row r="15" spans="1:11" s="3" customFormat="1" x14ac:dyDescent="0.25">
      <c r="A15" s="12" t="s">
        <v>44</v>
      </c>
      <c r="B15" s="36">
        <v>1</v>
      </c>
      <c r="C15" s="19" t="s">
        <v>185</v>
      </c>
      <c r="D15" s="7" t="s">
        <v>1000</v>
      </c>
      <c r="E15" s="7" t="s">
        <v>405</v>
      </c>
      <c r="F15" s="7" t="s">
        <v>551</v>
      </c>
      <c r="G15" s="7" t="s">
        <v>401</v>
      </c>
      <c r="H15" s="7" t="s">
        <v>1007</v>
      </c>
      <c r="I15" s="7" t="s">
        <v>1008</v>
      </c>
      <c r="J15" s="7" t="s">
        <v>396</v>
      </c>
      <c r="K15" s="10">
        <f>((0.01*2700+0.001*409)/(2700+409))/((0.014*2587+0.01*596)/(2587+596))</f>
        <v>0.66530858108266078</v>
      </c>
    </row>
    <row r="16" spans="1:11" s="3" customFormat="1" x14ac:dyDescent="0.25">
      <c r="A16" s="12" t="s">
        <v>44</v>
      </c>
      <c r="B16" s="36">
        <v>1</v>
      </c>
      <c r="C16" s="19" t="s">
        <v>185</v>
      </c>
      <c r="D16" s="7" t="s">
        <v>1016</v>
      </c>
      <c r="E16" s="7" t="s">
        <v>404</v>
      </c>
      <c r="F16" s="7" t="s">
        <v>551</v>
      </c>
      <c r="G16" s="7" t="s">
        <v>401</v>
      </c>
      <c r="H16" s="7" t="s">
        <v>1007</v>
      </c>
      <c r="I16" s="7" t="s">
        <v>1008</v>
      </c>
      <c r="J16" s="7" t="s">
        <v>396</v>
      </c>
      <c r="K16" s="10">
        <f>((0.006*3039+0.002*548)/(3039+548))/((0.002*2712+0*752)/(2712+752))</f>
        <v>3.4415864236060569</v>
      </c>
    </row>
    <row r="17" spans="1:11" s="3" customFormat="1" x14ac:dyDescent="0.25">
      <c r="A17" s="12" t="s">
        <v>44</v>
      </c>
      <c r="B17" s="36">
        <v>1</v>
      </c>
      <c r="C17" s="19" t="s">
        <v>185</v>
      </c>
      <c r="D17" s="7" t="s">
        <v>1016</v>
      </c>
      <c r="E17" s="7" t="s">
        <v>405</v>
      </c>
      <c r="F17" s="7" t="s">
        <v>551</v>
      </c>
      <c r="G17" s="7" t="s">
        <v>401</v>
      </c>
      <c r="H17" s="7" t="s">
        <v>1007</v>
      </c>
      <c r="I17" s="7" t="s">
        <v>1008</v>
      </c>
      <c r="J17" s="7" t="s">
        <v>396</v>
      </c>
      <c r="K17" s="10">
        <f>((0.004*2700+0.001*409)/(2700+409))/((0.002*2587+0.001*596)/(2587+596))</f>
        <v>1.9888726362163185</v>
      </c>
    </row>
    <row r="18" spans="1:11" s="3" customFormat="1" x14ac:dyDescent="0.25">
      <c r="A18" s="12" t="s">
        <v>44</v>
      </c>
      <c r="B18" s="36">
        <v>1</v>
      </c>
      <c r="C18" s="19" t="s">
        <v>185</v>
      </c>
      <c r="D18" s="7" t="s">
        <v>1009</v>
      </c>
      <c r="E18" s="7" t="s">
        <v>404</v>
      </c>
      <c r="F18" s="7" t="s">
        <v>551</v>
      </c>
      <c r="G18" s="7" t="s">
        <v>401</v>
      </c>
      <c r="H18" s="7" t="s">
        <v>1007</v>
      </c>
      <c r="I18" s="7" t="s">
        <v>1008</v>
      </c>
      <c r="J18" s="7" t="s">
        <v>396</v>
      </c>
      <c r="K18" s="10">
        <f>((0.009*3039+0*548)/(3039+548))/((0.001*2712+0*752)/(2712+752))</f>
        <v>9.7393512956077863</v>
      </c>
    </row>
    <row r="19" spans="1:11" s="3" customFormat="1" x14ac:dyDescent="0.25">
      <c r="A19" s="12" t="s">
        <v>44</v>
      </c>
      <c r="B19" s="36">
        <v>1</v>
      </c>
      <c r="C19" s="19" t="s">
        <v>185</v>
      </c>
      <c r="D19" s="7" t="s">
        <v>1009</v>
      </c>
      <c r="E19" s="7" t="s">
        <v>405</v>
      </c>
      <c r="F19" s="7" t="s">
        <v>551</v>
      </c>
      <c r="G19" s="7" t="s">
        <v>401</v>
      </c>
      <c r="H19" s="7" t="s">
        <v>1007</v>
      </c>
      <c r="I19" s="7" t="s">
        <v>1008</v>
      </c>
      <c r="J19" s="7" t="s">
        <v>396</v>
      </c>
      <c r="K19" s="10">
        <f>((0.001*2700+0*409)/(2700+409))/((0.006*2587+0*596)/(2587+596))</f>
        <v>0.17808691128652143</v>
      </c>
    </row>
    <row r="20" spans="1:11" s="3" customFormat="1" x14ac:dyDescent="0.25">
      <c r="A20" s="12" t="s">
        <v>44</v>
      </c>
      <c r="B20" s="36">
        <v>1</v>
      </c>
      <c r="C20" s="19" t="s">
        <v>185</v>
      </c>
      <c r="D20" s="7" t="s">
        <v>1029</v>
      </c>
      <c r="E20" s="7" t="s">
        <v>405</v>
      </c>
      <c r="F20" s="7" t="s">
        <v>551</v>
      </c>
      <c r="G20" s="7" t="s">
        <v>401</v>
      </c>
      <c r="H20" s="7" t="s">
        <v>1007</v>
      </c>
      <c r="I20" s="7" t="s">
        <v>1008</v>
      </c>
      <c r="J20" s="7" t="s">
        <v>396</v>
      </c>
      <c r="K20" s="10">
        <f>((0.001*2700+0.001*409)/(2700+409))/((0.005*2587+0*596)/(2587+596))</f>
        <v>0.24607653652879785</v>
      </c>
    </row>
    <row r="21" spans="1:11" s="3" customFormat="1" x14ac:dyDescent="0.25">
      <c r="A21" s="12" t="s">
        <v>1147</v>
      </c>
      <c r="B21" s="36">
        <v>1</v>
      </c>
      <c r="C21" s="19" t="s">
        <v>185</v>
      </c>
      <c r="D21" s="7" t="s">
        <v>1000</v>
      </c>
      <c r="E21" s="7" t="s">
        <v>541</v>
      </c>
      <c r="F21" s="7" t="s">
        <v>437</v>
      </c>
      <c r="G21" s="7" t="s">
        <v>232</v>
      </c>
      <c r="H21" s="7" t="s">
        <v>1148</v>
      </c>
      <c r="I21" s="7" t="s">
        <v>1008</v>
      </c>
      <c r="J21" s="7" t="s">
        <v>1039</v>
      </c>
      <c r="K21" s="10">
        <f>115/275</f>
        <v>0.41818181818181815</v>
      </c>
    </row>
    <row r="22" spans="1:11" s="3" customFormat="1" x14ac:dyDescent="0.25">
      <c r="A22" s="12" t="s">
        <v>45</v>
      </c>
      <c r="B22" s="36">
        <v>1</v>
      </c>
      <c r="C22" s="7" t="s">
        <v>1129</v>
      </c>
      <c r="D22" s="7" t="s">
        <v>504</v>
      </c>
      <c r="E22" s="7" t="s">
        <v>404</v>
      </c>
      <c r="F22" s="7" t="s">
        <v>551</v>
      </c>
      <c r="G22" s="7" t="s">
        <v>401</v>
      </c>
      <c r="H22" s="7" t="s">
        <v>1007</v>
      </c>
      <c r="I22" s="7" t="s">
        <v>1008</v>
      </c>
      <c r="J22" s="7" t="s">
        <v>396</v>
      </c>
      <c r="K22" s="10">
        <f>(0.009*1524/1524)/(0.066*730/730)</f>
        <v>0.13636363636363635</v>
      </c>
    </row>
    <row r="23" spans="1:11" s="3" customFormat="1" x14ac:dyDescent="0.25">
      <c r="A23" s="12" t="s">
        <v>45</v>
      </c>
      <c r="B23" s="36">
        <v>1</v>
      </c>
      <c r="C23" s="7" t="s">
        <v>1129</v>
      </c>
      <c r="D23" s="7" t="s">
        <v>504</v>
      </c>
      <c r="E23" s="7" t="s">
        <v>405</v>
      </c>
      <c r="F23" s="7" t="s">
        <v>551</v>
      </c>
      <c r="G23" s="7" t="s">
        <v>401</v>
      </c>
      <c r="H23" s="7" t="s">
        <v>1007</v>
      </c>
      <c r="I23" s="7" t="s">
        <v>1008</v>
      </c>
      <c r="J23" s="7" t="s">
        <v>396</v>
      </c>
      <c r="K23" s="10">
        <f>(0.004*1169/1169)/(0.011*642/642)</f>
        <v>0.36363636363636365</v>
      </c>
    </row>
    <row r="24" spans="1:11" s="3" customFormat="1" x14ac:dyDescent="0.25">
      <c r="A24" s="12" t="s">
        <v>45</v>
      </c>
      <c r="B24" s="36">
        <v>1</v>
      </c>
      <c r="C24" s="7" t="s">
        <v>1129</v>
      </c>
      <c r="D24" s="7" t="s">
        <v>505</v>
      </c>
      <c r="E24" s="7" t="s">
        <v>404</v>
      </c>
      <c r="F24" s="7" t="s">
        <v>551</v>
      </c>
      <c r="G24" s="7" t="s">
        <v>401</v>
      </c>
      <c r="H24" s="7" t="s">
        <v>1007</v>
      </c>
      <c r="I24" s="7" t="s">
        <v>1008</v>
      </c>
      <c r="J24" s="7" t="s">
        <v>396</v>
      </c>
      <c r="K24" s="10">
        <f>(0.032*1451/1451)/(0.058*328/328)</f>
        <v>0.55172413793103448</v>
      </c>
    </row>
    <row r="25" spans="1:11" s="3" customFormat="1" x14ac:dyDescent="0.25">
      <c r="A25" s="12" t="s">
        <v>45</v>
      </c>
      <c r="B25" s="36">
        <v>1</v>
      </c>
      <c r="C25" s="7" t="s">
        <v>1129</v>
      </c>
      <c r="D25" s="7" t="s">
        <v>505</v>
      </c>
      <c r="E25" s="7" t="s">
        <v>405</v>
      </c>
      <c r="F25" s="7" t="s">
        <v>551</v>
      </c>
      <c r="G25" s="7" t="s">
        <v>401</v>
      </c>
      <c r="H25" s="7" t="s">
        <v>1007</v>
      </c>
      <c r="I25" s="7" t="s">
        <v>1008</v>
      </c>
      <c r="J25" s="7" t="s">
        <v>396</v>
      </c>
      <c r="K25" s="10">
        <f>(0.012*1265/1265)/(0.007*245/245)</f>
        <v>1.7142857142857142</v>
      </c>
    </row>
    <row r="26" spans="1:11" s="3" customFormat="1" x14ac:dyDescent="0.25">
      <c r="A26" s="12" t="s">
        <v>45</v>
      </c>
      <c r="B26" s="36">
        <v>1</v>
      </c>
      <c r="C26" s="7" t="s">
        <v>1129</v>
      </c>
      <c r="D26" s="7" t="s">
        <v>294</v>
      </c>
      <c r="E26" s="7" t="s">
        <v>404</v>
      </c>
      <c r="F26" s="7" t="s">
        <v>551</v>
      </c>
      <c r="G26" s="7" t="s">
        <v>401</v>
      </c>
      <c r="H26" s="7" t="s">
        <v>1007</v>
      </c>
      <c r="I26" s="7" t="s">
        <v>1008</v>
      </c>
      <c r="J26" s="7" t="s">
        <v>396</v>
      </c>
      <c r="K26" s="10">
        <f>(0.004*1451/1451)/(0.014*328/328)</f>
        <v>0.2857142857142857</v>
      </c>
    </row>
    <row r="27" spans="1:11" s="3" customFormat="1" x14ac:dyDescent="0.25">
      <c r="A27" s="12" t="s">
        <v>45</v>
      </c>
      <c r="B27" s="36">
        <v>1</v>
      </c>
      <c r="C27" s="7" t="s">
        <v>1129</v>
      </c>
      <c r="D27" s="7" t="s">
        <v>294</v>
      </c>
      <c r="E27" s="7" t="s">
        <v>405</v>
      </c>
      <c r="F27" s="7" t="s">
        <v>551</v>
      </c>
      <c r="G27" s="7" t="s">
        <v>401</v>
      </c>
      <c r="H27" s="7" t="s">
        <v>1007</v>
      </c>
      <c r="I27" s="7" t="s">
        <v>1008</v>
      </c>
      <c r="J27" s="7" t="s">
        <v>396</v>
      </c>
      <c r="K27" s="10">
        <f>(0.001*1265/1265)/(0.007*245/245)</f>
        <v>0.14285714285714285</v>
      </c>
    </row>
    <row r="28" spans="1:11" s="3" customFormat="1" x14ac:dyDescent="0.25">
      <c r="A28" s="12" t="s">
        <v>45</v>
      </c>
      <c r="B28" s="36">
        <v>1</v>
      </c>
      <c r="C28" s="7" t="s">
        <v>1129</v>
      </c>
      <c r="D28" s="7" t="s">
        <v>295</v>
      </c>
      <c r="E28" s="7" t="s">
        <v>404</v>
      </c>
      <c r="F28" s="7" t="s">
        <v>551</v>
      </c>
      <c r="G28" s="7" t="s">
        <v>401</v>
      </c>
      <c r="H28" s="7" t="s">
        <v>1007</v>
      </c>
      <c r="I28" s="7" t="s">
        <v>1008</v>
      </c>
      <c r="J28" s="7" t="s">
        <v>396</v>
      </c>
      <c r="K28" s="10">
        <f>(0.003*1451/1451)/(0.008*328/328)</f>
        <v>0.37499999999999994</v>
      </c>
    </row>
    <row r="29" spans="1:11" s="3" customFormat="1" x14ac:dyDescent="0.25">
      <c r="A29" s="12" t="s">
        <v>45</v>
      </c>
      <c r="B29" s="36">
        <v>1</v>
      </c>
      <c r="C29" s="7" t="s">
        <v>1129</v>
      </c>
      <c r="D29" s="7" t="s">
        <v>295</v>
      </c>
      <c r="E29" s="7" t="s">
        <v>405</v>
      </c>
      <c r="F29" s="7" t="s">
        <v>551</v>
      </c>
      <c r="G29" s="7" t="s">
        <v>401</v>
      </c>
      <c r="H29" s="7" t="s">
        <v>1007</v>
      </c>
      <c r="I29" s="7" t="s">
        <v>1008</v>
      </c>
      <c r="J29" s="7" t="s">
        <v>396</v>
      </c>
      <c r="K29" s="10">
        <f>(0.003*1265/1265)/(0.009*245/245)</f>
        <v>0.33333333333333337</v>
      </c>
    </row>
    <row r="30" spans="1:11" s="3" customFormat="1" x14ac:dyDescent="0.25">
      <c r="A30" s="12" t="s">
        <v>45</v>
      </c>
      <c r="B30" s="36">
        <v>1</v>
      </c>
      <c r="C30" s="7" t="s">
        <v>1129</v>
      </c>
      <c r="D30" s="7" t="s">
        <v>296</v>
      </c>
      <c r="E30" s="7" t="s">
        <v>404</v>
      </c>
      <c r="F30" s="7" t="s">
        <v>551</v>
      </c>
      <c r="G30" s="7" t="s">
        <v>401</v>
      </c>
      <c r="H30" s="7" t="s">
        <v>1007</v>
      </c>
      <c r="I30" s="7" t="s">
        <v>1008</v>
      </c>
      <c r="J30" s="7" t="s">
        <v>396</v>
      </c>
      <c r="K30" s="10">
        <f>(0.001*1451/1451)/(0.002*328/328)</f>
        <v>0.5</v>
      </c>
    </row>
    <row r="31" spans="1:11" s="3" customFormat="1" x14ac:dyDescent="0.25">
      <c r="A31" s="12" t="s">
        <v>45</v>
      </c>
      <c r="B31" s="36">
        <v>1</v>
      </c>
      <c r="C31" s="7" t="s">
        <v>1129</v>
      </c>
      <c r="D31" s="7" t="s">
        <v>296</v>
      </c>
      <c r="E31" s="7" t="s">
        <v>405</v>
      </c>
      <c r="F31" s="7" t="s">
        <v>551</v>
      </c>
      <c r="G31" s="7" t="s">
        <v>401</v>
      </c>
      <c r="H31" s="7" t="s">
        <v>1007</v>
      </c>
      <c r="I31" s="7" t="s">
        <v>1008</v>
      </c>
      <c r="J31" s="7" t="s">
        <v>396</v>
      </c>
      <c r="K31" s="10">
        <f>(0.001*1265/1265)/(0.003*245/245)</f>
        <v>0.33333333333333331</v>
      </c>
    </row>
    <row r="32" spans="1:11" s="3" customFormat="1" x14ac:dyDescent="0.25">
      <c r="A32" s="12" t="s">
        <v>576</v>
      </c>
      <c r="B32" s="36">
        <v>1</v>
      </c>
      <c r="C32" s="19" t="s">
        <v>547</v>
      </c>
      <c r="D32" s="7" t="s">
        <v>1000</v>
      </c>
      <c r="E32" s="7" t="s">
        <v>404</v>
      </c>
      <c r="F32" s="7" t="s">
        <v>373</v>
      </c>
      <c r="G32" s="7" t="s">
        <v>430</v>
      </c>
      <c r="H32" s="7" t="s">
        <v>430</v>
      </c>
      <c r="I32" s="7" t="s">
        <v>1008</v>
      </c>
      <c r="J32" s="7" t="s">
        <v>396</v>
      </c>
      <c r="K32" s="10">
        <f>0/1.3</f>
        <v>0</v>
      </c>
    </row>
    <row r="33" spans="1:12" s="3" customFormat="1" x14ac:dyDescent="0.25">
      <c r="A33" s="12" t="s">
        <v>277</v>
      </c>
      <c r="B33" s="36">
        <v>1</v>
      </c>
      <c r="C33" s="53" t="s">
        <v>185</v>
      </c>
      <c r="D33" s="7" t="s">
        <v>1010</v>
      </c>
      <c r="E33" s="7" t="s">
        <v>1005</v>
      </c>
      <c r="F33" s="7" t="s">
        <v>550</v>
      </c>
      <c r="G33" s="7" t="s">
        <v>278</v>
      </c>
      <c r="H33" s="7" t="s">
        <v>956</v>
      </c>
      <c r="I33" s="7" t="s">
        <v>1008</v>
      </c>
      <c r="J33" s="7" t="s">
        <v>441</v>
      </c>
      <c r="K33" s="10">
        <v>0</v>
      </c>
    </row>
    <row r="34" spans="1:12" s="3" customFormat="1" x14ac:dyDescent="0.25">
      <c r="A34" s="12" t="s">
        <v>277</v>
      </c>
      <c r="B34" s="36">
        <v>1</v>
      </c>
      <c r="C34" s="53" t="s">
        <v>185</v>
      </c>
      <c r="D34" s="7" t="s">
        <v>1010</v>
      </c>
      <c r="E34" s="7" t="s">
        <v>1005</v>
      </c>
      <c r="F34" s="7" t="s">
        <v>373</v>
      </c>
      <c r="G34" s="7" t="s">
        <v>374</v>
      </c>
      <c r="H34" s="7" t="s">
        <v>374</v>
      </c>
      <c r="I34" s="7" t="s">
        <v>1008</v>
      </c>
      <c r="J34" s="7" t="s">
        <v>441</v>
      </c>
      <c r="K34" s="10">
        <v>1</v>
      </c>
    </row>
    <row r="35" spans="1:12" s="3" customFormat="1" x14ac:dyDescent="0.25">
      <c r="A35" s="12" t="s">
        <v>277</v>
      </c>
      <c r="B35" s="36">
        <v>1</v>
      </c>
      <c r="C35" s="53" t="s">
        <v>185</v>
      </c>
      <c r="D35" s="7" t="s">
        <v>1010</v>
      </c>
      <c r="E35" s="7" t="s">
        <v>1005</v>
      </c>
      <c r="F35" s="7" t="s">
        <v>437</v>
      </c>
      <c r="G35" s="7" t="s">
        <v>438</v>
      </c>
      <c r="H35" s="7" t="s">
        <v>438</v>
      </c>
      <c r="I35" s="7" t="s">
        <v>1008</v>
      </c>
      <c r="J35" s="7" t="s">
        <v>441</v>
      </c>
      <c r="K35" s="10">
        <v>0</v>
      </c>
    </row>
    <row r="36" spans="1:12" s="3" customFormat="1" x14ac:dyDescent="0.25">
      <c r="A36" s="12" t="s">
        <v>749</v>
      </c>
      <c r="B36" s="12">
        <v>0</v>
      </c>
      <c r="C36" s="53" t="s">
        <v>185</v>
      </c>
      <c r="D36" s="7" t="s">
        <v>1011</v>
      </c>
      <c r="E36" s="7" t="s">
        <v>750</v>
      </c>
      <c r="F36" s="7" t="s">
        <v>551</v>
      </c>
      <c r="G36" s="7" t="s">
        <v>1002</v>
      </c>
      <c r="H36" s="7" t="s">
        <v>1002</v>
      </c>
      <c r="I36" s="7" t="s">
        <v>1012</v>
      </c>
      <c r="J36" s="7" t="s">
        <v>452</v>
      </c>
      <c r="K36" s="10">
        <f>(0+0+0+0+0)/(3+5+7+0+0)</f>
        <v>0</v>
      </c>
      <c r="L36" s="44"/>
    </row>
    <row r="37" spans="1:12" s="3" customFormat="1" x14ac:dyDescent="0.25">
      <c r="A37" s="12" t="s">
        <v>46</v>
      </c>
      <c r="B37" s="12">
        <v>0</v>
      </c>
      <c r="C37" s="7" t="s">
        <v>1129</v>
      </c>
      <c r="D37" s="7" t="s">
        <v>1011</v>
      </c>
      <c r="E37" s="7" t="s">
        <v>1001</v>
      </c>
      <c r="F37" s="7" t="s">
        <v>551</v>
      </c>
      <c r="G37" s="7" t="s">
        <v>1021</v>
      </c>
      <c r="H37" s="7" t="s">
        <v>1021</v>
      </c>
      <c r="I37" s="7" t="s">
        <v>1012</v>
      </c>
      <c r="J37" s="7" t="s">
        <v>396</v>
      </c>
      <c r="K37" s="10">
        <f>((0+2)/(300+150))/(AVERAGE(1,3,3,17,0,13,8,2,4,7,4)/(300+150))</f>
        <v>0.35483870967741932</v>
      </c>
      <c r="L37" s="44"/>
    </row>
    <row r="38" spans="1:12" s="21" customFormat="1" x14ac:dyDescent="0.25">
      <c r="A38" s="18" t="s">
        <v>146</v>
      </c>
      <c r="B38" s="18">
        <v>0</v>
      </c>
      <c r="C38" s="18" t="s">
        <v>185</v>
      </c>
      <c r="D38" s="19" t="s">
        <v>1017</v>
      </c>
      <c r="E38" s="19" t="s">
        <v>561</v>
      </c>
      <c r="F38" s="19" t="s">
        <v>373</v>
      </c>
      <c r="G38" s="19" t="s">
        <v>374</v>
      </c>
      <c r="H38" s="19" t="s">
        <v>374</v>
      </c>
      <c r="I38" s="19" t="s">
        <v>145</v>
      </c>
      <c r="J38" s="19" t="s">
        <v>1064</v>
      </c>
      <c r="K38" s="20">
        <f>1/4</f>
        <v>0.25</v>
      </c>
    </row>
    <row r="39" spans="1:12" s="21" customFormat="1" x14ac:dyDescent="0.25">
      <c r="A39" s="18" t="s">
        <v>983</v>
      </c>
      <c r="B39" s="36">
        <v>1</v>
      </c>
      <c r="C39" s="18" t="s">
        <v>547</v>
      </c>
      <c r="D39" s="19" t="s">
        <v>1004</v>
      </c>
      <c r="E39" s="19" t="s">
        <v>1133</v>
      </c>
      <c r="F39" s="19" t="s">
        <v>550</v>
      </c>
      <c r="G39" s="19" t="s">
        <v>399</v>
      </c>
      <c r="H39" s="19" t="s">
        <v>209</v>
      </c>
      <c r="I39" s="19" t="s">
        <v>1006</v>
      </c>
      <c r="J39" s="19" t="s">
        <v>1063</v>
      </c>
      <c r="K39" s="42">
        <f>AVERAGE((26-17)/26,(17-15)/17)</f>
        <v>0.23190045248868779</v>
      </c>
    </row>
    <row r="40" spans="1:12" s="21" customFormat="1" x14ac:dyDescent="0.25">
      <c r="A40" s="18" t="s">
        <v>984</v>
      </c>
      <c r="B40" s="36">
        <v>0</v>
      </c>
      <c r="C40" s="18" t="s">
        <v>185</v>
      </c>
      <c r="D40" s="19" t="s">
        <v>1016</v>
      </c>
      <c r="E40" s="19" t="s">
        <v>1001</v>
      </c>
      <c r="F40" s="19" t="s">
        <v>373</v>
      </c>
      <c r="G40" s="19" t="s">
        <v>374</v>
      </c>
      <c r="H40" s="19" t="s">
        <v>374</v>
      </c>
      <c r="I40" s="19" t="s">
        <v>1008</v>
      </c>
      <c r="J40" s="19" t="s">
        <v>1065</v>
      </c>
      <c r="K40" s="20">
        <f>0/5</f>
        <v>0</v>
      </c>
    </row>
    <row r="41" spans="1:12" s="21" customFormat="1" x14ac:dyDescent="0.25">
      <c r="A41" s="19" t="s">
        <v>156</v>
      </c>
      <c r="B41" s="36">
        <v>0</v>
      </c>
      <c r="C41" s="19" t="s">
        <v>414</v>
      </c>
      <c r="D41" s="19" t="s">
        <v>1014</v>
      </c>
      <c r="E41" s="19" t="s">
        <v>1023</v>
      </c>
      <c r="F41" s="19" t="s">
        <v>551</v>
      </c>
      <c r="G41" s="19" t="s">
        <v>566</v>
      </c>
      <c r="H41" s="19" t="s">
        <v>1024</v>
      </c>
      <c r="I41" s="19" t="s">
        <v>613</v>
      </c>
      <c r="J41" s="19" t="s">
        <v>396</v>
      </c>
      <c r="K41" s="20">
        <f>(8/(8+49))/(77/(77+15))</f>
        <v>0.16769195716564136</v>
      </c>
    </row>
    <row r="42" spans="1:12" s="21" customFormat="1" x14ac:dyDescent="0.25">
      <c r="A42" s="19" t="s">
        <v>156</v>
      </c>
      <c r="B42" s="36">
        <v>0</v>
      </c>
      <c r="C42" s="19" t="s">
        <v>414</v>
      </c>
      <c r="D42" s="19" t="s">
        <v>1014</v>
      </c>
      <c r="E42" s="19" t="s">
        <v>1023</v>
      </c>
      <c r="F42" s="19" t="s">
        <v>551</v>
      </c>
      <c r="G42" s="19" t="s">
        <v>401</v>
      </c>
      <c r="H42" s="19" t="s">
        <v>1007</v>
      </c>
      <c r="I42" s="19" t="s">
        <v>613</v>
      </c>
      <c r="J42" s="19" t="s">
        <v>396</v>
      </c>
      <c r="K42" s="20">
        <f>(32/(32+11))/(53/(53+53))</f>
        <v>1.4883720930232558</v>
      </c>
    </row>
    <row r="43" spans="1:12" s="21" customFormat="1" x14ac:dyDescent="0.25">
      <c r="A43" s="18" t="s">
        <v>393</v>
      </c>
      <c r="B43" s="36">
        <v>1</v>
      </c>
      <c r="C43" s="18" t="s">
        <v>185</v>
      </c>
      <c r="D43" s="19" t="s">
        <v>1014</v>
      </c>
      <c r="E43" s="19" t="s">
        <v>1023</v>
      </c>
      <c r="F43" s="19" t="s">
        <v>373</v>
      </c>
      <c r="G43" s="19" t="s">
        <v>374</v>
      </c>
      <c r="H43" s="19" t="s">
        <v>374</v>
      </c>
      <c r="I43" s="19" t="s">
        <v>613</v>
      </c>
      <c r="J43" s="19" t="s">
        <v>1074</v>
      </c>
      <c r="K43" s="20">
        <f>166/106</f>
        <v>1.5660377358490567</v>
      </c>
    </row>
    <row r="44" spans="1:12" s="21" customFormat="1" x14ac:dyDescent="0.25">
      <c r="A44" s="18" t="s">
        <v>985</v>
      </c>
      <c r="B44" s="36">
        <v>1</v>
      </c>
      <c r="C44" s="18" t="s">
        <v>185</v>
      </c>
      <c r="D44" s="19" t="s">
        <v>1022</v>
      </c>
      <c r="E44" s="19" t="s">
        <v>1001</v>
      </c>
      <c r="F44" s="19" t="s">
        <v>550</v>
      </c>
      <c r="G44" s="19" t="s">
        <v>398</v>
      </c>
      <c r="H44" s="19" t="s">
        <v>330</v>
      </c>
      <c r="I44" s="19" t="s">
        <v>1008</v>
      </c>
      <c r="J44" s="19" t="s">
        <v>1068</v>
      </c>
      <c r="K44" s="20">
        <f>AVERAGE(AVERAGE(0,9)/AVERAGE(36,37),85/AVERAGE(8,95),0/7,7/AVERAGE(9,6))</f>
        <v>0.67677661036485348</v>
      </c>
    </row>
    <row r="45" spans="1:12" s="21" customFormat="1" x14ac:dyDescent="0.25">
      <c r="A45" s="18" t="s">
        <v>148</v>
      </c>
      <c r="B45" s="36">
        <v>0</v>
      </c>
      <c r="C45" s="18" t="s">
        <v>185</v>
      </c>
      <c r="D45" s="19" t="s">
        <v>1050</v>
      </c>
      <c r="E45" s="19" t="s">
        <v>1005</v>
      </c>
      <c r="F45" s="19" t="s">
        <v>280</v>
      </c>
      <c r="G45" s="19" t="s">
        <v>9</v>
      </c>
      <c r="H45" s="19" t="s">
        <v>20</v>
      </c>
      <c r="I45" s="19" t="s">
        <v>613</v>
      </c>
      <c r="J45" s="19" t="s">
        <v>11</v>
      </c>
      <c r="K45" s="20">
        <f>0/28</f>
        <v>0</v>
      </c>
    </row>
    <row r="46" spans="1:12" s="21" customFormat="1" x14ac:dyDescent="0.25">
      <c r="A46" s="18" t="s">
        <v>272</v>
      </c>
      <c r="B46" s="36">
        <v>1</v>
      </c>
      <c r="C46" s="18" t="s">
        <v>185</v>
      </c>
      <c r="D46" s="19" t="s">
        <v>680</v>
      </c>
      <c r="E46" s="19" t="s">
        <v>1023</v>
      </c>
      <c r="F46" s="19" t="s">
        <v>280</v>
      </c>
      <c r="G46" s="19" t="s">
        <v>273</v>
      </c>
      <c r="H46" s="19" t="s">
        <v>941</v>
      </c>
      <c r="I46" s="19" t="s">
        <v>613</v>
      </c>
      <c r="J46" s="19" t="s">
        <v>274</v>
      </c>
      <c r="K46" s="20">
        <f>((100-AVERAGE(64,61))/(100-58))/((100-AVERAGE(68,64))/(100-71))</f>
        <v>0.76155462184873957</v>
      </c>
    </row>
    <row r="47" spans="1:12" s="21" customFormat="1" x14ac:dyDescent="0.25">
      <c r="A47" s="18" t="s">
        <v>593</v>
      </c>
      <c r="B47" s="36">
        <v>1</v>
      </c>
      <c r="C47" s="18" t="s">
        <v>548</v>
      </c>
      <c r="D47" s="19" t="s">
        <v>552</v>
      </c>
      <c r="E47" s="19" t="s">
        <v>535</v>
      </c>
      <c r="F47" s="19" t="s">
        <v>550</v>
      </c>
      <c r="G47" s="19" t="s">
        <v>398</v>
      </c>
      <c r="H47" s="19" t="s">
        <v>536</v>
      </c>
      <c r="I47" s="19" t="s">
        <v>463</v>
      </c>
      <c r="J47" s="19" t="s">
        <v>537</v>
      </c>
      <c r="K47" s="20">
        <f>(80/374)/AVERAGE(268/446,101/453)</f>
        <v>0.51927527175702748</v>
      </c>
    </row>
    <row r="48" spans="1:12" s="3" customFormat="1" x14ac:dyDescent="0.25">
      <c r="A48" s="12" t="s">
        <v>279</v>
      </c>
      <c r="B48" s="36">
        <v>1</v>
      </c>
      <c r="C48" s="18" t="s">
        <v>185</v>
      </c>
      <c r="D48" s="7" t="s">
        <v>1016</v>
      </c>
      <c r="E48" s="7" t="s">
        <v>1133</v>
      </c>
      <c r="F48" s="7" t="s">
        <v>280</v>
      </c>
      <c r="G48" s="7" t="s">
        <v>281</v>
      </c>
      <c r="H48" s="7" t="s">
        <v>282</v>
      </c>
      <c r="I48" s="7" t="s">
        <v>1008</v>
      </c>
      <c r="J48" s="7" t="s">
        <v>697</v>
      </c>
      <c r="K48" s="10">
        <f>AVERAGE(AVERAGE(5.2,9.6)/76.8,AVERAGE(18.4,3.9)/60.6)</f>
        <v>0.14017378300330033</v>
      </c>
    </row>
    <row r="49" spans="1:11" s="3" customFormat="1" x14ac:dyDescent="0.25">
      <c r="A49" s="18" t="s">
        <v>883</v>
      </c>
      <c r="B49" s="36">
        <v>1</v>
      </c>
      <c r="C49" s="18" t="s">
        <v>548</v>
      </c>
      <c r="D49" s="7" t="s">
        <v>1016</v>
      </c>
      <c r="E49" s="7" t="s">
        <v>1133</v>
      </c>
      <c r="F49" s="7" t="s">
        <v>280</v>
      </c>
      <c r="G49" s="7" t="s">
        <v>9</v>
      </c>
      <c r="H49" s="7" t="s">
        <v>76</v>
      </c>
      <c r="I49" s="7" t="s">
        <v>1008</v>
      </c>
      <c r="J49" s="7" t="s">
        <v>77</v>
      </c>
      <c r="K49" s="10">
        <f>AVERAGE(0/AVERAGE(0.11,0.1,0.08),0.06/AVERAGE(0.07,0.12,0.12),0.28/AVERAGE(0.27,0.51,0.45))</f>
        <v>0.42119066351953843</v>
      </c>
    </row>
    <row r="50" spans="1:11" s="3" customFormat="1" x14ac:dyDescent="0.25">
      <c r="A50" s="18" t="s">
        <v>883</v>
      </c>
      <c r="B50" s="36">
        <v>1</v>
      </c>
      <c r="C50" s="18" t="s">
        <v>548</v>
      </c>
      <c r="D50" s="7" t="s">
        <v>1016</v>
      </c>
      <c r="E50" s="7" t="s">
        <v>1133</v>
      </c>
      <c r="F50" s="7" t="s">
        <v>280</v>
      </c>
      <c r="G50" s="7" t="s">
        <v>9</v>
      </c>
      <c r="H50" s="7" t="s">
        <v>264</v>
      </c>
      <c r="I50" s="7" t="s">
        <v>1008</v>
      </c>
      <c r="J50" s="7" t="s">
        <v>265</v>
      </c>
      <c r="K50" s="10">
        <f>AVERAGE(AVERAGE(0.16,0.18,0.18,0.26)/AVERAGE(0.09,0.14,0.16,0.16,0.17,0.17,0.18,0.26),AVERAGE(0.18,0.18,0.19,0.26)/AVERAGE(0.12,0.15,0.18,0.19,0.17,0.18,0.19,0.24))</f>
        <v>1.1568887006248014</v>
      </c>
    </row>
    <row r="51" spans="1:11" s="3" customFormat="1" x14ac:dyDescent="0.25">
      <c r="A51" s="18" t="s">
        <v>883</v>
      </c>
      <c r="B51" s="36">
        <v>1</v>
      </c>
      <c r="C51" s="18" t="s">
        <v>548</v>
      </c>
      <c r="D51" s="7" t="s">
        <v>1016</v>
      </c>
      <c r="E51" s="7" t="s">
        <v>1133</v>
      </c>
      <c r="F51" s="7" t="s">
        <v>280</v>
      </c>
      <c r="G51" s="7" t="s">
        <v>9</v>
      </c>
      <c r="H51" s="7" t="s">
        <v>964</v>
      </c>
      <c r="I51" s="7" t="s">
        <v>1008</v>
      </c>
      <c r="J51" s="7" t="s">
        <v>77</v>
      </c>
      <c r="K51" s="10">
        <f>AVERAGE(AVERAGE(0.37,0.2)/AVERAGE(0.43,0.5,0.42,0.24),AVERAGE(0.66,0.36)/AVERAGE(0.36,0.3,0.17,0.72))</f>
        <v>1.0165550821667684</v>
      </c>
    </row>
    <row r="52" spans="1:11" s="3" customFormat="1" x14ac:dyDescent="0.25">
      <c r="A52" s="18" t="s">
        <v>153</v>
      </c>
      <c r="B52" s="36">
        <v>1</v>
      </c>
      <c r="C52" s="18" t="s">
        <v>185</v>
      </c>
      <c r="D52" s="7" t="s">
        <v>1016</v>
      </c>
      <c r="E52" s="7" t="s">
        <v>1133</v>
      </c>
      <c r="F52" s="7" t="s">
        <v>373</v>
      </c>
      <c r="G52" s="7" t="s">
        <v>374</v>
      </c>
      <c r="H52" s="7" t="s">
        <v>374</v>
      </c>
      <c r="I52" s="7" t="s">
        <v>1008</v>
      </c>
      <c r="J52" s="7" t="s">
        <v>506</v>
      </c>
      <c r="K52" s="10">
        <f>114/178</f>
        <v>0.6404494382022472</v>
      </c>
    </row>
    <row r="53" spans="1:11" s="3" customFormat="1" x14ac:dyDescent="0.25">
      <c r="A53" s="12" t="s">
        <v>747</v>
      </c>
      <c r="B53" s="36">
        <v>1</v>
      </c>
      <c r="C53" s="7" t="s">
        <v>1129</v>
      </c>
      <c r="D53" s="7" t="s">
        <v>1017</v>
      </c>
      <c r="E53" s="7" t="s">
        <v>1005</v>
      </c>
      <c r="F53" s="7" t="s">
        <v>551</v>
      </c>
      <c r="G53" s="7" t="s">
        <v>566</v>
      </c>
      <c r="H53" s="7" t="s">
        <v>1024</v>
      </c>
      <c r="I53" s="7" t="s">
        <v>748</v>
      </c>
      <c r="J53" s="7" t="s">
        <v>396</v>
      </c>
      <c r="K53" s="10">
        <f>4/12</f>
        <v>0.33333333333333331</v>
      </c>
    </row>
    <row r="54" spans="1:11" s="3" customFormat="1" x14ac:dyDescent="0.25">
      <c r="A54" s="12" t="s">
        <v>747</v>
      </c>
      <c r="B54" s="36">
        <v>1</v>
      </c>
      <c r="C54" s="7" t="s">
        <v>1129</v>
      </c>
      <c r="D54" s="7" t="s">
        <v>1017</v>
      </c>
      <c r="E54" s="7" t="s">
        <v>1018</v>
      </c>
      <c r="F54" s="7" t="s">
        <v>551</v>
      </c>
      <c r="G54" s="7" t="s">
        <v>566</v>
      </c>
      <c r="H54" s="7" t="s">
        <v>1024</v>
      </c>
      <c r="I54" s="7" t="s">
        <v>748</v>
      </c>
      <c r="J54" s="7" t="s">
        <v>396</v>
      </c>
      <c r="K54" s="10">
        <f>2/28</f>
        <v>7.1428571428571425E-2</v>
      </c>
    </row>
    <row r="55" spans="1:11" s="3" customFormat="1" x14ac:dyDescent="0.25">
      <c r="A55" s="47" t="s">
        <v>747</v>
      </c>
      <c r="B55" s="36">
        <v>1</v>
      </c>
      <c r="C55" s="7" t="s">
        <v>1129</v>
      </c>
      <c r="D55" s="16" t="s">
        <v>1017</v>
      </c>
      <c r="E55" s="16" t="s">
        <v>1005</v>
      </c>
      <c r="F55" s="16" t="s">
        <v>551</v>
      </c>
      <c r="G55" s="16" t="s">
        <v>566</v>
      </c>
      <c r="H55" s="7" t="s">
        <v>1024</v>
      </c>
      <c r="I55" s="16" t="s">
        <v>1019</v>
      </c>
      <c r="J55" s="16" t="s">
        <v>396</v>
      </c>
      <c r="K55" s="17">
        <f>0/6</f>
        <v>0</v>
      </c>
    </row>
    <row r="56" spans="1:11" s="3" customFormat="1" x14ac:dyDescent="0.25">
      <c r="A56" s="47" t="s">
        <v>747</v>
      </c>
      <c r="B56" s="36">
        <v>1</v>
      </c>
      <c r="C56" s="7" t="s">
        <v>1129</v>
      </c>
      <c r="D56" s="16" t="s">
        <v>1017</v>
      </c>
      <c r="E56" s="16" t="s">
        <v>1018</v>
      </c>
      <c r="F56" s="16" t="s">
        <v>551</v>
      </c>
      <c r="G56" s="16" t="s">
        <v>566</v>
      </c>
      <c r="H56" s="7" t="s">
        <v>1024</v>
      </c>
      <c r="I56" s="16" t="s">
        <v>1019</v>
      </c>
      <c r="J56" s="16" t="s">
        <v>396</v>
      </c>
      <c r="K56" s="17">
        <f>0/3</f>
        <v>0</v>
      </c>
    </row>
    <row r="57" spans="1:11" s="3" customFormat="1" x14ac:dyDescent="0.25">
      <c r="A57" s="12" t="s">
        <v>747</v>
      </c>
      <c r="B57" s="36">
        <v>1</v>
      </c>
      <c r="C57" s="7" t="s">
        <v>1129</v>
      </c>
      <c r="D57" s="7" t="s">
        <v>1020</v>
      </c>
      <c r="E57" s="7" t="s">
        <v>1018</v>
      </c>
      <c r="F57" s="7" t="s">
        <v>551</v>
      </c>
      <c r="G57" s="7" t="s">
        <v>566</v>
      </c>
      <c r="H57" s="7" t="s">
        <v>1024</v>
      </c>
      <c r="I57" s="16" t="s">
        <v>1019</v>
      </c>
      <c r="J57" s="16" t="s">
        <v>396</v>
      </c>
      <c r="K57" s="17">
        <f>0/17</f>
        <v>0</v>
      </c>
    </row>
    <row r="58" spans="1:11" s="3" customFormat="1" x14ac:dyDescent="0.25">
      <c r="A58" s="12" t="s">
        <v>747</v>
      </c>
      <c r="B58" s="36">
        <v>1</v>
      </c>
      <c r="C58" s="7" t="s">
        <v>1129</v>
      </c>
      <c r="D58" s="7" t="s">
        <v>1020</v>
      </c>
      <c r="E58" s="7" t="s">
        <v>1005</v>
      </c>
      <c r="F58" s="7" t="s">
        <v>551</v>
      </c>
      <c r="G58" s="7" t="s">
        <v>566</v>
      </c>
      <c r="H58" s="7" t="s">
        <v>1024</v>
      </c>
      <c r="I58" s="7" t="s">
        <v>748</v>
      </c>
      <c r="J58" s="7" t="s">
        <v>396</v>
      </c>
      <c r="K58" s="10">
        <f>0/1</f>
        <v>0</v>
      </c>
    </row>
    <row r="59" spans="1:11" s="3" customFormat="1" x14ac:dyDescent="0.25">
      <c r="A59" s="12" t="s">
        <v>747</v>
      </c>
      <c r="B59" s="36">
        <v>1</v>
      </c>
      <c r="C59" s="7" t="s">
        <v>1129</v>
      </c>
      <c r="D59" s="7" t="s">
        <v>1020</v>
      </c>
      <c r="E59" s="7" t="s">
        <v>1018</v>
      </c>
      <c r="F59" s="7" t="s">
        <v>551</v>
      </c>
      <c r="G59" s="7" t="s">
        <v>566</v>
      </c>
      <c r="H59" s="7" t="s">
        <v>1024</v>
      </c>
      <c r="I59" s="7" t="s">
        <v>748</v>
      </c>
      <c r="J59" s="7" t="s">
        <v>396</v>
      </c>
      <c r="K59" s="10">
        <f>14/25</f>
        <v>0.56000000000000005</v>
      </c>
    </row>
    <row r="60" spans="1:11" s="21" customFormat="1" x14ac:dyDescent="0.25">
      <c r="A60" s="19" t="s">
        <v>8</v>
      </c>
      <c r="B60" s="36">
        <v>1</v>
      </c>
      <c r="C60" s="19" t="s">
        <v>185</v>
      </c>
      <c r="D60" s="19" t="s">
        <v>1017</v>
      </c>
      <c r="E60" s="19" t="s">
        <v>394</v>
      </c>
      <c r="F60" s="19" t="s">
        <v>280</v>
      </c>
      <c r="G60" s="19" t="s">
        <v>9</v>
      </c>
      <c r="H60" s="19" t="s">
        <v>10</v>
      </c>
      <c r="I60" s="19" t="s">
        <v>1033</v>
      </c>
      <c r="J60" s="19" t="s">
        <v>11</v>
      </c>
      <c r="K60" s="20">
        <f>AVERAGE(0,0,0,0,2,0,0,0,1,0,3,0)/AVERAGE(9,0,9,3,10,4,2,3,3,2)</f>
        <v>0.1111111111111111</v>
      </c>
    </row>
    <row r="61" spans="1:11" s="3" customFormat="1" x14ac:dyDescent="0.25">
      <c r="A61" s="12" t="s">
        <v>47</v>
      </c>
      <c r="B61" s="36">
        <v>1</v>
      </c>
      <c r="C61" s="19" t="s">
        <v>414</v>
      </c>
      <c r="D61" s="7" t="s">
        <v>1016</v>
      </c>
      <c r="E61" s="7" t="s">
        <v>1133</v>
      </c>
      <c r="F61" s="7" t="s">
        <v>550</v>
      </c>
      <c r="G61" s="7" t="s">
        <v>312</v>
      </c>
      <c r="H61" s="7" t="s">
        <v>336</v>
      </c>
      <c r="I61" s="7" t="s">
        <v>1008</v>
      </c>
      <c r="J61" s="7" t="s">
        <v>506</v>
      </c>
      <c r="K61" s="10">
        <f>(AVERAGE(9,9,2)/21)/(AVERAGE(16,2,3)/21)</f>
        <v>0.95238095238095255</v>
      </c>
    </row>
    <row r="62" spans="1:11" s="3" customFormat="1" x14ac:dyDescent="0.25">
      <c r="A62" s="12" t="s">
        <v>47</v>
      </c>
      <c r="B62" s="36">
        <v>1</v>
      </c>
      <c r="C62" s="19" t="s">
        <v>414</v>
      </c>
      <c r="D62" s="7" t="s">
        <v>1016</v>
      </c>
      <c r="E62" s="7" t="s">
        <v>1133</v>
      </c>
      <c r="F62" s="7" t="s">
        <v>550</v>
      </c>
      <c r="G62" s="7" t="s">
        <v>313</v>
      </c>
      <c r="H62" s="7" t="s">
        <v>206</v>
      </c>
      <c r="I62" s="7" t="s">
        <v>1008</v>
      </c>
      <c r="J62" s="7" t="s">
        <v>506</v>
      </c>
      <c r="K62" s="10">
        <f>(AVERAGE(8,6,2)/20)/(AVERAGE(16,2,3)/21)</f>
        <v>0.8</v>
      </c>
    </row>
    <row r="63" spans="1:11" s="3" customFormat="1" x14ac:dyDescent="0.25">
      <c r="A63" s="12" t="s">
        <v>728</v>
      </c>
      <c r="B63" s="36">
        <v>1</v>
      </c>
      <c r="C63" s="53" t="s">
        <v>185</v>
      </c>
      <c r="D63" s="7" t="s">
        <v>1016</v>
      </c>
      <c r="E63" s="7" t="s">
        <v>1133</v>
      </c>
      <c r="F63" s="7" t="s">
        <v>373</v>
      </c>
      <c r="G63" s="7" t="s">
        <v>374</v>
      </c>
      <c r="H63" s="7" t="s">
        <v>374</v>
      </c>
      <c r="I63" s="7" t="s">
        <v>1008</v>
      </c>
      <c r="J63" s="7" t="s">
        <v>1069</v>
      </c>
      <c r="K63" s="10">
        <f>AVERAGE(4/14,SUM(4,0,0,0,12,16,0,1,1,0,0,0,11,10,1,3,0,0,0,0,2,24,2,3)/141)</f>
        <v>0.46200607902735563</v>
      </c>
    </row>
    <row r="64" spans="1:11" s="3" customFormat="1" x14ac:dyDescent="0.25">
      <c r="A64" s="12" t="s">
        <v>598</v>
      </c>
      <c r="B64" s="36">
        <v>0</v>
      </c>
      <c r="C64" s="19" t="s">
        <v>185</v>
      </c>
      <c r="D64" s="7" t="s">
        <v>557</v>
      </c>
      <c r="E64" s="7" t="s">
        <v>1018</v>
      </c>
      <c r="F64" s="7" t="s">
        <v>551</v>
      </c>
      <c r="G64" s="7" t="s">
        <v>401</v>
      </c>
      <c r="H64" s="7" t="s">
        <v>1007</v>
      </c>
      <c r="I64" s="7" t="s">
        <v>555</v>
      </c>
      <c r="J64" s="7" t="s">
        <v>1041</v>
      </c>
      <c r="K64" s="10">
        <f>AVERAGE(1/8,2/6,2/5,5/4)</f>
        <v>0.52708333333333335</v>
      </c>
    </row>
    <row r="65" spans="1:11" s="3" customFormat="1" x14ac:dyDescent="0.25">
      <c r="A65" s="12" t="s">
        <v>444</v>
      </c>
      <c r="B65" s="36">
        <v>1</v>
      </c>
      <c r="C65" s="53" t="s">
        <v>185</v>
      </c>
      <c r="D65" s="7" t="s">
        <v>1022</v>
      </c>
      <c r="E65" s="7" t="s">
        <v>1005</v>
      </c>
      <c r="F65" s="7" t="s">
        <v>437</v>
      </c>
      <c r="G65" s="7" t="s">
        <v>130</v>
      </c>
      <c r="H65" s="7" t="s">
        <v>132</v>
      </c>
      <c r="I65" s="7" t="s">
        <v>1003</v>
      </c>
      <c r="J65" s="7" t="s">
        <v>1039</v>
      </c>
      <c r="K65" s="10">
        <f>(AVERAGE(3,1)/AVERAGE(1772,1804))/(AVERAGE(1,1,3,8)/AVERAGE(2288,2023,1784,1558))</f>
        <v>0.65849251419721211</v>
      </c>
    </row>
    <row r="66" spans="1:11" s="3" customFormat="1" x14ac:dyDescent="0.25">
      <c r="A66" s="4" t="s">
        <v>884</v>
      </c>
      <c r="B66" s="36">
        <v>1</v>
      </c>
      <c r="C66" s="53" t="s">
        <v>185</v>
      </c>
      <c r="D66" s="7" t="s">
        <v>1010</v>
      </c>
      <c r="E66" s="7" t="s">
        <v>1133</v>
      </c>
      <c r="F66" s="7" t="s">
        <v>373</v>
      </c>
      <c r="G66" s="7" t="s">
        <v>374</v>
      </c>
      <c r="H66" s="7" t="s">
        <v>374</v>
      </c>
      <c r="I66" s="7" t="s">
        <v>1008</v>
      </c>
      <c r="J66" s="7" t="s">
        <v>1069</v>
      </c>
      <c r="K66" s="10">
        <f>SUM(37,31,44,20)/138</f>
        <v>0.95652173913043481</v>
      </c>
    </row>
    <row r="67" spans="1:11" s="3" customFormat="1" x14ac:dyDescent="0.25">
      <c r="A67" s="4" t="s">
        <v>763</v>
      </c>
      <c r="B67" s="36">
        <v>1</v>
      </c>
      <c r="C67" s="53" t="s">
        <v>185</v>
      </c>
      <c r="D67" s="7" t="s">
        <v>1000</v>
      </c>
      <c r="E67" s="7" t="s">
        <v>404</v>
      </c>
      <c r="F67" s="7" t="s">
        <v>437</v>
      </c>
      <c r="G67" s="7" t="s">
        <v>130</v>
      </c>
      <c r="H67" s="7" t="s">
        <v>129</v>
      </c>
      <c r="I67" s="7" t="s">
        <v>1008</v>
      </c>
      <c r="J67" s="7" t="s">
        <v>396</v>
      </c>
      <c r="K67" s="10">
        <f>(1.3/143)/(5.7/176)</f>
        <v>0.2807017543859649</v>
      </c>
    </row>
    <row r="68" spans="1:11" s="3" customFormat="1" x14ac:dyDescent="0.25">
      <c r="A68" s="4" t="s">
        <v>763</v>
      </c>
      <c r="B68" s="36">
        <v>1</v>
      </c>
      <c r="C68" s="53" t="s">
        <v>185</v>
      </c>
      <c r="D68" s="7" t="s">
        <v>1000</v>
      </c>
      <c r="E68" s="7" t="s">
        <v>405</v>
      </c>
      <c r="F68" s="7" t="s">
        <v>437</v>
      </c>
      <c r="G68" s="7" t="s">
        <v>130</v>
      </c>
      <c r="H68" s="7" t="s">
        <v>129</v>
      </c>
      <c r="I68" s="7" t="s">
        <v>1008</v>
      </c>
      <c r="J68" s="7" t="s">
        <v>396</v>
      </c>
      <c r="K68" s="10">
        <f>(0.4/288)/(1.6/311)</f>
        <v>0.26996527777777779</v>
      </c>
    </row>
    <row r="69" spans="1:11" s="3" customFormat="1" x14ac:dyDescent="0.25">
      <c r="A69" s="4" t="s">
        <v>885</v>
      </c>
      <c r="B69" s="36">
        <v>1</v>
      </c>
      <c r="C69" s="53" t="s">
        <v>548</v>
      </c>
      <c r="D69" s="7" t="s">
        <v>1000</v>
      </c>
      <c r="E69" s="7" t="s">
        <v>1001</v>
      </c>
      <c r="F69" s="7" t="s">
        <v>550</v>
      </c>
      <c r="G69" s="7" t="s">
        <v>398</v>
      </c>
      <c r="H69" s="7" t="s">
        <v>334</v>
      </c>
      <c r="I69" s="7" t="s">
        <v>1003</v>
      </c>
      <c r="J69" s="7" t="s">
        <v>396</v>
      </c>
      <c r="K69" s="10">
        <f>(5.7/231)/AVERAGE(7.5/123,6.1/123,7.4/231,9.5/123,9.4/231)</f>
        <v>0.47355623100303956</v>
      </c>
    </row>
    <row r="70" spans="1:11" s="3" customFormat="1" x14ac:dyDescent="0.25">
      <c r="A70" s="12" t="s">
        <v>372</v>
      </c>
      <c r="B70" s="36">
        <v>1</v>
      </c>
      <c r="C70" s="7" t="s">
        <v>1129</v>
      </c>
      <c r="D70" s="7" t="s">
        <v>1022</v>
      </c>
      <c r="E70" s="7" t="s">
        <v>1023</v>
      </c>
      <c r="F70" s="7" t="s">
        <v>373</v>
      </c>
      <c r="G70" s="7" t="s">
        <v>374</v>
      </c>
      <c r="H70" s="7" t="s">
        <v>374</v>
      </c>
      <c r="I70" s="7" t="s">
        <v>1008</v>
      </c>
      <c r="J70" s="7" t="s">
        <v>375</v>
      </c>
      <c r="K70" s="10">
        <f>((10+9)/(10+9+14+39))/(3/7)</f>
        <v>0.61574074074074081</v>
      </c>
    </row>
    <row r="71" spans="1:11" s="3" customFormat="1" x14ac:dyDescent="0.25">
      <c r="A71" s="12" t="s">
        <v>436</v>
      </c>
      <c r="B71" s="36">
        <v>1</v>
      </c>
      <c r="C71" s="7" t="s">
        <v>1129</v>
      </c>
      <c r="D71" s="7" t="s">
        <v>1022</v>
      </c>
      <c r="E71" s="7" t="s">
        <v>942</v>
      </c>
      <c r="F71" s="7" t="s">
        <v>437</v>
      </c>
      <c r="G71" s="7" t="s">
        <v>131</v>
      </c>
      <c r="H71" s="7" t="s">
        <v>439</v>
      </c>
      <c r="I71" s="7" t="s">
        <v>1008</v>
      </c>
      <c r="J71" s="7" t="s">
        <v>441</v>
      </c>
      <c r="K71" s="40">
        <v>0.21</v>
      </c>
    </row>
    <row r="72" spans="1:11" s="3" customFormat="1" x14ac:dyDescent="0.25">
      <c r="A72" s="12" t="s">
        <v>436</v>
      </c>
      <c r="B72" s="36">
        <v>1</v>
      </c>
      <c r="C72" s="7" t="s">
        <v>1129</v>
      </c>
      <c r="D72" s="7" t="s">
        <v>1022</v>
      </c>
      <c r="E72" s="7" t="s">
        <v>942</v>
      </c>
      <c r="F72" s="7" t="s">
        <v>437</v>
      </c>
      <c r="G72" s="7" t="s">
        <v>131</v>
      </c>
      <c r="H72" s="7" t="s">
        <v>440</v>
      </c>
      <c r="I72" s="7" t="s">
        <v>1008</v>
      </c>
      <c r="J72" s="7" t="s">
        <v>441</v>
      </c>
      <c r="K72" s="40">
        <v>0.71</v>
      </c>
    </row>
    <row r="73" spans="1:11" s="3" customFormat="1" x14ac:dyDescent="0.25">
      <c r="A73" s="12" t="s">
        <v>50</v>
      </c>
      <c r="B73" s="53">
        <v>0</v>
      </c>
      <c r="C73" s="7" t="s">
        <v>1129</v>
      </c>
      <c r="D73" s="7" t="s">
        <v>1022</v>
      </c>
      <c r="E73" s="7" t="s">
        <v>893</v>
      </c>
      <c r="F73" s="7" t="s">
        <v>170</v>
      </c>
      <c r="G73" s="3" t="s">
        <v>171</v>
      </c>
      <c r="H73" s="3" t="s">
        <v>172</v>
      </c>
      <c r="I73" s="7" t="s">
        <v>1008</v>
      </c>
      <c r="J73" s="7" t="s">
        <v>396</v>
      </c>
      <c r="K73" s="10">
        <f>(0/(350+0.7*1000))/(16/(350+0.7*1000))</f>
        <v>0</v>
      </c>
    </row>
    <row r="74" spans="1:11" s="3" customFormat="1" x14ac:dyDescent="0.25">
      <c r="A74" s="12" t="s">
        <v>49</v>
      </c>
      <c r="B74" s="36">
        <v>1</v>
      </c>
      <c r="C74" s="7" t="s">
        <v>1129</v>
      </c>
      <c r="D74" s="7" t="s">
        <v>1016</v>
      </c>
      <c r="E74" s="7" t="s">
        <v>1133</v>
      </c>
      <c r="F74" s="7" t="s">
        <v>550</v>
      </c>
      <c r="G74" s="7" t="s">
        <v>399</v>
      </c>
      <c r="H74" s="7" t="s">
        <v>212</v>
      </c>
      <c r="I74" s="7" t="s">
        <v>1008</v>
      </c>
      <c r="J74" s="7" t="s">
        <v>746</v>
      </c>
      <c r="K74" s="10">
        <f>(0/10)/(0.4*10/10)</f>
        <v>0</v>
      </c>
    </row>
    <row r="75" spans="1:11" s="3" customFormat="1" x14ac:dyDescent="0.25">
      <c r="A75" s="12" t="s">
        <v>48</v>
      </c>
      <c r="B75" s="36">
        <v>1</v>
      </c>
      <c r="C75" s="7" t="s">
        <v>1129</v>
      </c>
      <c r="D75" s="7" t="s">
        <v>1009</v>
      </c>
      <c r="E75" s="7" t="s">
        <v>1005</v>
      </c>
      <c r="F75" s="7" t="s">
        <v>280</v>
      </c>
      <c r="G75" s="7" t="s">
        <v>957</v>
      </c>
      <c r="H75" s="7" t="s">
        <v>957</v>
      </c>
      <c r="I75" s="7" t="s">
        <v>1008</v>
      </c>
      <c r="J75" s="7" t="s">
        <v>396</v>
      </c>
      <c r="K75" s="10">
        <f>(0/312)/(27/618)</f>
        <v>0</v>
      </c>
    </row>
    <row r="76" spans="1:11" s="3" customFormat="1" x14ac:dyDescent="0.25">
      <c r="A76" s="12" t="s">
        <v>48</v>
      </c>
      <c r="B76" s="36">
        <v>1</v>
      </c>
      <c r="C76" s="7" t="s">
        <v>1129</v>
      </c>
      <c r="D76" s="7" t="s">
        <v>1022</v>
      </c>
      <c r="E76" s="7" t="s">
        <v>1005</v>
      </c>
      <c r="F76" s="7" t="s">
        <v>280</v>
      </c>
      <c r="G76" s="7" t="s">
        <v>957</v>
      </c>
      <c r="H76" s="7" t="s">
        <v>957</v>
      </c>
      <c r="I76" s="7" t="s">
        <v>1008</v>
      </c>
      <c r="J76" s="7" t="s">
        <v>396</v>
      </c>
      <c r="K76" s="10">
        <f>(0/312)/(3/618)</f>
        <v>0</v>
      </c>
    </row>
    <row r="77" spans="1:11" s="3" customFormat="1" x14ac:dyDescent="0.25">
      <c r="A77" s="12" t="s">
        <v>48</v>
      </c>
      <c r="B77" s="36">
        <v>1</v>
      </c>
      <c r="C77" s="7" t="s">
        <v>1129</v>
      </c>
      <c r="D77" s="7" t="s">
        <v>1016</v>
      </c>
      <c r="E77" s="7" t="s">
        <v>1005</v>
      </c>
      <c r="F77" s="7" t="s">
        <v>280</v>
      </c>
      <c r="G77" s="7" t="s">
        <v>957</v>
      </c>
      <c r="H77" s="7" t="s">
        <v>957</v>
      </c>
      <c r="I77" s="7" t="s">
        <v>1008</v>
      </c>
      <c r="J77" s="7" t="s">
        <v>396</v>
      </c>
      <c r="K77" s="10">
        <f>(0/312)/(3/618)</f>
        <v>0</v>
      </c>
    </row>
    <row r="78" spans="1:11" s="3" customFormat="1" x14ac:dyDescent="0.25">
      <c r="A78" s="12" t="s">
        <v>48</v>
      </c>
      <c r="B78" s="36">
        <v>1</v>
      </c>
      <c r="C78" s="7" t="s">
        <v>1129</v>
      </c>
      <c r="D78" s="7" t="s">
        <v>1000</v>
      </c>
      <c r="E78" s="7" t="s">
        <v>1005</v>
      </c>
      <c r="F78" s="7" t="s">
        <v>280</v>
      </c>
      <c r="G78" s="7" t="s">
        <v>957</v>
      </c>
      <c r="H78" s="7" t="s">
        <v>957</v>
      </c>
      <c r="I78" s="7" t="s">
        <v>1008</v>
      </c>
      <c r="J78" s="7" t="s">
        <v>396</v>
      </c>
      <c r="K78" s="10">
        <f>(0/312)/(1/618)</f>
        <v>0</v>
      </c>
    </row>
    <row r="79" spans="1:11" s="3" customFormat="1" x14ac:dyDescent="0.25">
      <c r="A79" s="12" t="s">
        <v>886</v>
      </c>
      <c r="B79" s="36">
        <v>1</v>
      </c>
      <c r="C79" s="53" t="s">
        <v>185</v>
      </c>
      <c r="D79" s="7" t="s">
        <v>1000</v>
      </c>
      <c r="E79" s="7" t="s">
        <v>1133</v>
      </c>
      <c r="F79" s="7" t="s">
        <v>437</v>
      </c>
      <c r="G79" s="7" t="s">
        <v>438</v>
      </c>
      <c r="H79" s="7" t="s">
        <v>438</v>
      </c>
      <c r="I79" s="7" t="s">
        <v>1008</v>
      </c>
      <c r="J79" s="7" t="s">
        <v>84</v>
      </c>
      <c r="K79" s="10">
        <f>9/27</f>
        <v>0.33333333333333331</v>
      </c>
    </row>
    <row r="80" spans="1:11" s="3" customFormat="1" x14ac:dyDescent="0.25">
      <c r="A80" s="12" t="s">
        <v>886</v>
      </c>
      <c r="B80" s="36">
        <v>1</v>
      </c>
      <c r="C80" s="7" t="s">
        <v>1129</v>
      </c>
      <c r="D80" s="7" t="s">
        <v>1000</v>
      </c>
      <c r="E80" s="7" t="s">
        <v>1133</v>
      </c>
      <c r="F80" s="7" t="s">
        <v>550</v>
      </c>
      <c r="G80" s="7" t="s">
        <v>81</v>
      </c>
      <c r="H80" s="7" t="s">
        <v>327</v>
      </c>
      <c r="I80" s="7" t="s">
        <v>1008</v>
      </c>
      <c r="J80" s="7" t="s">
        <v>85</v>
      </c>
      <c r="K80" s="10">
        <f>AVERAGE(AVERAGE(78,23),AVERAGE(45,23))/AVERAGE(AVERAGE(73,16),AVERAGE(20,11))</f>
        <v>1.4083333333333334</v>
      </c>
    </row>
    <row r="81" spans="1:11" s="3" customFormat="1" x14ac:dyDescent="0.25">
      <c r="A81" s="12" t="s">
        <v>127</v>
      </c>
      <c r="B81" s="36">
        <v>1</v>
      </c>
      <c r="C81" s="19" t="s">
        <v>414</v>
      </c>
      <c r="D81" s="7" t="s">
        <v>1000</v>
      </c>
      <c r="E81" s="7" t="s">
        <v>1001</v>
      </c>
      <c r="F81" s="7" t="s">
        <v>373</v>
      </c>
      <c r="G81" s="7" t="s">
        <v>128</v>
      </c>
      <c r="H81" s="7" t="s">
        <v>216</v>
      </c>
      <c r="I81" s="7" t="s">
        <v>1008</v>
      </c>
      <c r="J81" s="7" t="s">
        <v>783</v>
      </c>
      <c r="K81" s="10">
        <f>0.17/1.17</f>
        <v>0.14529914529914531</v>
      </c>
    </row>
    <row r="82" spans="1:11" s="3" customFormat="1" x14ac:dyDescent="0.25">
      <c r="A82" s="12" t="s">
        <v>1156</v>
      </c>
      <c r="B82" s="36">
        <v>1</v>
      </c>
      <c r="C82" s="7" t="s">
        <v>1129</v>
      </c>
      <c r="D82" s="7" t="s">
        <v>1000</v>
      </c>
      <c r="E82" s="7" t="s">
        <v>1001</v>
      </c>
      <c r="F82" s="7" t="s">
        <v>550</v>
      </c>
      <c r="G82" s="7" t="s">
        <v>398</v>
      </c>
      <c r="H82" s="7" t="s">
        <v>334</v>
      </c>
      <c r="I82" s="7" t="s">
        <v>1008</v>
      </c>
      <c r="J82" s="7" t="s">
        <v>1157</v>
      </c>
      <c r="K82" s="10">
        <f>AVERAGE((2/4)/(1/1),(2/3)/(1/1))</f>
        <v>0.58333333333333326</v>
      </c>
    </row>
    <row r="83" spans="1:11" s="3" customFormat="1" x14ac:dyDescent="0.25">
      <c r="A83" s="12" t="s">
        <v>887</v>
      </c>
      <c r="B83" s="36">
        <v>1</v>
      </c>
      <c r="C83" s="19" t="s">
        <v>548</v>
      </c>
      <c r="D83" s="7" t="s">
        <v>1000</v>
      </c>
      <c r="E83" s="7" t="s">
        <v>1001</v>
      </c>
      <c r="F83" s="7" t="s">
        <v>550</v>
      </c>
      <c r="G83" s="7" t="s">
        <v>398</v>
      </c>
      <c r="H83" s="7" t="s">
        <v>334</v>
      </c>
      <c r="I83" s="19" t="s">
        <v>1008</v>
      </c>
      <c r="J83" s="7" t="s">
        <v>1064</v>
      </c>
      <c r="K83" s="10">
        <f>AVERAGE((3/4)/(3/4),4/4)</f>
        <v>1</v>
      </c>
    </row>
    <row r="84" spans="1:11" s="3" customFormat="1" x14ac:dyDescent="0.25">
      <c r="A84" s="12" t="s">
        <v>620</v>
      </c>
      <c r="B84" s="36">
        <v>0</v>
      </c>
      <c r="C84" s="7" t="s">
        <v>1129</v>
      </c>
      <c r="D84" s="7" t="s">
        <v>1000</v>
      </c>
      <c r="E84" s="7" t="s">
        <v>621</v>
      </c>
      <c r="F84" s="7" t="s">
        <v>550</v>
      </c>
      <c r="G84" s="7" t="s">
        <v>398</v>
      </c>
      <c r="H84" s="7" t="s">
        <v>334</v>
      </c>
      <c r="I84" s="19" t="s">
        <v>1008</v>
      </c>
      <c r="J84" s="7" t="s">
        <v>622</v>
      </c>
      <c r="K84" s="10">
        <f>14/12</f>
        <v>1.1666666666666667</v>
      </c>
    </row>
    <row r="85" spans="1:11" s="3" customFormat="1" x14ac:dyDescent="0.25">
      <c r="A85" s="12" t="s">
        <v>620</v>
      </c>
      <c r="B85" s="36">
        <v>0</v>
      </c>
      <c r="C85" s="7" t="s">
        <v>1129</v>
      </c>
      <c r="D85" s="7" t="s">
        <v>1000</v>
      </c>
      <c r="E85" s="7" t="s">
        <v>634</v>
      </c>
      <c r="F85" s="7" t="s">
        <v>550</v>
      </c>
      <c r="G85" s="7" t="s">
        <v>398</v>
      </c>
      <c r="H85" s="7" t="s">
        <v>334</v>
      </c>
      <c r="I85" s="19" t="s">
        <v>1008</v>
      </c>
      <c r="J85" s="7" t="s">
        <v>622</v>
      </c>
      <c r="K85" s="10">
        <f>10/9</f>
        <v>1.1111111111111112</v>
      </c>
    </row>
    <row r="86" spans="1:11" s="3" customFormat="1" x14ac:dyDescent="0.25">
      <c r="A86" s="12" t="s">
        <v>1150</v>
      </c>
      <c r="B86" s="36">
        <v>0</v>
      </c>
      <c r="C86" s="19" t="s">
        <v>185</v>
      </c>
      <c r="D86" s="7" t="s">
        <v>1000</v>
      </c>
      <c r="E86" s="7" t="s">
        <v>1001</v>
      </c>
      <c r="F86" s="7" t="s">
        <v>550</v>
      </c>
      <c r="G86" s="7" t="s">
        <v>398</v>
      </c>
      <c r="H86" s="7" t="s">
        <v>1151</v>
      </c>
      <c r="I86" s="19" t="s">
        <v>1008</v>
      </c>
      <c r="J86" s="7" t="s">
        <v>1152</v>
      </c>
      <c r="K86" s="10">
        <f>AVERAGE(1/1,1/1,1/1,1/1,1/1)</f>
        <v>1</v>
      </c>
    </row>
    <row r="87" spans="1:11" s="3" customFormat="1" x14ac:dyDescent="0.25">
      <c r="A87" s="12" t="s">
        <v>514</v>
      </c>
      <c r="B87" s="36">
        <v>0</v>
      </c>
      <c r="C87" s="7" t="s">
        <v>1129</v>
      </c>
      <c r="D87" s="7" t="s">
        <v>1000</v>
      </c>
      <c r="E87" s="7" t="s">
        <v>1001</v>
      </c>
      <c r="F87" s="7" t="s">
        <v>437</v>
      </c>
      <c r="G87" s="7" t="s">
        <v>1037</v>
      </c>
      <c r="H87" s="7" t="s">
        <v>129</v>
      </c>
      <c r="I87" s="19" t="s">
        <v>1008</v>
      </c>
      <c r="J87" s="7" t="s">
        <v>515</v>
      </c>
      <c r="K87" s="10">
        <f>AVERAGE(4/5,4/5,0/4,1/3,1/3,0/2,0/4,0/2,6/10,5/7,2/5,2/5,0/2,0/2,11/15,7/11,2/4,2/4,6/9,4/6,1/3)</f>
        <v>0.40082457225314372</v>
      </c>
    </row>
    <row r="88" spans="1:11" s="3" customFormat="1" x14ac:dyDescent="0.25">
      <c r="A88" s="12" t="s">
        <v>623</v>
      </c>
      <c r="B88" s="36">
        <v>0</v>
      </c>
      <c r="C88" s="7" t="s">
        <v>185</v>
      </c>
      <c r="D88" s="7" t="s">
        <v>1000</v>
      </c>
      <c r="E88" s="7" t="s">
        <v>1001</v>
      </c>
      <c r="F88" s="7" t="s">
        <v>437</v>
      </c>
      <c r="G88" s="7" t="s">
        <v>1037</v>
      </c>
      <c r="H88" s="7" t="s">
        <v>129</v>
      </c>
      <c r="I88" s="19" t="s">
        <v>1008</v>
      </c>
      <c r="J88" s="7" t="s">
        <v>1152</v>
      </c>
      <c r="K88" s="10">
        <f>6/7</f>
        <v>0.8571428571428571</v>
      </c>
    </row>
    <row r="89" spans="1:11" s="3" customFormat="1" x14ac:dyDescent="0.25">
      <c r="A89" s="12" t="s">
        <v>1154</v>
      </c>
      <c r="B89" s="36">
        <v>1</v>
      </c>
      <c r="C89" s="19" t="s">
        <v>185</v>
      </c>
      <c r="D89" s="7" t="s">
        <v>1000</v>
      </c>
      <c r="E89" s="7" t="s">
        <v>404</v>
      </c>
      <c r="F89" s="7" t="s">
        <v>437</v>
      </c>
      <c r="G89" s="7" t="s">
        <v>130</v>
      </c>
      <c r="H89" s="7" t="s">
        <v>129</v>
      </c>
      <c r="I89" s="19" t="s">
        <v>1008</v>
      </c>
      <c r="J89" s="7" t="s">
        <v>396</v>
      </c>
      <c r="K89" s="10">
        <f>14/19</f>
        <v>0.73684210526315785</v>
      </c>
    </row>
    <row r="90" spans="1:11" s="3" customFormat="1" x14ac:dyDescent="0.25">
      <c r="A90" s="12" t="s">
        <v>173</v>
      </c>
      <c r="B90" s="36">
        <v>1</v>
      </c>
      <c r="C90" s="19" t="s">
        <v>1129</v>
      </c>
      <c r="D90" s="7" t="s">
        <v>1004</v>
      </c>
      <c r="E90" s="7" t="s">
        <v>1005</v>
      </c>
      <c r="F90" s="7" t="s">
        <v>437</v>
      </c>
      <c r="G90" s="7" t="s">
        <v>130</v>
      </c>
      <c r="H90" s="7" t="s">
        <v>337</v>
      </c>
      <c r="I90" s="19" t="s">
        <v>1006</v>
      </c>
      <c r="J90" s="7" t="s">
        <v>174</v>
      </c>
      <c r="K90" s="10">
        <f>20/17.4</f>
        <v>1.149425287356322</v>
      </c>
    </row>
    <row r="91" spans="1:11" s="3" customFormat="1" x14ac:dyDescent="0.25">
      <c r="A91" s="12" t="s">
        <v>450</v>
      </c>
      <c r="B91" s="53">
        <v>0</v>
      </c>
      <c r="C91" s="53" t="s">
        <v>185</v>
      </c>
      <c r="D91" s="7" t="s">
        <v>403</v>
      </c>
      <c r="E91" s="7" t="s">
        <v>1005</v>
      </c>
      <c r="F91" s="7" t="s">
        <v>551</v>
      </c>
      <c r="G91" s="7" t="s">
        <v>1002</v>
      </c>
      <c r="H91" s="7" t="s">
        <v>1002</v>
      </c>
      <c r="I91" s="7" t="s">
        <v>1015</v>
      </c>
      <c r="J91" s="7" t="s">
        <v>396</v>
      </c>
      <c r="K91" s="10">
        <f>(50/1300)/((11+24)/1300)</f>
        <v>1.4285714285714286</v>
      </c>
    </row>
    <row r="92" spans="1:11" s="3" customFormat="1" x14ac:dyDescent="0.25">
      <c r="A92" s="12" t="s">
        <v>966</v>
      </c>
      <c r="B92" s="36">
        <v>1</v>
      </c>
      <c r="C92" s="19" t="s">
        <v>185</v>
      </c>
      <c r="D92" s="7" t="s">
        <v>1029</v>
      </c>
      <c r="E92" s="7" t="s">
        <v>1001</v>
      </c>
      <c r="F92" s="7" t="s">
        <v>373</v>
      </c>
      <c r="G92" s="7" t="s">
        <v>430</v>
      </c>
      <c r="H92" s="7" t="s">
        <v>430</v>
      </c>
      <c r="I92" s="19" t="s">
        <v>1026</v>
      </c>
      <c r="J92" s="7" t="s">
        <v>967</v>
      </c>
      <c r="K92" s="10">
        <f>11.4/42.1</f>
        <v>0.27078384798099764</v>
      </c>
    </row>
    <row r="93" spans="1:11" s="3" customFormat="1" x14ac:dyDescent="0.25">
      <c r="A93" s="12" t="s">
        <v>751</v>
      </c>
      <c r="B93" s="36">
        <v>1</v>
      </c>
      <c r="C93" s="7" t="s">
        <v>1129</v>
      </c>
      <c r="D93" s="7" t="s">
        <v>1022</v>
      </c>
      <c r="E93" s="7" t="s">
        <v>1001</v>
      </c>
      <c r="F93" s="7" t="s">
        <v>551</v>
      </c>
      <c r="G93" s="7" t="s">
        <v>1021</v>
      </c>
      <c r="H93" s="7" t="s">
        <v>1021</v>
      </c>
      <c r="I93" s="7" t="s">
        <v>1030</v>
      </c>
      <c r="J93" s="7" t="s">
        <v>686</v>
      </c>
      <c r="K93" s="10">
        <f>2/63</f>
        <v>3.1746031746031744E-2</v>
      </c>
    </row>
    <row r="94" spans="1:11" s="3" customFormat="1" x14ac:dyDescent="0.25">
      <c r="A94" s="12" t="s">
        <v>751</v>
      </c>
      <c r="B94" s="36">
        <v>1</v>
      </c>
      <c r="C94" s="7" t="s">
        <v>1129</v>
      </c>
      <c r="D94" s="7" t="s">
        <v>1022</v>
      </c>
      <c r="E94" s="7" t="s">
        <v>1001</v>
      </c>
      <c r="F94" s="7" t="s">
        <v>551</v>
      </c>
      <c r="G94" s="7" t="s">
        <v>401</v>
      </c>
      <c r="H94" s="7" t="s">
        <v>1007</v>
      </c>
      <c r="I94" s="7" t="s">
        <v>1030</v>
      </c>
      <c r="J94" s="7" t="s">
        <v>686</v>
      </c>
      <c r="K94" s="10">
        <f>(13+2)/63</f>
        <v>0.23809523809523808</v>
      </c>
    </row>
    <row r="95" spans="1:11" s="3" customFormat="1" x14ac:dyDescent="0.25">
      <c r="A95" s="12" t="s">
        <v>888</v>
      </c>
      <c r="B95" s="36">
        <v>1</v>
      </c>
      <c r="C95" s="19" t="s">
        <v>185</v>
      </c>
      <c r="D95" s="7" t="s">
        <v>1016</v>
      </c>
      <c r="E95" s="7" t="s">
        <v>1133</v>
      </c>
      <c r="F95" s="7" t="s">
        <v>373</v>
      </c>
      <c r="G95" s="7" t="s">
        <v>374</v>
      </c>
      <c r="H95" s="7" t="s">
        <v>374</v>
      </c>
      <c r="I95" s="7" t="s">
        <v>1008</v>
      </c>
      <c r="J95" s="7" t="s">
        <v>86</v>
      </c>
      <c r="K95" s="10">
        <f>AVERAGE(35/(35+50),31/(31+54),20/(20+55))</f>
        <v>0.34771241830065353</v>
      </c>
    </row>
    <row r="96" spans="1:11" s="3" customFormat="1" x14ac:dyDescent="0.25">
      <c r="A96" s="12" t="s">
        <v>859</v>
      </c>
      <c r="B96" s="36">
        <v>1</v>
      </c>
      <c r="C96" s="7" t="s">
        <v>1129</v>
      </c>
      <c r="D96" s="7" t="s">
        <v>1016</v>
      </c>
      <c r="E96" s="7" t="s">
        <v>565</v>
      </c>
      <c r="F96" s="7" t="s">
        <v>551</v>
      </c>
      <c r="G96" s="7" t="s">
        <v>1002</v>
      </c>
      <c r="H96" s="7" t="s">
        <v>1002</v>
      </c>
      <c r="I96" s="7" t="s">
        <v>1008</v>
      </c>
      <c r="J96" s="7" t="s">
        <v>746</v>
      </c>
      <c r="K96" s="10">
        <f>(12/12)/(1/(13-12))</f>
        <v>1</v>
      </c>
    </row>
    <row r="97" spans="1:11" s="3" customFormat="1" x14ac:dyDescent="0.25">
      <c r="A97" s="12" t="s">
        <v>859</v>
      </c>
      <c r="B97" s="36">
        <v>1</v>
      </c>
      <c r="C97" s="53" t="s">
        <v>185</v>
      </c>
      <c r="D97" s="7" t="s">
        <v>1016</v>
      </c>
      <c r="E97" s="7" t="s">
        <v>565</v>
      </c>
      <c r="F97" s="7" t="s">
        <v>373</v>
      </c>
      <c r="G97" s="7" t="s">
        <v>374</v>
      </c>
      <c r="H97" s="7" t="s">
        <v>374</v>
      </c>
      <c r="I97" s="7" t="s">
        <v>1008</v>
      </c>
      <c r="J97" s="7" t="s">
        <v>506</v>
      </c>
      <c r="K97" s="10">
        <f>(2/6)/(6/6)</f>
        <v>0.33333333333333331</v>
      </c>
    </row>
    <row r="98" spans="1:11" s="3" customFormat="1" x14ac:dyDescent="0.25">
      <c r="A98" s="12" t="s">
        <v>662</v>
      </c>
      <c r="B98" s="36">
        <v>1</v>
      </c>
      <c r="C98" s="53" t="s">
        <v>185</v>
      </c>
      <c r="D98" s="7" t="s">
        <v>1016</v>
      </c>
      <c r="E98" s="7" t="s">
        <v>1133</v>
      </c>
      <c r="F98" s="7" t="s">
        <v>373</v>
      </c>
      <c r="G98" s="7" t="s">
        <v>374</v>
      </c>
      <c r="H98" s="7" t="s">
        <v>374</v>
      </c>
      <c r="I98" s="7" t="s">
        <v>1008</v>
      </c>
      <c r="J98" s="7" t="s">
        <v>1065</v>
      </c>
      <c r="K98" s="10">
        <f>1/212</f>
        <v>4.7169811320754715E-3</v>
      </c>
    </row>
    <row r="99" spans="1:11" s="3" customFormat="1" x14ac:dyDescent="0.25">
      <c r="A99" s="12" t="s">
        <v>486</v>
      </c>
      <c r="B99" s="36">
        <v>0</v>
      </c>
      <c r="C99" s="19" t="s">
        <v>185</v>
      </c>
      <c r="D99" s="7" t="s">
        <v>1000</v>
      </c>
      <c r="E99" s="7" t="s">
        <v>487</v>
      </c>
      <c r="F99" s="7" t="s">
        <v>437</v>
      </c>
      <c r="G99" s="7" t="s">
        <v>130</v>
      </c>
      <c r="H99" s="7" t="s">
        <v>129</v>
      </c>
      <c r="I99" s="7" t="s">
        <v>1008</v>
      </c>
      <c r="J99" s="7" t="s">
        <v>396</v>
      </c>
      <c r="K99" s="10">
        <f>34/41</f>
        <v>0.82926829268292679</v>
      </c>
    </row>
    <row r="100" spans="1:11" s="3" customFormat="1" x14ac:dyDescent="0.25">
      <c r="A100" s="12" t="s">
        <v>486</v>
      </c>
      <c r="B100" s="36">
        <v>0</v>
      </c>
      <c r="C100" s="7" t="s">
        <v>1129</v>
      </c>
      <c r="D100" s="7" t="s">
        <v>1000</v>
      </c>
      <c r="E100" s="7" t="s">
        <v>488</v>
      </c>
      <c r="F100" s="7" t="s">
        <v>437</v>
      </c>
      <c r="G100" s="7" t="s">
        <v>130</v>
      </c>
      <c r="H100" s="7" t="s">
        <v>129</v>
      </c>
      <c r="I100" s="7" t="s">
        <v>1008</v>
      </c>
      <c r="J100" s="7" t="s">
        <v>793</v>
      </c>
      <c r="K100" s="10">
        <f>68/67</f>
        <v>1.0149253731343284</v>
      </c>
    </row>
    <row r="101" spans="1:11" s="3" customFormat="1" x14ac:dyDescent="0.25">
      <c r="A101" s="12" t="s">
        <v>829</v>
      </c>
      <c r="B101" s="36">
        <v>1</v>
      </c>
      <c r="C101" s="7" t="s">
        <v>1129</v>
      </c>
      <c r="D101" s="7" t="s">
        <v>1000</v>
      </c>
      <c r="E101" s="7" t="s">
        <v>634</v>
      </c>
      <c r="F101" s="7" t="s">
        <v>550</v>
      </c>
      <c r="G101" s="7" t="s">
        <v>398</v>
      </c>
      <c r="H101" s="7" t="s">
        <v>334</v>
      </c>
      <c r="I101" s="7" t="s">
        <v>1008</v>
      </c>
      <c r="J101" s="7" t="s">
        <v>633</v>
      </c>
      <c r="K101" s="10">
        <f>(AVERAGE(23,17)/SUM(23,17,39))/(AVERAGE(27,0)/SUM(27,0,6))</f>
        <v>0.61884669479606191</v>
      </c>
    </row>
    <row r="102" spans="1:11" s="3" customFormat="1" x14ac:dyDescent="0.25">
      <c r="A102" s="12" t="s">
        <v>112</v>
      </c>
      <c r="B102" s="36">
        <v>0</v>
      </c>
      <c r="C102" s="19" t="s">
        <v>185</v>
      </c>
      <c r="D102" s="7" t="s">
        <v>557</v>
      </c>
      <c r="E102" s="7" t="s">
        <v>1023</v>
      </c>
      <c r="F102" s="7" t="s">
        <v>551</v>
      </c>
      <c r="G102" s="7" t="s">
        <v>401</v>
      </c>
      <c r="H102" s="7" t="s">
        <v>1007</v>
      </c>
      <c r="I102" s="7" t="s">
        <v>1008</v>
      </c>
      <c r="J102" s="7" t="s">
        <v>793</v>
      </c>
      <c r="K102" s="10">
        <f>77/100</f>
        <v>0.77</v>
      </c>
    </row>
    <row r="103" spans="1:11" s="3" customFormat="1" x14ac:dyDescent="0.25">
      <c r="A103" s="12" t="s">
        <v>889</v>
      </c>
      <c r="B103" s="36">
        <v>1</v>
      </c>
      <c r="C103" s="53" t="s">
        <v>185</v>
      </c>
      <c r="D103" s="7" t="s">
        <v>1000</v>
      </c>
      <c r="E103" s="7" t="s">
        <v>1133</v>
      </c>
      <c r="F103" s="7" t="s">
        <v>550</v>
      </c>
      <c r="G103" s="7" t="s">
        <v>398</v>
      </c>
      <c r="H103" s="7" t="s">
        <v>334</v>
      </c>
      <c r="I103" s="7" t="s">
        <v>1008</v>
      </c>
      <c r="J103" s="7" t="s">
        <v>87</v>
      </c>
      <c r="K103" s="10">
        <v>0</v>
      </c>
    </row>
    <row r="104" spans="1:11" s="3" customFormat="1" x14ac:dyDescent="0.25">
      <c r="A104" s="12" t="s">
        <v>594</v>
      </c>
      <c r="B104" s="36">
        <v>1</v>
      </c>
      <c r="C104" s="7" t="s">
        <v>1129</v>
      </c>
      <c r="D104" s="7" t="s">
        <v>1014</v>
      </c>
      <c r="E104" s="7" t="s">
        <v>759</v>
      </c>
      <c r="F104" s="7" t="s">
        <v>551</v>
      </c>
      <c r="G104" s="7" t="s">
        <v>1021</v>
      </c>
      <c r="H104" s="7" t="s">
        <v>1021</v>
      </c>
      <c r="I104" s="7" t="s">
        <v>61</v>
      </c>
      <c r="J104" s="7" t="s">
        <v>686</v>
      </c>
      <c r="K104" s="10">
        <f>(58.1+21.6)/18.2</f>
        <v>4.3791208791208796</v>
      </c>
    </row>
    <row r="105" spans="1:11" s="3" customFormat="1" x14ac:dyDescent="0.25">
      <c r="A105" s="12" t="s">
        <v>594</v>
      </c>
      <c r="B105" s="36">
        <v>1</v>
      </c>
      <c r="C105" s="7" t="s">
        <v>1129</v>
      </c>
      <c r="D105" s="7" t="s">
        <v>1014</v>
      </c>
      <c r="E105" s="7" t="s">
        <v>759</v>
      </c>
      <c r="F105" s="7" t="s">
        <v>551</v>
      </c>
      <c r="G105" s="7" t="s">
        <v>401</v>
      </c>
      <c r="H105" s="7" t="s">
        <v>1007</v>
      </c>
      <c r="I105" s="7" t="s">
        <v>61</v>
      </c>
      <c r="J105" s="7" t="s">
        <v>686</v>
      </c>
      <c r="K105" s="10">
        <f>(21.6+2)/18.2</f>
        <v>1.2967032967032968</v>
      </c>
    </row>
    <row r="106" spans="1:11" s="3" customFormat="1" x14ac:dyDescent="0.25">
      <c r="A106" s="12" t="s">
        <v>830</v>
      </c>
      <c r="B106" s="36">
        <v>1</v>
      </c>
      <c r="C106" s="53" t="s">
        <v>185</v>
      </c>
      <c r="D106" s="7" t="s">
        <v>1000</v>
      </c>
      <c r="E106" s="7" t="s">
        <v>606</v>
      </c>
      <c r="F106" s="7" t="s">
        <v>550</v>
      </c>
      <c r="G106" s="7" t="s">
        <v>278</v>
      </c>
      <c r="H106" s="7" t="s">
        <v>324</v>
      </c>
      <c r="I106" s="7" t="s">
        <v>1008</v>
      </c>
      <c r="J106" s="7" t="s">
        <v>635</v>
      </c>
      <c r="K106" s="10">
        <f>4/5</f>
        <v>0.8</v>
      </c>
    </row>
    <row r="107" spans="1:11" s="3" customFormat="1" x14ac:dyDescent="0.25">
      <c r="A107" s="12" t="s">
        <v>830</v>
      </c>
      <c r="B107" s="36">
        <v>1</v>
      </c>
      <c r="C107" s="53" t="s">
        <v>185</v>
      </c>
      <c r="D107" s="7" t="s">
        <v>1000</v>
      </c>
      <c r="E107" s="7" t="s">
        <v>606</v>
      </c>
      <c r="F107" s="7" t="s">
        <v>550</v>
      </c>
      <c r="G107" s="7" t="s">
        <v>400</v>
      </c>
      <c r="H107" s="7" t="s">
        <v>223</v>
      </c>
      <c r="I107" s="7" t="s">
        <v>1008</v>
      </c>
      <c r="J107" s="7" t="s">
        <v>635</v>
      </c>
      <c r="K107" s="10">
        <f>1/5</f>
        <v>0.2</v>
      </c>
    </row>
    <row r="108" spans="1:11" s="3" customFormat="1" x14ac:dyDescent="0.25">
      <c r="A108" s="12" t="s">
        <v>830</v>
      </c>
      <c r="B108" s="36">
        <v>1</v>
      </c>
      <c r="C108" s="53" t="s">
        <v>185</v>
      </c>
      <c r="D108" s="7" t="s">
        <v>1000</v>
      </c>
      <c r="E108" s="7" t="s">
        <v>606</v>
      </c>
      <c r="F108" s="7" t="s">
        <v>550</v>
      </c>
      <c r="G108" s="7" t="s">
        <v>1067</v>
      </c>
      <c r="H108" s="7" t="s">
        <v>325</v>
      </c>
      <c r="I108" s="7" t="s">
        <v>1008</v>
      </c>
      <c r="J108" s="7" t="s">
        <v>635</v>
      </c>
      <c r="K108" s="10">
        <f>0/5</f>
        <v>0</v>
      </c>
    </row>
    <row r="109" spans="1:11" s="3" customFormat="1" x14ac:dyDescent="0.25">
      <c r="A109" s="12" t="s">
        <v>431</v>
      </c>
      <c r="B109" s="70">
        <v>1</v>
      </c>
      <c r="C109" s="19" t="s">
        <v>414</v>
      </c>
      <c r="D109" s="7" t="s">
        <v>1022</v>
      </c>
      <c r="E109" s="7" t="s">
        <v>309</v>
      </c>
      <c r="F109" s="7" t="s">
        <v>550</v>
      </c>
      <c r="G109" s="7" t="s">
        <v>400</v>
      </c>
      <c r="H109" s="7" t="s">
        <v>507</v>
      </c>
      <c r="I109" s="7" t="s">
        <v>1008</v>
      </c>
      <c r="J109" s="7" t="s">
        <v>92</v>
      </c>
      <c r="K109" s="10">
        <f>(0.29/1.43)/(0.71/0.29)</f>
        <v>8.2832660297449012E-2</v>
      </c>
    </row>
    <row r="110" spans="1:11" s="3" customFormat="1" x14ac:dyDescent="0.25">
      <c r="A110" s="12" t="s">
        <v>890</v>
      </c>
      <c r="B110" s="70">
        <v>1</v>
      </c>
      <c r="C110" s="53" t="s">
        <v>185</v>
      </c>
      <c r="D110" s="7" t="s">
        <v>556</v>
      </c>
      <c r="E110" s="7" t="s">
        <v>1133</v>
      </c>
      <c r="F110" s="7" t="s">
        <v>551</v>
      </c>
      <c r="G110" s="7" t="s">
        <v>1002</v>
      </c>
      <c r="H110" s="7" t="s">
        <v>1002</v>
      </c>
      <c r="I110" s="7" t="s">
        <v>1003</v>
      </c>
      <c r="J110" s="7" t="s">
        <v>540</v>
      </c>
      <c r="K110" s="10">
        <f>0/5</f>
        <v>0</v>
      </c>
    </row>
    <row r="111" spans="1:11" s="3" customFormat="1" x14ac:dyDescent="0.25">
      <c r="A111" s="12" t="s">
        <v>51</v>
      </c>
      <c r="B111" s="70">
        <v>1</v>
      </c>
      <c r="C111" s="7" t="s">
        <v>1129</v>
      </c>
      <c r="D111" s="7" t="s">
        <v>1000</v>
      </c>
      <c r="E111" s="7" t="s">
        <v>1001</v>
      </c>
      <c r="F111" s="7" t="s">
        <v>551</v>
      </c>
      <c r="G111" s="7" t="s">
        <v>566</v>
      </c>
      <c r="H111" s="7" t="s">
        <v>566</v>
      </c>
      <c r="I111" s="7" t="s">
        <v>1008</v>
      </c>
      <c r="J111" s="7" t="s">
        <v>396</v>
      </c>
      <c r="K111" s="10">
        <f>AVERAGE((0/750)/(4/300),(0/36)/(38/400))</f>
        <v>0</v>
      </c>
    </row>
    <row r="112" spans="1:11" s="3" customFormat="1" x14ac:dyDescent="0.25">
      <c r="A112" s="12" t="s">
        <v>926</v>
      </c>
      <c r="B112" s="70">
        <v>0</v>
      </c>
      <c r="C112" s="53" t="s">
        <v>185</v>
      </c>
      <c r="D112" s="7" t="s">
        <v>1010</v>
      </c>
      <c r="E112" s="7" t="s">
        <v>927</v>
      </c>
      <c r="F112" s="7" t="s">
        <v>551</v>
      </c>
      <c r="G112" s="7" t="s">
        <v>1002</v>
      </c>
      <c r="H112" s="7" t="s">
        <v>1002</v>
      </c>
      <c r="I112" s="7" t="s">
        <v>1030</v>
      </c>
      <c r="J112" s="7" t="s">
        <v>746</v>
      </c>
      <c r="K112" s="10">
        <f>(100-83.3)/100</f>
        <v>0.16700000000000004</v>
      </c>
    </row>
    <row r="113" spans="1:11" s="3" customFormat="1" x14ac:dyDescent="0.25">
      <c r="A113" s="12" t="s">
        <v>818</v>
      </c>
      <c r="B113" s="70">
        <v>1</v>
      </c>
      <c r="C113" s="7" t="s">
        <v>1129</v>
      </c>
      <c r="D113" s="7" t="s">
        <v>1022</v>
      </c>
      <c r="E113" s="7" t="s">
        <v>1005</v>
      </c>
      <c r="F113" s="7" t="s">
        <v>551</v>
      </c>
      <c r="G113" s="7" t="s">
        <v>315</v>
      </c>
      <c r="H113" s="7" t="s">
        <v>639</v>
      </c>
      <c r="I113" s="7" t="s">
        <v>1030</v>
      </c>
      <c r="J113" s="3" t="s">
        <v>1165</v>
      </c>
      <c r="K113" s="10">
        <f>(100-61.6)/61.6</f>
        <v>0.62337662337662336</v>
      </c>
    </row>
    <row r="114" spans="1:11" s="3" customFormat="1" x14ac:dyDescent="0.25">
      <c r="A114" s="12" t="s">
        <v>52</v>
      </c>
      <c r="B114" s="70">
        <v>1</v>
      </c>
      <c r="C114" s="53" t="s">
        <v>185</v>
      </c>
      <c r="D114" s="7" t="s">
        <v>1000</v>
      </c>
      <c r="E114" s="7" t="s">
        <v>1001</v>
      </c>
      <c r="F114" s="7" t="s">
        <v>551</v>
      </c>
      <c r="G114" s="7" t="s">
        <v>1002</v>
      </c>
      <c r="H114" s="7" t="s">
        <v>1002</v>
      </c>
      <c r="I114" s="7" t="s">
        <v>1003</v>
      </c>
      <c r="J114" s="7" t="s">
        <v>451</v>
      </c>
      <c r="K114" s="10">
        <f>AVERAGE((9+0+0)/(35+28+0),(0+0+0)/(22+12+6),(3+0+0)/(0+17+12),(0+0+6)/(3+12+0))</f>
        <v>0.16157635467980297</v>
      </c>
    </row>
    <row r="115" spans="1:11" s="3" customFormat="1" x14ac:dyDescent="0.25">
      <c r="A115" s="12" t="s">
        <v>625</v>
      </c>
      <c r="B115" s="70">
        <v>0</v>
      </c>
      <c r="C115" s="7" t="s">
        <v>414</v>
      </c>
      <c r="D115" s="7" t="s">
        <v>1016</v>
      </c>
      <c r="E115" s="7" t="s">
        <v>565</v>
      </c>
      <c r="F115" s="7" t="s">
        <v>550</v>
      </c>
      <c r="G115" s="7" t="s">
        <v>398</v>
      </c>
      <c r="H115" s="7" t="s">
        <v>334</v>
      </c>
      <c r="I115" s="7" t="s">
        <v>1003</v>
      </c>
      <c r="J115" s="7" t="s">
        <v>627</v>
      </c>
      <c r="K115" s="10">
        <f>AVERAGE(3.2*10,2.3*3)/(4.1*7)</f>
        <v>0.67770034843205584</v>
      </c>
    </row>
    <row r="116" spans="1:11" s="3" customFormat="1" x14ac:dyDescent="0.25">
      <c r="A116" s="12" t="s">
        <v>625</v>
      </c>
      <c r="B116" s="70">
        <v>0</v>
      </c>
      <c r="C116" s="7" t="s">
        <v>414</v>
      </c>
      <c r="D116" s="7" t="s">
        <v>1016</v>
      </c>
      <c r="E116" s="7" t="s">
        <v>565</v>
      </c>
      <c r="F116" s="7" t="s">
        <v>550</v>
      </c>
      <c r="G116" s="7" t="s">
        <v>398</v>
      </c>
      <c r="H116" s="7" t="s">
        <v>334</v>
      </c>
      <c r="I116" s="7" t="s">
        <v>1003</v>
      </c>
      <c r="J116" s="7" t="s">
        <v>628</v>
      </c>
      <c r="K116" s="10">
        <f>(3.9*10)/(4.9*15)</f>
        <v>0.53061224489795922</v>
      </c>
    </row>
    <row r="117" spans="1:11" s="3" customFormat="1" x14ac:dyDescent="0.25">
      <c r="A117" s="12" t="s">
        <v>625</v>
      </c>
      <c r="B117" s="70">
        <v>0</v>
      </c>
      <c r="C117" s="7" t="s">
        <v>414</v>
      </c>
      <c r="D117" s="7" t="s">
        <v>1016</v>
      </c>
      <c r="E117" s="7" t="s">
        <v>565</v>
      </c>
      <c r="F117" s="7" t="s">
        <v>550</v>
      </c>
      <c r="G117" s="7" t="s">
        <v>398</v>
      </c>
      <c r="H117" s="7" t="s">
        <v>629</v>
      </c>
      <c r="I117" s="7" t="s">
        <v>1003</v>
      </c>
      <c r="J117" s="7" t="s">
        <v>628</v>
      </c>
      <c r="K117" s="10">
        <f>(4.1*8)/(4.9*15)</f>
        <v>0.44625850340136053</v>
      </c>
    </row>
    <row r="118" spans="1:11" s="3" customFormat="1" x14ac:dyDescent="0.25">
      <c r="A118" s="12" t="s">
        <v>365</v>
      </c>
      <c r="B118" s="70">
        <v>1</v>
      </c>
      <c r="C118" s="53" t="s">
        <v>547</v>
      </c>
      <c r="D118" s="7" t="s">
        <v>1004</v>
      </c>
      <c r="E118" s="7" t="s">
        <v>380</v>
      </c>
      <c r="F118" s="7" t="s">
        <v>550</v>
      </c>
      <c r="G118" s="7" t="s">
        <v>278</v>
      </c>
      <c r="H118" s="7" t="s">
        <v>370</v>
      </c>
      <c r="I118" s="7" t="s">
        <v>1006</v>
      </c>
      <c r="J118" s="7" t="s">
        <v>371</v>
      </c>
      <c r="K118" s="10">
        <f>57/60</f>
        <v>0.95</v>
      </c>
    </row>
    <row r="119" spans="1:11" s="3" customFormat="1" x14ac:dyDescent="0.25">
      <c r="A119" s="12" t="s">
        <v>1134</v>
      </c>
      <c r="B119" s="70">
        <v>0</v>
      </c>
      <c r="C119" s="53" t="s">
        <v>185</v>
      </c>
      <c r="D119" s="7" t="s">
        <v>1000</v>
      </c>
      <c r="E119" s="7" t="s">
        <v>1001</v>
      </c>
      <c r="F119" s="7" t="s">
        <v>550</v>
      </c>
      <c r="G119" s="7" t="s">
        <v>398</v>
      </c>
      <c r="H119" s="7" t="s">
        <v>334</v>
      </c>
      <c r="I119" s="7" t="s">
        <v>1008</v>
      </c>
      <c r="J119" s="7" t="s">
        <v>783</v>
      </c>
      <c r="K119" s="10">
        <f>AVERAGE(((105-96)/9)/((93-15)/9),((41-39)/5)/((39-32)/4))</f>
        <v>0.17197802197802198</v>
      </c>
    </row>
    <row r="120" spans="1:11" s="3" customFormat="1" x14ac:dyDescent="0.25">
      <c r="A120" s="4" t="s">
        <v>190</v>
      </c>
      <c r="B120" s="70">
        <v>1</v>
      </c>
      <c r="C120" s="53" t="s">
        <v>185</v>
      </c>
      <c r="D120" s="7" t="s">
        <v>1000</v>
      </c>
      <c r="E120" s="7" t="s">
        <v>1001</v>
      </c>
      <c r="F120" s="7" t="s">
        <v>550</v>
      </c>
      <c r="G120" s="7" t="s">
        <v>398</v>
      </c>
      <c r="H120" s="7" t="s">
        <v>334</v>
      </c>
      <c r="I120" s="7" t="s">
        <v>1008</v>
      </c>
      <c r="J120" s="7" t="s">
        <v>396</v>
      </c>
      <c r="K120" s="10">
        <f>AVERAGE((47/5000)/(132/5000),(10/3100)/(42/3100),(2/3500)/(12/3500))</f>
        <v>0.25360750360750361</v>
      </c>
    </row>
    <row r="121" spans="1:11" s="3" customFormat="1" x14ac:dyDescent="0.25">
      <c r="A121" s="4" t="s">
        <v>190</v>
      </c>
      <c r="B121" s="70">
        <v>1</v>
      </c>
      <c r="C121" s="53" t="s">
        <v>185</v>
      </c>
      <c r="D121" s="7" t="s">
        <v>1000</v>
      </c>
      <c r="E121" s="7" t="s">
        <v>541</v>
      </c>
      <c r="F121" s="7" t="s">
        <v>550</v>
      </c>
      <c r="G121" s="7" t="s">
        <v>398</v>
      </c>
      <c r="H121" s="7" t="s">
        <v>334</v>
      </c>
      <c r="I121" s="7" t="s">
        <v>1008</v>
      </c>
      <c r="J121" s="7" t="s">
        <v>396</v>
      </c>
      <c r="K121" s="10">
        <f>AVERAGE((6/14000)/(60/14000),(28/16000)/(35/16000))</f>
        <v>0.44999999999999996</v>
      </c>
    </row>
    <row r="122" spans="1:11" s="3" customFormat="1" x14ac:dyDescent="0.25">
      <c r="A122" s="12" t="s">
        <v>434</v>
      </c>
      <c r="B122" s="70">
        <v>1</v>
      </c>
      <c r="C122" s="7" t="s">
        <v>1129</v>
      </c>
      <c r="D122" s="7" t="s">
        <v>1022</v>
      </c>
      <c r="E122" s="7" t="s">
        <v>1018</v>
      </c>
      <c r="F122" s="7" t="s">
        <v>551</v>
      </c>
      <c r="G122" s="7" t="s">
        <v>401</v>
      </c>
      <c r="H122" s="7" t="s">
        <v>1007</v>
      </c>
      <c r="I122" s="7" t="s">
        <v>435</v>
      </c>
      <c r="J122" s="7" t="s">
        <v>687</v>
      </c>
      <c r="K122" s="10">
        <f>AVERAGE(98,21,3,1,0)/100</f>
        <v>0.24600000000000002</v>
      </c>
    </row>
    <row r="123" spans="1:11" s="3" customFormat="1" x14ac:dyDescent="0.25">
      <c r="A123" s="12" t="s">
        <v>434</v>
      </c>
      <c r="B123" s="70">
        <v>1</v>
      </c>
      <c r="C123" s="7" t="s">
        <v>1129</v>
      </c>
      <c r="D123" s="7" t="s">
        <v>1022</v>
      </c>
      <c r="E123" s="7" t="s">
        <v>1018</v>
      </c>
      <c r="F123" s="7" t="s">
        <v>551</v>
      </c>
      <c r="G123" s="7" t="s">
        <v>315</v>
      </c>
      <c r="H123" s="7" t="s">
        <v>639</v>
      </c>
      <c r="I123" s="7" t="s">
        <v>435</v>
      </c>
      <c r="J123" s="7" t="s">
        <v>687</v>
      </c>
      <c r="K123" s="10">
        <f>AVERAGE(43,5,2,0,0)/100</f>
        <v>0.1</v>
      </c>
    </row>
    <row r="124" spans="1:11" s="3" customFormat="1" x14ac:dyDescent="0.25">
      <c r="A124" s="12" t="s">
        <v>364</v>
      </c>
      <c r="B124" s="70">
        <v>1</v>
      </c>
      <c r="C124" s="7" t="s">
        <v>1129</v>
      </c>
      <c r="D124" s="7" t="s">
        <v>1022</v>
      </c>
      <c r="E124" s="7" t="s">
        <v>1023</v>
      </c>
      <c r="F124" s="7" t="s">
        <v>437</v>
      </c>
      <c r="G124" s="7" t="s">
        <v>438</v>
      </c>
      <c r="H124" s="7" t="s">
        <v>438</v>
      </c>
      <c r="I124" s="7" t="s">
        <v>563</v>
      </c>
      <c r="J124" s="7" t="s">
        <v>1088</v>
      </c>
      <c r="K124" s="10">
        <f>(19973/2276511)/(3634/1108121)</f>
        <v>2.6753204615631239</v>
      </c>
    </row>
    <row r="125" spans="1:11" s="3" customFormat="1" x14ac:dyDescent="0.25">
      <c r="A125" s="12" t="s">
        <v>364</v>
      </c>
      <c r="B125" s="70">
        <v>1</v>
      </c>
      <c r="C125" s="7" t="s">
        <v>1129</v>
      </c>
      <c r="D125" s="7" t="s">
        <v>1022</v>
      </c>
      <c r="E125" s="7" t="s">
        <v>1023</v>
      </c>
      <c r="F125" s="7" t="s">
        <v>437</v>
      </c>
      <c r="G125" s="7" t="s">
        <v>438</v>
      </c>
      <c r="H125" s="7" t="s">
        <v>438</v>
      </c>
      <c r="I125" s="7" t="s">
        <v>563</v>
      </c>
      <c r="J125" s="7" t="s">
        <v>1089</v>
      </c>
      <c r="K125" s="10">
        <f>(19230/2106412)/(4377/1278220)</f>
        <v>2.666029962391264</v>
      </c>
    </row>
    <row r="126" spans="1:11" s="21" customFormat="1" x14ac:dyDescent="0.25">
      <c r="A126" s="19" t="s">
        <v>15</v>
      </c>
      <c r="B126" s="70">
        <v>0</v>
      </c>
      <c r="C126" s="7" t="s">
        <v>1129</v>
      </c>
      <c r="D126" s="19" t="s">
        <v>1014</v>
      </c>
      <c r="E126" s="19" t="s">
        <v>1005</v>
      </c>
      <c r="F126" s="19" t="s">
        <v>550</v>
      </c>
      <c r="G126" s="19" t="s">
        <v>400</v>
      </c>
      <c r="H126" s="19" t="s">
        <v>219</v>
      </c>
      <c r="I126" s="19" t="s">
        <v>16</v>
      </c>
      <c r="J126" s="19" t="s">
        <v>687</v>
      </c>
      <c r="K126" s="20">
        <f>50/47</f>
        <v>1.0638297872340425</v>
      </c>
    </row>
    <row r="127" spans="1:11" s="21" customFormat="1" x14ac:dyDescent="0.25">
      <c r="A127" s="19" t="s">
        <v>15</v>
      </c>
      <c r="B127" s="70">
        <v>0</v>
      </c>
      <c r="C127" s="7" t="s">
        <v>1129</v>
      </c>
      <c r="D127" s="19" t="s">
        <v>1014</v>
      </c>
      <c r="E127" s="19" t="s">
        <v>1005</v>
      </c>
      <c r="F127" s="19" t="s">
        <v>550</v>
      </c>
      <c r="G127" s="19" t="s">
        <v>400</v>
      </c>
      <c r="H127" s="19" t="s">
        <v>220</v>
      </c>
      <c r="I127" s="19" t="s">
        <v>16</v>
      </c>
      <c r="J127" s="19" t="s">
        <v>687</v>
      </c>
      <c r="K127" s="20">
        <f>45/52</f>
        <v>0.86538461538461542</v>
      </c>
    </row>
    <row r="128" spans="1:11" s="21" customFormat="1" x14ac:dyDescent="0.25">
      <c r="A128" s="19" t="s">
        <v>15</v>
      </c>
      <c r="B128" s="70">
        <v>0</v>
      </c>
      <c r="C128" s="7" t="s">
        <v>1129</v>
      </c>
      <c r="D128" s="19" t="s">
        <v>1014</v>
      </c>
      <c r="E128" s="19" t="s">
        <v>1005</v>
      </c>
      <c r="F128" s="19" t="s">
        <v>550</v>
      </c>
      <c r="G128" s="19" t="s">
        <v>400</v>
      </c>
      <c r="H128" s="19" t="s">
        <v>222</v>
      </c>
      <c r="I128" s="19" t="s">
        <v>16</v>
      </c>
      <c r="J128" s="19" t="s">
        <v>687</v>
      </c>
      <c r="K128" s="20">
        <f>52/47</f>
        <v>1.1063829787234043</v>
      </c>
    </row>
    <row r="129" spans="1:11" s="21" customFormat="1" x14ac:dyDescent="0.25">
      <c r="A129" s="19" t="s">
        <v>15</v>
      </c>
      <c r="B129" s="70">
        <v>0</v>
      </c>
      <c r="C129" s="7" t="s">
        <v>1129</v>
      </c>
      <c r="D129" s="19" t="s">
        <v>1014</v>
      </c>
      <c r="E129" s="19" t="s">
        <v>1005</v>
      </c>
      <c r="F129" s="19" t="s">
        <v>550</v>
      </c>
      <c r="G129" s="19" t="s">
        <v>278</v>
      </c>
      <c r="H129" s="19" t="s">
        <v>318</v>
      </c>
      <c r="I129" s="19" t="s">
        <v>16</v>
      </c>
      <c r="J129" s="19" t="s">
        <v>687</v>
      </c>
      <c r="K129" s="20">
        <f>19/51</f>
        <v>0.37254901960784315</v>
      </c>
    </row>
    <row r="130" spans="1:11" s="21" customFormat="1" x14ac:dyDescent="0.25">
      <c r="A130" s="19" t="s">
        <v>15</v>
      </c>
      <c r="B130" s="70">
        <v>0</v>
      </c>
      <c r="C130" s="7" t="s">
        <v>1129</v>
      </c>
      <c r="D130" s="19" t="s">
        <v>1014</v>
      </c>
      <c r="E130" s="19" t="s">
        <v>1005</v>
      </c>
      <c r="F130" s="19" t="s">
        <v>550</v>
      </c>
      <c r="G130" s="19" t="s">
        <v>1066</v>
      </c>
      <c r="H130" s="19" t="s">
        <v>215</v>
      </c>
      <c r="I130" s="19" t="s">
        <v>16</v>
      </c>
      <c r="J130" s="19" t="s">
        <v>687</v>
      </c>
      <c r="K130" s="20">
        <f>60/47</f>
        <v>1.2765957446808511</v>
      </c>
    </row>
    <row r="131" spans="1:11" s="21" customFormat="1" x14ac:dyDescent="0.25">
      <c r="A131" s="19" t="s">
        <v>15</v>
      </c>
      <c r="B131" s="70">
        <v>0</v>
      </c>
      <c r="C131" s="7" t="s">
        <v>1129</v>
      </c>
      <c r="D131" s="19" t="s">
        <v>1014</v>
      </c>
      <c r="E131" s="19" t="s">
        <v>1005</v>
      </c>
      <c r="F131" s="19" t="s">
        <v>551</v>
      </c>
      <c r="G131" s="19" t="s">
        <v>566</v>
      </c>
      <c r="H131" s="19" t="s">
        <v>1024</v>
      </c>
      <c r="I131" s="19" t="s">
        <v>16</v>
      </c>
      <c r="J131" s="19" t="s">
        <v>1039</v>
      </c>
      <c r="K131" s="20">
        <f>0.78/7.28</f>
        <v>0.10714285714285714</v>
      </c>
    </row>
    <row r="132" spans="1:11" s="21" customFormat="1" x14ac:dyDescent="0.25">
      <c r="A132" s="19" t="s">
        <v>15</v>
      </c>
      <c r="B132" s="70">
        <v>0</v>
      </c>
      <c r="C132" s="7" t="s">
        <v>1129</v>
      </c>
      <c r="D132" s="19" t="s">
        <v>1014</v>
      </c>
      <c r="E132" s="19" t="s">
        <v>1005</v>
      </c>
      <c r="F132" s="19" t="s">
        <v>551</v>
      </c>
      <c r="G132" s="19" t="s">
        <v>566</v>
      </c>
      <c r="H132" s="19" t="s">
        <v>1024</v>
      </c>
      <c r="I132" s="19" t="s">
        <v>16</v>
      </c>
      <c r="J132" s="19" t="s">
        <v>11</v>
      </c>
      <c r="K132" s="20">
        <v>0</v>
      </c>
    </row>
    <row r="133" spans="1:11" s="3" customFormat="1" x14ac:dyDescent="0.25">
      <c r="A133" s="12" t="s">
        <v>471</v>
      </c>
      <c r="B133" s="70">
        <v>1</v>
      </c>
      <c r="C133" s="53" t="s">
        <v>185</v>
      </c>
      <c r="D133" s="7" t="s">
        <v>1016</v>
      </c>
      <c r="E133" s="7" t="s">
        <v>1133</v>
      </c>
      <c r="F133" s="7" t="s">
        <v>373</v>
      </c>
      <c r="G133" s="7" t="s">
        <v>374</v>
      </c>
      <c r="H133" s="7" t="s">
        <v>374</v>
      </c>
      <c r="I133" s="7" t="s">
        <v>1008</v>
      </c>
      <c r="J133" s="7" t="s">
        <v>943</v>
      </c>
      <c r="K133" s="10">
        <f>(12/99)/(99/99)</f>
        <v>0.12121212121212122</v>
      </c>
    </row>
    <row r="134" spans="1:11" s="3" customFormat="1" x14ac:dyDescent="0.25">
      <c r="A134" s="12" t="s">
        <v>472</v>
      </c>
      <c r="B134" s="70">
        <v>1</v>
      </c>
      <c r="C134" s="7" t="s">
        <v>1129</v>
      </c>
      <c r="D134" s="7" t="s">
        <v>473</v>
      </c>
      <c r="E134" s="7" t="s">
        <v>474</v>
      </c>
      <c r="F134" s="7" t="s">
        <v>550</v>
      </c>
      <c r="G134" s="7" t="s">
        <v>399</v>
      </c>
      <c r="H134" s="7" t="s">
        <v>210</v>
      </c>
      <c r="I134" s="7" t="s">
        <v>475</v>
      </c>
      <c r="J134" s="7" t="s">
        <v>746</v>
      </c>
      <c r="K134" s="10">
        <f>(0/30)/(27/75)</f>
        <v>0</v>
      </c>
    </row>
    <row r="135" spans="1:11" s="3" customFormat="1" x14ac:dyDescent="0.25">
      <c r="A135" s="12" t="s">
        <v>191</v>
      </c>
      <c r="B135" s="70">
        <v>1</v>
      </c>
      <c r="C135" s="19" t="s">
        <v>185</v>
      </c>
      <c r="D135" s="7" t="s">
        <v>1022</v>
      </c>
      <c r="E135" s="7" t="s">
        <v>1023</v>
      </c>
      <c r="F135" s="7" t="s">
        <v>373</v>
      </c>
      <c r="G135" s="7" t="s">
        <v>374</v>
      </c>
      <c r="H135" s="7" t="s">
        <v>374</v>
      </c>
      <c r="I135" s="7" t="s">
        <v>1008</v>
      </c>
      <c r="J135" s="7" t="s">
        <v>1069</v>
      </c>
      <c r="K135" s="10">
        <f>AVERAGE(9/15,0/20)</f>
        <v>0.3</v>
      </c>
    </row>
    <row r="136" spans="1:11" s="21" customFormat="1" x14ac:dyDescent="0.25">
      <c r="A136" s="19" t="s">
        <v>356</v>
      </c>
      <c r="B136" s="70">
        <v>1</v>
      </c>
      <c r="C136" s="7" t="s">
        <v>1129</v>
      </c>
      <c r="D136" s="19" t="s">
        <v>74</v>
      </c>
      <c r="E136" s="19" t="s">
        <v>357</v>
      </c>
      <c r="F136" s="19" t="s">
        <v>551</v>
      </c>
      <c r="G136" s="19" t="s">
        <v>566</v>
      </c>
      <c r="H136" s="19" t="s">
        <v>944</v>
      </c>
      <c r="I136" s="19" t="s">
        <v>563</v>
      </c>
      <c r="J136" s="19" t="s">
        <v>358</v>
      </c>
      <c r="K136" s="20">
        <f>(0+2)/22</f>
        <v>9.0909090909090912E-2</v>
      </c>
    </row>
    <row r="137" spans="1:11" s="3" customFormat="1" x14ac:dyDescent="0.25">
      <c r="A137" s="12" t="s">
        <v>73</v>
      </c>
      <c r="B137" s="70">
        <v>1</v>
      </c>
      <c r="C137" s="7" t="s">
        <v>1129</v>
      </c>
      <c r="D137" s="7" t="s">
        <v>74</v>
      </c>
      <c r="E137" s="7" t="s">
        <v>1001</v>
      </c>
      <c r="F137" s="7" t="s">
        <v>551</v>
      </c>
      <c r="G137" s="7" t="s">
        <v>1002</v>
      </c>
      <c r="H137" s="7" t="s">
        <v>1002</v>
      </c>
      <c r="I137" s="7" t="s">
        <v>563</v>
      </c>
      <c r="J137" s="7" t="s">
        <v>396</v>
      </c>
      <c r="K137" s="10">
        <f>(0/(500+AVERAGE(420,500)+500+AVERAGE(420,500)))/((10+13)/(500+AVERAGE(420,500)+500+AVERAGE(420,500)))</f>
        <v>0</v>
      </c>
    </row>
    <row r="138" spans="1:11" s="3" customFormat="1" x14ac:dyDescent="0.25">
      <c r="A138" s="12" t="s">
        <v>192</v>
      </c>
      <c r="B138" s="70">
        <v>1</v>
      </c>
      <c r="C138" s="7" t="s">
        <v>1129</v>
      </c>
      <c r="D138" s="7" t="s">
        <v>1000</v>
      </c>
      <c r="E138" s="7" t="s">
        <v>1001</v>
      </c>
      <c r="F138" s="7" t="s">
        <v>551</v>
      </c>
      <c r="G138" s="7" t="s">
        <v>1002</v>
      </c>
      <c r="H138" s="7" t="s">
        <v>1002</v>
      </c>
      <c r="I138" s="7" t="s">
        <v>1008</v>
      </c>
      <c r="J138" s="7" t="s">
        <v>1040</v>
      </c>
      <c r="K138" s="10">
        <f>AVERAGE(0/AVERAGE(0,2,0,1,0,1,3,1),0/AVERAGE(0,1,0,2,0,2,0,2,1),0/AVERAGE(0,0,0,0,3,2,1,2))</f>
        <v>0</v>
      </c>
    </row>
    <row r="139" spans="1:11" s="3" customFormat="1" x14ac:dyDescent="0.25">
      <c r="A139" s="12" t="s">
        <v>367</v>
      </c>
      <c r="B139" s="70">
        <v>0</v>
      </c>
      <c r="C139" s="53" t="s">
        <v>548</v>
      </c>
      <c r="D139" s="7" t="s">
        <v>1022</v>
      </c>
      <c r="E139" s="7" t="s">
        <v>724</v>
      </c>
      <c r="F139" s="7" t="s">
        <v>373</v>
      </c>
      <c r="G139" s="7" t="s">
        <v>430</v>
      </c>
      <c r="H139" s="7" t="s">
        <v>430</v>
      </c>
      <c r="I139" s="7" t="s">
        <v>1008</v>
      </c>
      <c r="J139" s="7" t="s">
        <v>228</v>
      </c>
      <c r="K139" s="10">
        <f>AVERAGE(2.6,2.2)/AVERAGE(14.5,17.5)</f>
        <v>0.15000000000000002</v>
      </c>
    </row>
    <row r="140" spans="1:11" s="3" customFormat="1" x14ac:dyDescent="0.25">
      <c r="A140" s="12" t="s">
        <v>367</v>
      </c>
      <c r="B140" s="70">
        <v>0</v>
      </c>
      <c r="C140" s="19" t="s">
        <v>414</v>
      </c>
      <c r="D140" s="7" t="s">
        <v>1022</v>
      </c>
      <c r="E140" s="7" t="s">
        <v>724</v>
      </c>
      <c r="F140" s="7" t="s">
        <v>550</v>
      </c>
      <c r="G140" s="7" t="s">
        <v>400</v>
      </c>
      <c r="H140" s="7" t="s">
        <v>507</v>
      </c>
      <c r="I140" s="7" t="s">
        <v>1008</v>
      </c>
      <c r="J140" s="7" t="s">
        <v>228</v>
      </c>
      <c r="K140" s="10">
        <v>0</v>
      </c>
    </row>
    <row r="141" spans="1:11" s="3" customFormat="1" x14ac:dyDescent="0.25">
      <c r="A141" s="12" t="s">
        <v>432</v>
      </c>
      <c r="B141" s="70">
        <v>1</v>
      </c>
      <c r="C141" s="53" t="s">
        <v>548</v>
      </c>
      <c r="D141" s="7" t="s">
        <v>1022</v>
      </c>
      <c r="E141" s="7" t="s">
        <v>1005</v>
      </c>
      <c r="F141" s="7" t="s">
        <v>551</v>
      </c>
      <c r="G141" s="7" t="s">
        <v>401</v>
      </c>
      <c r="H141" s="7" t="s">
        <v>1007</v>
      </c>
      <c r="I141" s="7" t="s">
        <v>1008</v>
      </c>
      <c r="J141" s="7" t="s">
        <v>433</v>
      </c>
      <c r="K141" s="10">
        <f>AVERAGE(0,0,0)/AVERAGE(0,0.015,0.028)</f>
        <v>0</v>
      </c>
    </row>
    <row r="142" spans="1:11" s="3" customFormat="1" x14ac:dyDescent="0.25">
      <c r="A142" s="12" t="s">
        <v>432</v>
      </c>
      <c r="B142" s="70">
        <v>1</v>
      </c>
      <c r="C142" s="53" t="s">
        <v>548</v>
      </c>
      <c r="D142" s="7" t="s">
        <v>1000</v>
      </c>
      <c r="E142" s="7" t="s">
        <v>1005</v>
      </c>
      <c r="F142" s="7" t="s">
        <v>551</v>
      </c>
      <c r="G142" s="7" t="s">
        <v>401</v>
      </c>
      <c r="H142" s="7" t="s">
        <v>1007</v>
      </c>
      <c r="I142" s="7" t="s">
        <v>1008</v>
      </c>
      <c r="J142" s="7" t="s">
        <v>433</v>
      </c>
      <c r="K142" s="10">
        <f>AVERAGE(0.018,0.008,0)/AVERAGE(0.036,0.056,0.097)</f>
        <v>0.13756613756613756</v>
      </c>
    </row>
    <row r="143" spans="1:11" s="3" customFormat="1" x14ac:dyDescent="0.25">
      <c r="A143" s="12" t="s">
        <v>193</v>
      </c>
      <c r="B143" s="70">
        <v>1</v>
      </c>
      <c r="C143" s="53" t="s">
        <v>185</v>
      </c>
      <c r="D143" s="7" t="s">
        <v>1010</v>
      </c>
      <c r="E143" s="7" t="s">
        <v>1133</v>
      </c>
      <c r="F143" s="7" t="s">
        <v>550</v>
      </c>
      <c r="G143" s="7" t="s">
        <v>544</v>
      </c>
      <c r="H143" s="7" t="s">
        <v>320</v>
      </c>
      <c r="I143" s="7" t="s">
        <v>1008</v>
      </c>
      <c r="J143" s="7" t="s">
        <v>506</v>
      </c>
      <c r="K143" s="10">
        <f>AVERAGE(0/5,2/2,2/4)</f>
        <v>0.5</v>
      </c>
    </row>
    <row r="144" spans="1:11" s="3" customFormat="1" x14ac:dyDescent="0.25">
      <c r="A144" s="12" t="s">
        <v>194</v>
      </c>
      <c r="B144" s="70">
        <v>1</v>
      </c>
      <c r="C144" s="53" t="s">
        <v>548</v>
      </c>
      <c r="D144" s="7" t="s">
        <v>546</v>
      </c>
      <c r="E144" s="7" t="s">
        <v>561</v>
      </c>
      <c r="F144" s="7" t="s">
        <v>551</v>
      </c>
      <c r="G144" s="7" t="s">
        <v>401</v>
      </c>
      <c r="H144" s="7" t="s">
        <v>1007</v>
      </c>
      <c r="I144" s="7" t="s">
        <v>163</v>
      </c>
      <c r="J144" s="7" t="s">
        <v>545</v>
      </c>
      <c r="K144" s="10">
        <f>(1/8)/(9/9)</f>
        <v>0.125</v>
      </c>
    </row>
    <row r="145" spans="1:11" s="3" customFormat="1" x14ac:dyDescent="0.25">
      <c r="A145" s="12" t="s">
        <v>194</v>
      </c>
      <c r="B145" s="70">
        <v>1</v>
      </c>
      <c r="C145" s="53" t="s">
        <v>548</v>
      </c>
      <c r="D145" s="7" t="s">
        <v>1009</v>
      </c>
      <c r="E145" s="7" t="s">
        <v>561</v>
      </c>
      <c r="F145" s="7" t="s">
        <v>551</v>
      </c>
      <c r="G145" s="7" t="s">
        <v>401</v>
      </c>
      <c r="H145" s="7" t="s">
        <v>1007</v>
      </c>
      <c r="I145" s="7" t="s">
        <v>163</v>
      </c>
      <c r="J145" s="7" t="s">
        <v>545</v>
      </c>
      <c r="K145" s="10">
        <f>(1/8)/(9/9)</f>
        <v>0.125</v>
      </c>
    </row>
    <row r="146" spans="1:11" s="21" customFormat="1" x14ac:dyDescent="0.25">
      <c r="A146" s="18" t="s">
        <v>288</v>
      </c>
      <c r="B146" s="70">
        <v>1</v>
      </c>
      <c r="C146" s="18" t="s">
        <v>185</v>
      </c>
      <c r="D146" s="19" t="s">
        <v>1050</v>
      </c>
      <c r="E146" s="19" t="s">
        <v>1051</v>
      </c>
      <c r="F146" s="19" t="s">
        <v>373</v>
      </c>
      <c r="G146" s="19" t="s">
        <v>374</v>
      </c>
      <c r="H146" s="19" t="s">
        <v>374</v>
      </c>
      <c r="I146" s="19" t="s">
        <v>1052</v>
      </c>
      <c r="J146" s="19" t="s">
        <v>1064</v>
      </c>
      <c r="K146" s="20">
        <f>(1/4)/(4/4)</f>
        <v>0.25</v>
      </c>
    </row>
    <row r="147" spans="1:11" s="21" customFormat="1" x14ac:dyDescent="0.25">
      <c r="A147" s="19" t="s">
        <v>152</v>
      </c>
      <c r="B147" s="70">
        <v>1</v>
      </c>
      <c r="C147" s="19" t="s">
        <v>185</v>
      </c>
      <c r="D147" s="19" t="s">
        <v>1050</v>
      </c>
      <c r="E147" s="19" t="s">
        <v>1023</v>
      </c>
      <c r="F147" s="19" t="s">
        <v>550</v>
      </c>
      <c r="G147" s="19" t="s">
        <v>544</v>
      </c>
      <c r="H147" s="19" t="s">
        <v>945</v>
      </c>
      <c r="I147" s="19" t="s">
        <v>1052</v>
      </c>
      <c r="J147" s="19" t="s">
        <v>1064</v>
      </c>
      <c r="K147" s="20">
        <f>(16/54)/(4/57)</f>
        <v>4.2222222222222223</v>
      </c>
    </row>
    <row r="148" spans="1:11" s="3" customFormat="1" x14ac:dyDescent="0.25">
      <c r="A148" s="12" t="s">
        <v>477</v>
      </c>
      <c r="B148" s="70">
        <v>1</v>
      </c>
      <c r="C148" s="53" t="s">
        <v>548</v>
      </c>
      <c r="D148" s="7" t="s">
        <v>1016</v>
      </c>
      <c r="E148" s="7" t="s">
        <v>1133</v>
      </c>
      <c r="F148" s="7" t="s">
        <v>280</v>
      </c>
      <c r="G148" s="7" t="s">
        <v>281</v>
      </c>
      <c r="H148" s="7" t="s">
        <v>478</v>
      </c>
      <c r="I148" s="7" t="s">
        <v>1008</v>
      </c>
      <c r="J148" s="7" t="s">
        <v>986</v>
      </c>
      <c r="K148" s="10">
        <f>AVERAGE(42/AVERAGE(43.3,54,48.8),16.9/AVERAGE(17.7,82.5,77.2))</f>
        <v>0.57410890596315944</v>
      </c>
    </row>
    <row r="149" spans="1:11" s="3" customFormat="1" x14ac:dyDescent="0.25">
      <c r="A149" s="12" t="s">
        <v>477</v>
      </c>
      <c r="B149" s="70">
        <v>1</v>
      </c>
      <c r="C149" s="53" t="s">
        <v>548</v>
      </c>
      <c r="D149" s="7" t="s">
        <v>1016</v>
      </c>
      <c r="E149" s="7" t="s">
        <v>1133</v>
      </c>
      <c r="F149" s="7" t="s">
        <v>280</v>
      </c>
      <c r="G149" s="7" t="s">
        <v>479</v>
      </c>
      <c r="H149" s="7" t="s">
        <v>480</v>
      </c>
      <c r="I149" s="7" t="s">
        <v>1008</v>
      </c>
      <c r="J149" s="7" t="s">
        <v>986</v>
      </c>
      <c r="K149" s="10">
        <f>4/AVERAGE(3.6,8.8,8)</f>
        <v>0.58823529411764708</v>
      </c>
    </row>
    <row r="150" spans="1:11" s="3" customFormat="1" x14ac:dyDescent="0.25">
      <c r="A150" s="12" t="s">
        <v>477</v>
      </c>
      <c r="B150" s="70">
        <v>1</v>
      </c>
      <c r="C150" s="53" t="s">
        <v>548</v>
      </c>
      <c r="D150" s="7" t="s">
        <v>1016</v>
      </c>
      <c r="E150" s="7" t="s">
        <v>1133</v>
      </c>
      <c r="F150" s="7" t="s">
        <v>280</v>
      </c>
      <c r="G150" s="7" t="s">
        <v>479</v>
      </c>
      <c r="H150" s="7" t="s">
        <v>481</v>
      </c>
      <c r="I150" s="7" t="s">
        <v>1008</v>
      </c>
      <c r="J150" s="7" t="s">
        <v>986</v>
      </c>
      <c r="K150" s="10">
        <f>70.8/AVERAGE(68.5,72.5,73.8)</f>
        <v>0.98882681564245789</v>
      </c>
    </row>
    <row r="151" spans="1:11" s="3" customFormat="1" x14ac:dyDescent="0.25">
      <c r="A151" s="12" t="s">
        <v>477</v>
      </c>
      <c r="B151" s="70">
        <v>1</v>
      </c>
      <c r="C151" s="53" t="s">
        <v>548</v>
      </c>
      <c r="D151" s="7" t="s">
        <v>1016</v>
      </c>
      <c r="E151" s="7" t="s">
        <v>1133</v>
      </c>
      <c r="F151" s="7" t="s">
        <v>280</v>
      </c>
      <c r="G151" s="7" t="s">
        <v>479</v>
      </c>
      <c r="H151" s="7" t="s">
        <v>482</v>
      </c>
      <c r="I151" s="7" t="s">
        <v>1008</v>
      </c>
      <c r="J151" s="7" t="s">
        <v>986</v>
      </c>
      <c r="K151" s="10">
        <f>56.5/AVERAGE(56.5,42.4,42.9)</f>
        <v>1.1953455571227078</v>
      </c>
    </row>
    <row r="152" spans="1:11" s="3" customFormat="1" x14ac:dyDescent="0.25">
      <c r="A152" s="12" t="s">
        <v>477</v>
      </c>
      <c r="B152" s="70">
        <v>1</v>
      </c>
      <c r="C152" s="53" t="s">
        <v>548</v>
      </c>
      <c r="D152" s="7" t="s">
        <v>1016</v>
      </c>
      <c r="E152" s="7" t="s">
        <v>1133</v>
      </c>
      <c r="F152" s="7" t="s">
        <v>280</v>
      </c>
      <c r="G152" s="7" t="s">
        <v>483</v>
      </c>
      <c r="H152" s="7" t="s">
        <v>484</v>
      </c>
      <c r="I152" s="7" t="s">
        <v>1008</v>
      </c>
      <c r="J152" s="7" t="s">
        <v>986</v>
      </c>
      <c r="K152" s="10">
        <f>40.2/AVERAGE(40.3,41,40.7)</f>
        <v>0.98852459016393457</v>
      </c>
    </row>
    <row r="153" spans="1:11" s="3" customFormat="1" x14ac:dyDescent="0.25">
      <c r="A153" s="12" t="s">
        <v>117</v>
      </c>
      <c r="B153" s="70">
        <v>0</v>
      </c>
      <c r="C153" s="19" t="s">
        <v>185</v>
      </c>
      <c r="D153" s="7" t="s">
        <v>557</v>
      </c>
      <c r="E153" s="7" t="s">
        <v>1001</v>
      </c>
      <c r="F153" s="7" t="s">
        <v>551</v>
      </c>
      <c r="G153" s="7" t="s">
        <v>401</v>
      </c>
      <c r="H153" s="7" t="s">
        <v>1007</v>
      </c>
      <c r="I153" s="7" t="s">
        <v>1008</v>
      </c>
      <c r="J153" s="7" t="s">
        <v>396</v>
      </c>
      <c r="K153" s="10">
        <f>AVERAGE(19/70,0/15,30/300,66/490,0/30,0/40,4/70,0/25,5/65,500/700,115/175)</f>
        <v>0.1828742685885543</v>
      </c>
    </row>
    <row r="154" spans="1:11" s="3" customFormat="1" x14ac:dyDescent="0.25">
      <c r="A154" s="12" t="s">
        <v>114</v>
      </c>
      <c r="B154" s="70">
        <v>1</v>
      </c>
      <c r="C154" s="19" t="s">
        <v>185</v>
      </c>
      <c r="D154" s="7" t="s">
        <v>115</v>
      </c>
      <c r="E154" s="7" t="s">
        <v>1001</v>
      </c>
      <c r="F154" s="7" t="s">
        <v>551</v>
      </c>
      <c r="G154" s="7" t="s">
        <v>401</v>
      </c>
      <c r="H154" s="7" t="s">
        <v>1007</v>
      </c>
      <c r="I154" s="7" t="s">
        <v>1008</v>
      </c>
      <c r="J154" s="7" t="s">
        <v>396</v>
      </c>
      <c r="K154" s="10">
        <f>AVERAGE(0/34,2/9,((3+16+5)*100/(845+1209))/(2.5+1.4),(9+3)/33,1/6,(6+6+5)/(20+60),0/7)</f>
        <v>0.18066118264511641</v>
      </c>
    </row>
    <row r="155" spans="1:11" s="3" customFormat="1" x14ac:dyDescent="0.25">
      <c r="A155" s="12" t="s">
        <v>717</v>
      </c>
      <c r="B155" s="70">
        <v>1</v>
      </c>
      <c r="C155" s="53" t="s">
        <v>548</v>
      </c>
      <c r="D155" s="7" t="s">
        <v>552</v>
      </c>
      <c r="E155" s="7" t="s">
        <v>404</v>
      </c>
      <c r="F155" s="7" t="s">
        <v>437</v>
      </c>
      <c r="G155" s="7" t="s">
        <v>130</v>
      </c>
      <c r="H155" s="19" t="s">
        <v>337</v>
      </c>
      <c r="I155" s="7" t="s">
        <v>1006</v>
      </c>
      <c r="J155" s="7" t="s">
        <v>687</v>
      </c>
      <c r="K155" s="10">
        <f>AVERAGE(AVERAGE(0.9,6.5),AVERAGE(0.25,3.75))/AVERAGE(1.5,10.25)</f>
        <v>0.48510638297872344</v>
      </c>
    </row>
    <row r="156" spans="1:11" s="3" customFormat="1" x14ac:dyDescent="0.25">
      <c r="A156" s="12" t="s">
        <v>578</v>
      </c>
      <c r="B156" s="70">
        <v>0</v>
      </c>
      <c r="C156" s="19" t="s">
        <v>185</v>
      </c>
      <c r="D156" s="7" t="s">
        <v>1000</v>
      </c>
      <c r="E156" s="7" t="s">
        <v>404</v>
      </c>
      <c r="F156" s="19" t="s">
        <v>550</v>
      </c>
      <c r="G156" s="19" t="s">
        <v>398</v>
      </c>
      <c r="H156" s="7" t="s">
        <v>334</v>
      </c>
      <c r="I156" s="19" t="s">
        <v>1008</v>
      </c>
      <c r="J156" s="19" t="s">
        <v>687</v>
      </c>
      <c r="K156" s="10">
        <f>AVERAGE(8.52,8.66,8.78)/AVERAGE(1.95,1.34,5.94,7.56)</f>
        <v>2.0615445701806636</v>
      </c>
    </row>
    <row r="157" spans="1:11" s="3" customFormat="1" x14ac:dyDescent="0.25">
      <c r="A157" s="12" t="s">
        <v>578</v>
      </c>
      <c r="B157" s="70">
        <v>0</v>
      </c>
      <c r="C157" s="19" t="s">
        <v>185</v>
      </c>
      <c r="D157" s="7" t="s">
        <v>1000</v>
      </c>
      <c r="E157" s="7" t="s">
        <v>1001</v>
      </c>
      <c r="F157" s="19" t="s">
        <v>550</v>
      </c>
      <c r="G157" s="19" t="s">
        <v>398</v>
      </c>
      <c r="H157" s="7" t="s">
        <v>334</v>
      </c>
      <c r="I157" s="19" t="s">
        <v>1003</v>
      </c>
      <c r="J157" s="19" t="s">
        <v>396</v>
      </c>
      <c r="K157" s="10">
        <f>301/892</f>
        <v>0.33744394618834078</v>
      </c>
    </row>
    <row r="158" spans="1:11" s="3" customFormat="1" x14ac:dyDescent="0.25">
      <c r="A158" s="16" t="s">
        <v>162</v>
      </c>
      <c r="B158" s="70">
        <v>1</v>
      </c>
      <c r="C158" s="7" t="s">
        <v>1129</v>
      </c>
      <c r="D158" s="16" t="s">
        <v>1009</v>
      </c>
      <c r="E158" s="16" t="s">
        <v>1001</v>
      </c>
      <c r="F158" s="16" t="s">
        <v>551</v>
      </c>
      <c r="G158" s="16" t="s">
        <v>566</v>
      </c>
      <c r="H158" s="19" t="s">
        <v>1024</v>
      </c>
      <c r="I158" s="16" t="s">
        <v>163</v>
      </c>
      <c r="J158" s="16" t="s">
        <v>687</v>
      </c>
      <c r="K158" s="20">
        <f>AVERAGE(1.64/3.01,1.22/6.5)</f>
        <v>0.36627140301558908</v>
      </c>
    </row>
    <row r="159" spans="1:11" s="21" customFormat="1" x14ac:dyDescent="0.25">
      <c r="A159" s="18" t="s">
        <v>679</v>
      </c>
      <c r="B159" s="70">
        <v>0</v>
      </c>
      <c r="C159" s="18" t="s">
        <v>185</v>
      </c>
      <c r="D159" s="19" t="s">
        <v>680</v>
      </c>
      <c r="E159" s="19" t="s">
        <v>681</v>
      </c>
      <c r="F159" s="19" t="s">
        <v>280</v>
      </c>
      <c r="G159" s="19" t="s">
        <v>9</v>
      </c>
      <c r="H159" s="19" t="s">
        <v>456</v>
      </c>
      <c r="I159" s="19" t="s">
        <v>457</v>
      </c>
      <c r="J159" s="19" t="s">
        <v>946</v>
      </c>
      <c r="K159" s="20">
        <f>0/AVERAGE(1,3)</f>
        <v>0</v>
      </c>
    </row>
    <row r="160" spans="1:11" s="21" customFormat="1" x14ac:dyDescent="0.25">
      <c r="A160" s="18" t="s">
        <v>831</v>
      </c>
      <c r="B160" s="70">
        <v>1</v>
      </c>
      <c r="C160" s="18" t="s">
        <v>185</v>
      </c>
      <c r="D160" s="19" t="s">
        <v>1000</v>
      </c>
      <c r="E160" s="19" t="s">
        <v>636</v>
      </c>
      <c r="F160" s="19" t="s">
        <v>550</v>
      </c>
      <c r="G160" s="19" t="s">
        <v>398</v>
      </c>
      <c r="H160" s="7" t="s">
        <v>334</v>
      </c>
      <c r="I160" s="19" t="s">
        <v>1008</v>
      </c>
      <c r="J160" s="19" t="s">
        <v>638</v>
      </c>
      <c r="K160" s="20">
        <f>(2/5)/(5/5)</f>
        <v>0.4</v>
      </c>
    </row>
    <row r="161" spans="1:13" s="21" customFormat="1" x14ac:dyDescent="0.25">
      <c r="A161" s="18" t="s">
        <v>831</v>
      </c>
      <c r="B161" s="70">
        <v>1</v>
      </c>
      <c r="C161" s="18" t="s">
        <v>185</v>
      </c>
      <c r="D161" s="19" t="s">
        <v>1000</v>
      </c>
      <c r="E161" s="19" t="s">
        <v>637</v>
      </c>
      <c r="F161" s="19" t="s">
        <v>550</v>
      </c>
      <c r="G161" s="19" t="s">
        <v>398</v>
      </c>
      <c r="H161" s="7" t="s">
        <v>334</v>
      </c>
      <c r="I161" s="19" t="s">
        <v>1008</v>
      </c>
      <c r="J161" s="19" t="s">
        <v>638</v>
      </c>
      <c r="K161" s="20">
        <f>(3/6)/(6/6)</f>
        <v>0.5</v>
      </c>
    </row>
    <row r="162" spans="1:13" s="3" customFormat="1" x14ac:dyDescent="0.25">
      <c r="A162" s="12" t="s">
        <v>53</v>
      </c>
      <c r="B162" s="70">
        <v>1</v>
      </c>
      <c r="C162" s="18" t="s">
        <v>185</v>
      </c>
      <c r="D162" s="7" t="s">
        <v>1000</v>
      </c>
      <c r="E162" s="7" t="s">
        <v>1001</v>
      </c>
      <c r="F162" s="7" t="s">
        <v>550</v>
      </c>
      <c r="G162" s="7" t="s">
        <v>398</v>
      </c>
      <c r="H162" s="7" t="s">
        <v>334</v>
      </c>
      <c r="I162" s="7" t="s">
        <v>1003</v>
      </c>
      <c r="J162" s="7" t="s">
        <v>765</v>
      </c>
      <c r="K162" s="10">
        <f>AVERAGE(1.84,1.38,1.6)/12.72</f>
        <v>0.12631027253668764</v>
      </c>
      <c r="M162" s="54"/>
    </row>
    <row r="163" spans="1:13" s="3" customFormat="1" x14ac:dyDescent="0.25">
      <c r="A163" s="12" t="s">
        <v>666</v>
      </c>
      <c r="B163" s="70">
        <v>1</v>
      </c>
      <c r="C163" s="18" t="s">
        <v>185</v>
      </c>
      <c r="D163" s="7" t="s">
        <v>1016</v>
      </c>
      <c r="E163" s="7" t="s">
        <v>575</v>
      </c>
      <c r="F163" s="7" t="s">
        <v>437</v>
      </c>
      <c r="G163" s="7" t="s">
        <v>438</v>
      </c>
      <c r="H163" s="7" t="s">
        <v>438</v>
      </c>
      <c r="I163" s="7" t="s">
        <v>1003</v>
      </c>
      <c r="J163" s="7" t="s">
        <v>285</v>
      </c>
      <c r="K163" s="10">
        <f>AVERAGE(117,25,17,3)/AVERAGE(213,135,70,91)</f>
        <v>0.31827111984282908</v>
      </c>
      <c r="M163" s="54"/>
    </row>
    <row r="164" spans="1:13" s="3" customFormat="1" x14ac:dyDescent="0.25">
      <c r="A164" s="12" t="s">
        <v>54</v>
      </c>
      <c r="B164" s="70">
        <v>1</v>
      </c>
      <c r="C164" s="7" t="s">
        <v>1129</v>
      </c>
      <c r="D164" s="7" t="s">
        <v>1010</v>
      </c>
      <c r="E164" s="7" t="s">
        <v>1001</v>
      </c>
      <c r="F164" s="7" t="s">
        <v>551</v>
      </c>
      <c r="G164" s="7" t="s">
        <v>401</v>
      </c>
      <c r="H164" s="7" t="s">
        <v>1007</v>
      </c>
      <c r="I164" s="7" t="s">
        <v>1026</v>
      </c>
      <c r="J164" s="7" t="s">
        <v>396</v>
      </c>
      <c r="K164" s="10">
        <f>(AVERAGE(5,2,5,5)/624)/(AVERAGE(17-5,2-2,5-5,5-5)/624)</f>
        <v>1.4166666666666665</v>
      </c>
      <c r="M164" s="54"/>
    </row>
    <row r="165" spans="1:13" s="3" customFormat="1" x14ac:dyDescent="0.25">
      <c r="A165" s="12" t="s">
        <v>969</v>
      </c>
      <c r="B165" s="70">
        <v>1</v>
      </c>
      <c r="C165" s="18" t="s">
        <v>185</v>
      </c>
      <c r="D165" s="7" t="s">
        <v>1029</v>
      </c>
      <c r="E165" s="7" t="s">
        <v>1001</v>
      </c>
      <c r="F165" s="7" t="s">
        <v>550</v>
      </c>
      <c r="G165" s="7" t="s">
        <v>398</v>
      </c>
      <c r="H165" s="7" t="s">
        <v>334</v>
      </c>
      <c r="I165" s="7" t="s">
        <v>1026</v>
      </c>
      <c r="J165" s="7" t="s">
        <v>1077</v>
      </c>
      <c r="K165" s="10">
        <f>AVERAGE(AVERAGE(1*60/5,1*60/4)/(1*60/8),AVERAGE(1*60/6,1*60/5)/(1*60/14))</f>
        <v>2.1833333333333336</v>
      </c>
      <c r="M165" s="54"/>
    </row>
    <row r="166" spans="1:13" s="3" customFormat="1" x14ac:dyDescent="0.25">
      <c r="A166" s="12" t="s">
        <v>119</v>
      </c>
      <c r="B166" s="70">
        <v>1</v>
      </c>
      <c r="C166" s="19" t="s">
        <v>547</v>
      </c>
      <c r="D166" s="7" t="s">
        <v>120</v>
      </c>
      <c r="E166" s="7" t="s">
        <v>1001</v>
      </c>
      <c r="F166" s="7" t="s">
        <v>551</v>
      </c>
      <c r="G166" s="7" t="s">
        <v>401</v>
      </c>
      <c r="H166" s="7" t="s">
        <v>1007</v>
      </c>
      <c r="I166" s="7" t="s">
        <v>1026</v>
      </c>
      <c r="J166" s="7" t="s">
        <v>687</v>
      </c>
      <c r="K166" s="10">
        <f>AVERAGE(AVERAGE(2,3.6)/AVERAGE(14.8,16.5,13.2,6.2,13.7),3.8/AVERAGE(15.3,7,4.6,6.7,2.5,3.6),11.9/AVERAGE(4.1,11,8.4,9.1,14.8,12.3))</f>
        <v>0.66255950287706911</v>
      </c>
      <c r="M166" s="54"/>
    </row>
    <row r="167" spans="1:13" s="3" customFormat="1" x14ac:dyDescent="0.25">
      <c r="A167" s="12" t="s">
        <v>195</v>
      </c>
      <c r="B167" s="70">
        <v>1</v>
      </c>
      <c r="C167" s="53" t="s">
        <v>548</v>
      </c>
      <c r="D167" s="7" t="s">
        <v>1022</v>
      </c>
      <c r="E167" s="7" t="s">
        <v>724</v>
      </c>
      <c r="F167" s="7" t="s">
        <v>373</v>
      </c>
      <c r="G167" s="7" t="s">
        <v>430</v>
      </c>
      <c r="H167" s="7" t="s">
        <v>430</v>
      </c>
      <c r="I167" s="7" t="s">
        <v>1008</v>
      </c>
      <c r="J167" s="7" t="s">
        <v>69</v>
      </c>
      <c r="K167" s="10">
        <f>AVERAGE(7.8/AVERAGE(18.6,20.6,18,15.9,18.6),9.5/AVERAGE(41.1,55.3,47.4,18.4,48.4))</f>
        <v>0.32542297491406902</v>
      </c>
      <c r="M167" s="54"/>
    </row>
    <row r="168" spans="1:13" s="21" customFormat="1" x14ac:dyDescent="0.25">
      <c r="A168" s="18" t="s">
        <v>815</v>
      </c>
      <c r="B168" s="70">
        <v>1</v>
      </c>
      <c r="C168" s="18" t="s">
        <v>185</v>
      </c>
      <c r="D168" s="19" t="s">
        <v>1017</v>
      </c>
      <c r="E168" s="19" t="s">
        <v>1005</v>
      </c>
      <c r="F168" s="19" t="s">
        <v>280</v>
      </c>
      <c r="G168" s="19" t="s">
        <v>9</v>
      </c>
      <c r="H168" s="19" t="s">
        <v>20</v>
      </c>
      <c r="I168" s="19" t="s">
        <v>1033</v>
      </c>
      <c r="J168" s="19" t="s">
        <v>946</v>
      </c>
      <c r="K168" s="20">
        <f>AVERAGE(5.8/21.7,0/12.5,6/4.2)</f>
        <v>0.56528417818740395</v>
      </c>
      <c r="M168" s="59"/>
    </row>
    <row r="169" spans="1:13" s="21" customFormat="1" x14ac:dyDescent="0.25">
      <c r="A169" s="18" t="s">
        <v>815</v>
      </c>
      <c r="B169" s="70">
        <v>1</v>
      </c>
      <c r="C169" s="18" t="s">
        <v>185</v>
      </c>
      <c r="D169" s="19" t="s">
        <v>1017</v>
      </c>
      <c r="E169" s="19" t="s">
        <v>1005</v>
      </c>
      <c r="F169" s="19" t="s">
        <v>280</v>
      </c>
      <c r="G169" s="19" t="s">
        <v>9</v>
      </c>
      <c r="H169" s="19" t="s">
        <v>816</v>
      </c>
      <c r="I169" s="19" t="s">
        <v>1033</v>
      </c>
      <c r="J169" s="19" t="s">
        <v>946</v>
      </c>
      <c r="K169" s="20">
        <f>AVERAGE(0/12.5,0/4.2,0/5.6)</f>
        <v>0</v>
      </c>
      <c r="M169" s="59"/>
    </row>
    <row r="170" spans="1:13" s="21" customFormat="1" x14ac:dyDescent="0.25">
      <c r="A170" s="18" t="s">
        <v>832</v>
      </c>
      <c r="B170" s="70">
        <v>1</v>
      </c>
      <c r="C170" s="18" t="s">
        <v>185</v>
      </c>
      <c r="D170" s="19" t="s">
        <v>1061</v>
      </c>
      <c r="E170" s="19" t="s">
        <v>1018</v>
      </c>
      <c r="F170" s="19" t="s">
        <v>551</v>
      </c>
      <c r="G170" s="19" t="s">
        <v>1002</v>
      </c>
      <c r="H170" s="19" t="s">
        <v>1002</v>
      </c>
      <c r="I170" s="19" t="s">
        <v>555</v>
      </c>
      <c r="J170" s="19" t="s">
        <v>378</v>
      </c>
      <c r="K170" s="20">
        <f>(174/44)/(1919/33)</f>
        <v>6.8004168837936432E-2</v>
      </c>
      <c r="M170" s="59"/>
    </row>
    <row r="171" spans="1:13" s="36" customFormat="1" x14ac:dyDescent="0.25">
      <c r="A171" s="18" t="s">
        <v>1056</v>
      </c>
      <c r="B171" s="70">
        <v>1</v>
      </c>
      <c r="C171" s="18" t="s">
        <v>185</v>
      </c>
      <c r="D171" s="19" t="s">
        <v>1011</v>
      </c>
      <c r="E171" s="19" t="s">
        <v>404</v>
      </c>
      <c r="F171" s="19" t="s">
        <v>437</v>
      </c>
      <c r="G171" s="19" t="s">
        <v>438</v>
      </c>
      <c r="H171" s="19" t="s">
        <v>788</v>
      </c>
      <c r="I171" s="19" t="s">
        <v>1026</v>
      </c>
      <c r="J171" s="19" t="s">
        <v>687</v>
      </c>
      <c r="K171" s="20">
        <f>AVERAGE(AVERAGE(9.2,9.2,10,10.5,11,10.8)/9.7,AVERAGE(6,6.2,6.6,5.4,4.5,4.6)/5.2,AVERAGE(12.6,9.2,9.3,10.1,8.8,9)/10.3)</f>
        <v>1.0216518584674925</v>
      </c>
      <c r="L171" s="44"/>
      <c r="M171" s="60"/>
    </row>
    <row r="172" spans="1:13" s="3" customFormat="1" x14ac:dyDescent="0.25">
      <c r="A172" s="48" t="s">
        <v>55</v>
      </c>
      <c r="B172" s="70">
        <v>1</v>
      </c>
      <c r="C172" s="18" t="s">
        <v>185</v>
      </c>
      <c r="D172" s="7" t="s">
        <v>1010</v>
      </c>
      <c r="E172" s="7" t="s">
        <v>1133</v>
      </c>
      <c r="F172" s="7" t="s">
        <v>550</v>
      </c>
      <c r="G172" s="7" t="s">
        <v>398</v>
      </c>
      <c r="H172" s="7" t="s">
        <v>842</v>
      </c>
      <c r="I172" s="7" t="s">
        <v>379</v>
      </c>
      <c r="J172" s="7" t="s">
        <v>506</v>
      </c>
      <c r="K172" s="10">
        <f>AVERAGE(6/16,2/20)</f>
        <v>0.23749999999999999</v>
      </c>
      <c r="M172" s="54"/>
    </row>
    <row r="173" spans="1:13" s="3" customFormat="1" x14ac:dyDescent="0.25">
      <c r="A173" s="48" t="s">
        <v>55</v>
      </c>
      <c r="B173" s="70">
        <v>1</v>
      </c>
      <c r="C173" s="18" t="s">
        <v>185</v>
      </c>
      <c r="D173" s="7" t="s">
        <v>1016</v>
      </c>
      <c r="E173" s="7" t="s">
        <v>1133</v>
      </c>
      <c r="F173" s="7" t="s">
        <v>550</v>
      </c>
      <c r="G173" s="7" t="s">
        <v>398</v>
      </c>
      <c r="H173" s="7" t="s">
        <v>842</v>
      </c>
      <c r="I173" s="7" t="s">
        <v>379</v>
      </c>
      <c r="J173" s="7" t="s">
        <v>506</v>
      </c>
      <c r="K173" s="10">
        <f>AVERAGE(4/4,(26-14+6)/26)</f>
        <v>0.84615384615384615</v>
      </c>
    </row>
    <row r="174" spans="1:13" s="3" customFormat="1" x14ac:dyDescent="0.25">
      <c r="A174" s="48" t="s">
        <v>249</v>
      </c>
      <c r="B174" s="70">
        <v>1</v>
      </c>
      <c r="C174" s="7" t="s">
        <v>1129</v>
      </c>
      <c r="D174" s="19" t="s">
        <v>1010</v>
      </c>
      <c r="E174" s="19" t="s">
        <v>394</v>
      </c>
      <c r="F174" s="19" t="s">
        <v>551</v>
      </c>
      <c r="G174" s="16" t="s">
        <v>566</v>
      </c>
      <c r="H174" s="19" t="s">
        <v>566</v>
      </c>
      <c r="I174" s="19" t="s">
        <v>564</v>
      </c>
      <c r="J174" s="19" t="s">
        <v>796</v>
      </c>
      <c r="K174" s="10">
        <f>AVERAGE(1/1.5,4/5,3/1)</f>
        <v>1.4888888888888889</v>
      </c>
    </row>
    <row r="175" spans="1:13" s="3" customFormat="1" x14ac:dyDescent="0.25">
      <c r="A175" s="48" t="s">
        <v>249</v>
      </c>
      <c r="B175" s="70">
        <v>1</v>
      </c>
      <c r="C175" s="7" t="s">
        <v>1129</v>
      </c>
      <c r="D175" s="19" t="s">
        <v>1010</v>
      </c>
      <c r="E175" s="19" t="s">
        <v>637</v>
      </c>
      <c r="F175" s="19" t="s">
        <v>551</v>
      </c>
      <c r="G175" s="16" t="s">
        <v>566</v>
      </c>
      <c r="H175" s="19" t="s">
        <v>566</v>
      </c>
      <c r="I175" s="19" t="s">
        <v>564</v>
      </c>
      <c r="J175" s="19" t="s">
        <v>796</v>
      </c>
      <c r="K175" s="10">
        <f>8.8/5.7</f>
        <v>1.5438596491228072</v>
      </c>
    </row>
    <row r="176" spans="1:13" s="3" customFormat="1" x14ac:dyDescent="0.25">
      <c r="A176" s="48" t="s">
        <v>249</v>
      </c>
      <c r="B176" s="70">
        <v>1</v>
      </c>
      <c r="C176" s="7" t="s">
        <v>1129</v>
      </c>
      <c r="D176" s="7" t="s">
        <v>1010</v>
      </c>
      <c r="E176" s="7" t="s">
        <v>565</v>
      </c>
      <c r="F176" s="19" t="s">
        <v>551</v>
      </c>
      <c r="G176" s="16" t="s">
        <v>566</v>
      </c>
      <c r="H176" s="19" t="s">
        <v>566</v>
      </c>
      <c r="I176" s="19" t="s">
        <v>564</v>
      </c>
      <c r="J176" s="19" t="s">
        <v>250</v>
      </c>
      <c r="K176" s="10">
        <f>(4.4/(240-170))/(5.4/170)</f>
        <v>1.9788359788359788</v>
      </c>
    </row>
    <row r="177" spans="1:11" s="3" customFormat="1" x14ac:dyDescent="0.25">
      <c r="A177" s="48" t="s">
        <v>819</v>
      </c>
      <c r="B177" s="70">
        <v>1</v>
      </c>
      <c r="C177" s="7" t="s">
        <v>1129</v>
      </c>
      <c r="D177" s="7" t="s">
        <v>570</v>
      </c>
      <c r="E177" s="7" t="s">
        <v>761</v>
      </c>
      <c r="F177" s="19" t="s">
        <v>551</v>
      </c>
      <c r="G177" s="16" t="s">
        <v>1002</v>
      </c>
      <c r="H177" s="19" t="s">
        <v>1002</v>
      </c>
      <c r="I177" s="19" t="s">
        <v>1027</v>
      </c>
      <c r="J177" s="19" t="s">
        <v>646</v>
      </c>
      <c r="K177" s="10">
        <f>0/1</f>
        <v>0</v>
      </c>
    </row>
    <row r="178" spans="1:11" s="3" customFormat="1" x14ac:dyDescent="0.25">
      <c r="A178" s="48" t="s">
        <v>819</v>
      </c>
      <c r="B178" s="70">
        <v>1</v>
      </c>
      <c r="C178" s="7" t="s">
        <v>1129</v>
      </c>
      <c r="D178" s="7" t="s">
        <v>552</v>
      </c>
      <c r="E178" s="7" t="s">
        <v>647</v>
      </c>
      <c r="F178" s="19" t="s">
        <v>551</v>
      </c>
      <c r="G178" s="16" t="s">
        <v>1002</v>
      </c>
      <c r="H178" s="19" t="s">
        <v>1002</v>
      </c>
      <c r="I178" s="19" t="s">
        <v>1027</v>
      </c>
      <c r="J178" s="19" t="s">
        <v>646</v>
      </c>
      <c r="K178" s="10">
        <f>AVERAGE(0/15,0/2)</f>
        <v>0</v>
      </c>
    </row>
    <row r="179" spans="1:11" s="3" customFormat="1" x14ac:dyDescent="0.25">
      <c r="A179" s="48" t="s">
        <v>599</v>
      </c>
      <c r="B179" s="70">
        <v>0</v>
      </c>
      <c r="C179" s="19" t="s">
        <v>185</v>
      </c>
      <c r="D179" s="7" t="s">
        <v>568</v>
      </c>
      <c r="E179" s="7" t="s">
        <v>1005</v>
      </c>
      <c r="F179" s="19" t="s">
        <v>551</v>
      </c>
      <c r="G179" s="16" t="s">
        <v>1002</v>
      </c>
      <c r="H179" s="19" t="s">
        <v>1002</v>
      </c>
      <c r="I179" s="19" t="s">
        <v>1015</v>
      </c>
      <c r="J179" s="7" t="s">
        <v>24</v>
      </c>
      <c r="K179" s="10">
        <f>0.43/AVERAGE(4.29,2.37,3.5,4.17,5,3.52)</f>
        <v>0.11291028446389498</v>
      </c>
    </row>
    <row r="180" spans="1:11" s="3" customFormat="1" x14ac:dyDescent="0.25">
      <c r="A180" s="48" t="s">
        <v>599</v>
      </c>
      <c r="B180" s="70">
        <v>0</v>
      </c>
      <c r="C180" s="7" t="s">
        <v>1129</v>
      </c>
      <c r="D180" s="7" t="s">
        <v>568</v>
      </c>
      <c r="E180" s="7" t="s">
        <v>1005</v>
      </c>
      <c r="F180" s="19" t="s">
        <v>551</v>
      </c>
      <c r="G180" s="16" t="s">
        <v>1002</v>
      </c>
      <c r="H180" s="19" t="s">
        <v>1002</v>
      </c>
      <c r="I180" s="19" t="s">
        <v>1015</v>
      </c>
      <c r="J180" s="19" t="s">
        <v>1167</v>
      </c>
      <c r="K180" s="10">
        <f>1.86/AVERAGE(7.4,42.9)</f>
        <v>7.3956262425447325E-2</v>
      </c>
    </row>
    <row r="181" spans="1:11" s="21" customFormat="1" x14ac:dyDescent="0.25">
      <c r="A181" s="56" t="s">
        <v>490</v>
      </c>
      <c r="B181" s="70">
        <v>1</v>
      </c>
      <c r="C181" s="19" t="s">
        <v>185</v>
      </c>
      <c r="D181" s="57" t="s">
        <v>1000</v>
      </c>
      <c r="E181" s="57" t="s">
        <v>492</v>
      </c>
      <c r="F181" s="19" t="s">
        <v>550</v>
      </c>
      <c r="G181" s="19" t="s">
        <v>398</v>
      </c>
      <c r="H181" s="19" t="s">
        <v>491</v>
      </c>
      <c r="I181" s="19" t="s">
        <v>1008</v>
      </c>
      <c r="J181" s="19" t="s">
        <v>22</v>
      </c>
      <c r="K181" s="58">
        <f>AVERAGE(96,85,95,99,90,89,94,95,91,88)/AVERAGE(90,86,95,98,100,92,88,97,96,98)</f>
        <v>0.98085106382978726</v>
      </c>
    </row>
    <row r="182" spans="1:11" s="21" customFormat="1" x14ac:dyDescent="0.25">
      <c r="A182" s="56" t="s">
        <v>490</v>
      </c>
      <c r="B182" s="70">
        <v>1</v>
      </c>
      <c r="C182" s="19" t="s">
        <v>185</v>
      </c>
      <c r="D182" s="57" t="s">
        <v>1000</v>
      </c>
      <c r="E182" s="57" t="s">
        <v>493</v>
      </c>
      <c r="F182" s="19" t="s">
        <v>550</v>
      </c>
      <c r="G182" s="19" t="s">
        <v>398</v>
      </c>
      <c r="H182" s="19" t="s">
        <v>491</v>
      </c>
      <c r="I182" s="19" t="s">
        <v>1008</v>
      </c>
      <c r="J182" s="19" t="s">
        <v>22</v>
      </c>
      <c r="K182" s="58">
        <f>AVERAGE(AVERAGE(23,20),AVERAGE(85,100),AVERAGE(40,51),AVERAGE(68,48),AVERAGE(25,14),AVERAGE(72,50),AVERAGE(53,53),AVERAGE(40,45),AVERAGE(8,5),AVERAGE(66,60))/AVERAGE(100,99,100,99,99,100,100,100,100,99)</f>
        <v>0.46485943775100402</v>
      </c>
    </row>
    <row r="183" spans="1:11" s="63" customFormat="1" x14ac:dyDescent="0.25">
      <c r="A183" s="56" t="s">
        <v>495</v>
      </c>
      <c r="B183" s="70">
        <v>1</v>
      </c>
      <c r="C183" s="18" t="s">
        <v>185</v>
      </c>
      <c r="D183" s="61" t="s">
        <v>1000</v>
      </c>
      <c r="E183" s="61" t="s">
        <v>493</v>
      </c>
      <c r="F183" s="18" t="s">
        <v>550</v>
      </c>
      <c r="G183" s="18" t="s">
        <v>398</v>
      </c>
      <c r="H183" s="18" t="s">
        <v>497</v>
      </c>
      <c r="I183" s="18" t="s">
        <v>1008</v>
      </c>
      <c r="J183" s="18" t="s">
        <v>799</v>
      </c>
      <c r="K183" s="62">
        <f>AVERAGE(100,100,70.5,67.4,37.9)/AVERAGE(100,100)</f>
        <v>0.75159999999999993</v>
      </c>
    </row>
    <row r="184" spans="1:11" s="63" customFormat="1" x14ac:dyDescent="0.25">
      <c r="A184" s="56" t="s">
        <v>495</v>
      </c>
      <c r="B184" s="70">
        <v>1</v>
      </c>
      <c r="C184" s="7" t="s">
        <v>1129</v>
      </c>
      <c r="D184" s="61" t="s">
        <v>1000</v>
      </c>
      <c r="E184" s="61" t="s">
        <v>493</v>
      </c>
      <c r="F184" s="18" t="s">
        <v>550</v>
      </c>
      <c r="G184" s="18" t="s">
        <v>398</v>
      </c>
      <c r="H184" s="18" t="s">
        <v>496</v>
      </c>
      <c r="I184" s="18" t="s">
        <v>1008</v>
      </c>
      <c r="J184" s="18" t="s">
        <v>498</v>
      </c>
      <c r="K184" s="62">
        <f>AVERAGE(13.3/46.7,4.2/61.2,4.2/74.5,9.7/88.5)</f>
        <v>0.12985109588909524</v>
      </c>
    </row>
    <row r="185" spans="1:11" s="63" customFormat="1" x14ac:dyDescent="0.25">
      <c r="A185" s="56" t="s">
        <v>495</v>
      </c>
      <c r="B185" s="70">
        <v>1</v>
      </c>
      <c r="C185" s="7" t="s">
        <v>1129</v>
      </c>
      <c r="D185" s="61" t="s">
        <v>1000</v>
      </c>
      <c r="E185" s="61" t="s">
        <v>493</v>
      </c>
      <c r="F185" s="18" t="s">
        <v>550</v>
      </c>
      <c r="G185" s="18" t="s">
        <v>398</v>
      </c>
      <c r="H185" s="18" t="s">
        <v>497</v>
      </c>
      <c r="I185" s="18" t="s">
        <v>1008</v>
      </c>
      <c r="J185" s="18" t="s">
        <v>498</v>
      </c>
      <c r="K185" s="62">
        <f>AVERAGE(33.3/46.7,33.9/61.2,17.6/74.5,4.2/88.5)</f>
        <v>0.38767072624635512</v>
      </c>
    </row>
    <row r="186" spans="1:11" s="3" customFormat="1" x14ac:dyDescent="0.25">
      <c r="A186" s="48" t="s">
        <v>860</v>
      </c>
      <c r="B186" s="70">
        <v>1</v>
      </c>
      <c r="C186" s="18" t="s">
        <v>185</v>
      </c>
      <c r="D186" s="7" t="s">
        <v>1016</v>
      </c>
      <c r="E186" s="7" t="s">
        <v>1133</v>
      </c>
      <c r="F186" s="7" t="s">
        <v>373</v>
      </c>
      <c r="G186" s="7" t="s">
        <v>374</v>
      </c>
      <c r="H186" s="7" t="s">
        <v>374</v>
      </c>
      <c r="I186" s="7" t="s">
        <v>1008</v>
      </c>
      <c r="J186" s="7" t="s">
        <v>506</v>
      </c>
      <c r="K186" s="10">
        <f>16/29</f>
        <v>0.55172413793103448</v>
      </c>
    </row>
    <row r="187" spans="1:11" s="3" customFormat="1" x14ac:dyDescent="0.25">
      <c r="A187" s="48" t="s">
        <v>122</v>
      </c>
      <c r="B187" s="70">
        <v>0</v>
      </c>
      <c r="C187" s="18" t="s">
        <v>185</v>
      </c>
      <c r="D187" s="7" t="s">
        <v>557</v>
      </c>
      <c r="E187" s="7" t="s">
        <v>1023</v>
      </c>
      <c r="F187" s="19" t="s">
        <v>551</v>
      </c>
      <c r="G187" s="19" t="s">
        <v>401</v>
      </c>
      <c r="H187" s="19" t="s">
        <v>1007</v>
      </c>
      <c r="I187" s="19" t="s">
        <v>1141</v>
      </c>
      <c r="J187" s="19" t="s">
        <v>123</v>
      </c>
      <c r="K187" s="10">
        <f>3/14</f>
        <v>0.21428571428571427</v>
      </c>
    </row>
    <row r="188" spans="1:11" s="3" customFormat="1" x14ac:dyDescent="0.25">
      <c r="A188" s="48" t="s">
        <v>630</v>
      </c>
      <c r="B188" s="70">
        <v>1</v>
      </c>
      <c r="C188" s="18" t="s">
        <v>185</v>
      </c>
      <c r="D188" s="7" t="s">
        <v>1000</v>
      </c>
      <c r="E188" s="7" t="s">
        <v>381</v>
      </c>
      <c r="F188" s="7" t="s">
        <v>550</v>
      </c>
      <c r="G188" s="7" t="s">
        <v>398</v>
      </c>
      <c r="H188" s="7" t="s">
        <v>334</v>
      </c>
      <c r="I188" s="7" t="s">
        <v>1008</v>
      </c>
      <c r="J188" s="7" t="s">
        <v>396</v>
      </c>
      <c r="K188" s="10">
        <f>AVERAGE(AVERAGE(1,1,1,5)/10,AVERAGE(1,1,1,5)/10,AVERAGE(1,1,1,5)/10)</f>
        <v>0.20000000000000004</v>
      </c>
    </row>
    <row r="189" spans="1:11" s="3" customFormat="1" x14ac:dyDescent="0.25">
      <c r="A189" s="48" t="s">
        <v>630</v>
      </c>
      <c r="B189" s="70">
        <v>1</v>
      </c>
      <c r="C189" s="18" t="s">
        <v>185</v>
      </c>
      <c r="D189" s="7" t="s">
        <v>1000</v>
      </c>
      <c r="E189" s="7" t="s">
        <v>381</v>
      </c>
      <c r="F189" s="7" t="s">
        <v>373</v>
      </c>
      <c r="G189" s="7" t="s">
        <v>389</v>
      </c>
      <c r="H189" s="7" t="s">
        <v>388</v>
      </c>
      <c r="I189" s="7" t="s">
        <v>1008</v>
      </c>
      <c r="J189" s="7" t="s">
        <v>396</v>
      </c>
      <c r="K189" s="10">
        <f>AVERAGE(AVERAGE(5,5)/10,AVERAGE(5,5)/10,AVERAGE(5,5)/10)</f>
        <v>0.5</v>
      </c>
    </row>
    <row r="190" spans="1:11" s="3" customFormat="1" x14ac:dyDescent="0.25">
      <c r="A190" s="48" t="s">
        <v>581</v>
      </c>
      <c r="B190" s="70">
        <v>0</v>
      </c>
      <c r="C190" s="18" t="s">
        <v>1129</v>
      </c>
      <c r="D190" s="7" t="s">
        <v>1000</v>
      </c>
      <c r="E190" s="7" t="s">
        <v>404</v>
      </c>
      <c r="F190" s="19" t="s">
        <v>437</v>
      </c>
      <c r="G190" s="19" t="s">
        <v>582</v>
      </c>
      <c r="H190" s="19" t="s">
        <v>582</v>
      </c>
      <c r="I190" s="19" t="s">
        <v>1008</v>
      </c>
      <c r="J190" s="19" t="s">
        <v>583</v>
      </c>
      <c r="K190" s="10">
        <f>AVERAGE(3.7/9.75,3/8.15)</f>
        <v>0.37379266949819101</v>
      </c>
    </row>
    <row r="191" spans="1:11" s="3" customFormat="1" x14ac:dyDescent="0.25">
      <c r="A191" s="12" t="s">
        <v>56</v>
      </c>
      <c r="B191" s="70">
        <v>1</v>
      </c>
      <c r="C191" s="7" t="s">
        <v>1129</v>
      </c>
      <c r="D191" s="7" t="s">
        <v>570</v>
      </c>
      <c r="E191" s="7" t="s">
        <v>397</v>
      </c>
      <c r="F191" s="7" t="s">
        <v>551</v>
      </c>
      <c r="G191" s="7" t="s">
        <v>1002</v>
      </c>
      <c r="H191" s="7" t="s">
        <v>1002</v>
      </c>
      <c r="I191" s="7" t="s">
        <v>1027</v>
      </c>
      <c r="J191" s="7" t="s">
        <v>746</v>
      </c>
      <c r="K191" s="10">
        <v>0</v>
      </c>
    </row>
    <row r="192" spans="1:11" s="3" customFormat="1" x14ac:dyDescent="0.25">
      <c r="A192" s="12" t="s">
        <v>57</v>
      </c>
      <c r="B192" s="70">
        <v>1</v>
      </c>
      <c r="C192" s="7" t="s">
        <v>1129</v>
      </c>
      <c r="D192" s="7" t="s">
        <v>1022</v>
      </c>
      <c r="E192" s="7" t="s">
        <v>1018</v>
      </c>
      <c r="F192" s="7" t="s">
        <v>551</v>
      </c>
      <c r="G192" s="7" t="s">
        <v>1021</v>
      </c>
      <c r="H192" s="7" t="s">
        <v>1021</v>
      </c>
      <c r="I192" s="7" t="s">
        <v>1028</v>
      </c>
      <c r="J192" s="7" t="s">
        <v>796</v>
      </c>
      <c r="K192" s="10">
        <f>2.9/6.66</f>
        <v>0.43543543543543539</v>
      </c>
    </row>
    <row r="193" spans="1:11" s="3" customFormat="1" x14ac:dyDescent="0.25">
      <c r="A193" s="48" t="s">
        <v>253</v>
      </c>
      <c r="B193" s="70">
        <v>1</v>
      </c>
      <c r="C193" s="18" t="s">
        <v>185</v>
      </c>
      <c r="D193" s="7" t="s">
        <v>1022</v>
      </c>
      <c r="E193" s="7" t="s">
        <v>252</v>
      </c>
      <c r="F193" s="7" t="s">
        <v>550</v>
      </c>
      <c r="G193" s="7" t="s">
        <v>400</v>
      </c>
      <c r="H193" s="7" t="s">
        <v>507</v>
      </c>
      <c r="I193" s="7" t="s">
        <v>1028</v>
      </c>
      <c r="J193" s="7" t="s">
        <v>382</v>
      </c>
      <c r="K193" s="10">
        <f>(AVERAGE(0,0,0)/AVERAGE(23,157,165))/(AVERAGE(14,49,11,35)/AVERAGE(33,58,25,62))</f>
        <v>0</v>
      </c>
    </row>
    <row r="194" spans="1:11" s="3" customFormat="1" x14ac:dyDescent="0.25">
      <c r="A194" s="48" t="s">
        <v>253</v>
      </c>
      <c r="B194" s="70">
        <v>1</v>
      </c>
      <c r="C194" s="18" t="s">
        <v>185</v>
      </c>
      <c r="D194" s="7" t="s">
        <v>1010</v>
      </c>
      <c r="E194" s="7" t="s">
        <v>252</v>
      </c>
      <c r="F194" s="7" t="s">
        <v>550</v>
      </c>
      <c r="G194" s="7" t="s">
        <v>400</v>
      </c>
      <c r="H194" s="7" t="s">
        <v>507</v>
      </c>
      <c r="I194" s="7" t="s">
        <v>1028</v>
      </c>
      <c r="J194" s="7" t="s">
        <v>382</v>
      </c>
      <c r="K194" s="10">
        <f>(AVERAGE(7,21,0)/AVERAGE(23,157,165))/(AVERAGE(0,35,2,13)/AVERAGE(33,58,25,62))</f>
        <v>0.28892753623188405</v>
      </c>
    </row>
    <row r="195" spans="1:11" s="3" customFormat="1" x14ac:dyDescent="0.25">
      <c r="A195" s="48" t="s">
        <v>820</v>
      </c>
      <c r="B195" s="70">
        <v>1</v>
      </c>
      <c r="C195" s="18" t="s">
        <v>185</v>
      </c>
      <c r="D195" s="7" t="s">
        <v>680</v>
      </c>
      <c r="E195" s="7" t="s">
        <v>649</v>
      </c>
      <c r="F195" s="7" t="s">
        <v>551</v>
      </c>
      <c r="G195" s="7" t="s">
        <v>566</v>
      </c>
      <c r="H195" s="7" t="s">
        <v>650</v>
      </c>
      <c r="I195" s="7" t="s">
        <v>613</v>
      </c>
      <c r="J195" s="7" t="s">
        <v>793</v>
      </c>
      <c r="K195" s="10">
        <v>0</v>
      </c>
    </row>
    <row r="196" spans="1:11" s="21" customFormat="1" x14ac:dyDescent="0.25">
      <c r="A196" s="19" t="s">
        <v>256</v>
      </c>
      <c r="B196" s="70">
        <v>1</v>
      </c>
      <c r="C196" s="18" t="s">
        <v>185</v>
      </c>
      <c r="D196" s="19" t="s">
        <v>680</v>
      </c>
      <c r="E196" s="19" t="s">
        <v>1023</v>
      </c>
      <c r="F196" s="19" t="s">
        <v>183</v>
      </c>
      <c r="G196" s="19" t="s">
        <v>257</v>
      </c>
      <c r="H196" s="19" t="s">
        <v>962</v>
      </c>
      <c r="I196" s="19" t="s">
        <v>613</v>
      </c>
      <c r="J196" s="19" t="s">
        <v>1039</v>
      </c>
      <c r="K196" s="20">
        <f>16.88/135.36</f>
        <v>0.12470449172576831</v>
      </c>
    </row>
    <row r="197" spans="1:11" s="21" customFormat="1" x14ac:dyDescent="0.25">
      <c r="A197" s="19" t="s">
        <v>256</v>
      </c>
      <c r="B197" s="70">
        <v>1</v>
      </c>
      <c r="C197" s="18" t="s">
        <v>185</v>
      </c>
      <c r="D197" s="19" t="s">
        <v>680</v>
      </c>
      <c r="E197" s="19" t="s">
        <v>1023</v>
      </c>
      <c r="F197" s="19" t="s">
        <v>183</v>
      </c>
      <c r="G197" s="19" t="s">
        <v>257</v>
      </c>
      <c r="H197" s="19" t="s">
        <v>962</v>
      </c>
      <c r="I197" s="19" t="s">
        <v>613</v>
      </c>
      <c r="J197" s="19" t="s">
        <v>688</v>
      </c>
      <c r="K197" s="20">
        <f>3.91/47.45</f>
        <v>8.2402528977871439E-2</v>
      </c>
    </row>
    <row r="198" spans="1:11" s="21" customFormat="1" x14ac:dyDescent="0.25">
      <c r="A198" s="19" t="s">
        <v>256</v>
      </c>
      <c r="B198" s="70">
        <v>1</v>
      </c>
      <c r="C198" s="18" t="s">
        <v>185</v>
      </c>
      <c r="D198" s="19" t="s">
        <v>680</v>
      </c>
      <c r="E198" s="19" t="s">
        <v>1023</v>
      </c>
      <c r="F198" s="19" t="s">
        <v>183</v>
      </c>
      <c r="G198" s="19" t="s">
        <v>257</v>
      </c>
      <c r="H198" s="19" t="s">
        <v>962</v>
      </c>
      <c r="I198" s="19" t="s">
        <v>613</v>
      </c>
      <c r="J198" s="19" t="s">
        <v>689</v>
      </c>
      <c r="K198" s="20">
        <f>0.91/7</f>
        <v>0.13</v>
      </c>
    </row>
    <row r="199" spans="1:11" s="3" customFormat="1" x14ac:dyDescent="0.25">
      <c r="A199" s="12" t="s">
        <v>1135</v>
      </c>
      <c r="B199" s="70">
        <v>0</v>
      </c>
      <c r="C199" s="7" t="s">
        <v>1129</v>
      </c>
      <c r="D199" s="7" t="s">
        <v>1000</v>
      </c>
      <c r="E199" s="7" t="s">
        <v>1001</v>
      </c>
      <c r="F199" s="7" t="s">
        <v>550</v>
      </c>
      <c r="G199" s="7" t="s">
        <v>398</v>
      </c>
      <c r="H199" s="7" t="s">
        <v>335</v>
      </c>
      <c r="I199" s="7" t="s">
        <v>1008</v>
      </c>
      <c r="J199" s="7" t="s">
        <v>396</v>
      </c>
      <c r="K199" s="10">
        <f>AVERAGE((7+2+5)/(3+11),(1+2+4)/(14+62),21/(25+17))</f>
        <v>0.5307017543859649</v>
      </c>
    </row>
    <row r="200" spans="1:11" s="3" customFormat="1" x14ac:dyDescent="0.25">
      <c r="A200" s="12" t="s">
        <v>58</v>
      </c>
      <c r="B200" s="70">
        <v>1</v>
      </c>
      <c r="C200" s="18" t="s">
        <v>185</v>
      </c>
      <c r="D200" s="7" t="s">
        <v>1000</v>
      </c>
      <c r="E200" s="7" t="s">
        <v>405</v>
      </c>
      <c r="F200" s="7" t="s">
        <v>550</v>
      </c>
      <c r="G200" s="7" t="s">
        <v>398</v>
      </c>
      <c r="H200" s="7" t="s">
        <v>334</v>
      </c>
      <c r="I200" s="7" t="s">
        <v>1003</v>
      </c>
      <c r="J200" s="7" t="s">
        <v>396</v>
      </c>
      <c r="K200" s="10">
        <f>(78/11043)/(80/11501)</f>
        <v>1.0154373811464277</v>
      </c>
    </row>
    <row r="201" spans="1:11" s="3" customFormat="1" x14ac:dyDescent="0.25">
      <c r="A201" s="12" t="s">
        <v>58</v>
      </c>
      <c r="B201" s="70">
        <v>1</v>
      </c>
      <c r="C201" s="18" t="s">
        <v>185</v>
      </c>
      <c r="D201" s="7" t="s">
        <v>1000</v>
      </c>
      <c r="E201" s="7" t="s">
        <v>404</v>
      </c>
      <c r="F201" s="7" t="s">
        <v>550</v>
      </c>
      <c r="G201" s="7" t="s">
        <v>398</v>
      </c>
      <c r="H201" s="7" t="s">
        <v>334</v>
      </c>
      <c r="I201" s="7" t="s">
        <v>1003</v>
      </c>
      <c r="J201" s="7" t="s">
        <v>396</v>
      </c>
      <c r="K201" s="10">
        <f>(223/9531)/(802/10906)</f>
        <v>0.31816874768278131</v>
      </c>
    </row>
    <row r="202" spans="1:11" s="3" customFormat="1" x14ac:dyDescent="0.25">
      <c r="A202" s="12" t="s">
        <v>667</v>
      </c>
      <c r="B202" s="70">
        <v>1</v>
      </c>
      <c r="C202" s="18" t="s">
        <v>548</v>
      </c>
      <c r="D202" s="7" t="s">
        <v>1016</v>
      </c>
      <c r="E202" s="7" t="s">
        <v>1133</v>
      </c>
      <c r="F202" s="7" t="s">
        <v>280</v>
      </c>
      <c r="G202" s="7" t="s">
        <v>281</v>
      </c>
      <c r="H202" s="7" t="s">
        <v>282</v>
      </c>
      <c r="I202" s="7" t="s">
        <v>1008</v>
      </c>
      <c r="J202" s="7" t="s">
        <v>987</v>
      </c>
      <c r="K202" s="10">
        <f>AVERAGE(AVERAGE(0.08,0.03,0.06,0.01)/AVERAGE(0.02,0.07,0.06,0.09,0.07,0.05,0.1,0.01),AVERAGE(0.12,0.06,0.09,0.01)/AVERAGE(0.13,0.08,0.02,0.09,0.14,0.2,0.43,0.04))</f>
        <v>0.63076633402372428</v>
      </c>
    </row>
    <row r="203" spans="1:11" s="3" customFormat="1" x14ac:dyDescent="0.25">
      <c r="A203" s="12" t="s">
        <v>82</v>
      </c>
      <c r="B203" s="70">
        <v>1</v>
      </c>
      <c r="C203" s="7" t="s">
        <v>1129</v>
      </c>
      <c r="D203" s="7" t="s">
        <v>1010</v>
      </c>
      <c r="E203" s="7" t="s">
        <v>1133</v>
      </c>
      <c r="F203" s="7" t="s">
        <v>550</v>
      </c>
      <c r="G203" s="7" t="s">
        <v>278</v>
      </c>
      <c r="H203" s="7" t="s">
        <v>445</v>
      </c>
      <c r="I203" s="7" t="s">
        <v>1008</v>
      </c>
      <c r="J203" s="7" t="s">
        <v>446</v>
      </c>
      <c r="K203" s="10">
        <f>AVERAGE(0.21,0,0,0)/AVERAGE(0.33,0,0.07,0.14)</f>
        <v>0.38888888888888884</v>
      </c>
    </row>
    <row r="204" spans="1:11" s="3" customFormat="1" x14ac:dyDescent="0.25">
      <c r="A204" s="12" t="s">
        <v>59</v>
      </c>
      <c r="B204" s="70">
        <v>1</v>
      </c>
      <c r="C204" s="18" t="s">
        <v>185</v>
      </c>
      <c r="D204" s="7" t="s">
        <v>1010</v>
      </c>
      <c r="E204" s="7" t="s">
        <v>1001</v>
      </c>
      <c r="F204" s="7" t="s">
        <v>280</v>
      </c>
      <c r="G204" s="7" t="s">
        <v>402</v>
      </c>
      <c r="H204" s="7" t="s">
        <v>1031</v>
      </c>
      <c r="I204" s="7" t="s">
        <v>1032</v>
      </c>
      <c r="J204" s="7" t="s">
        <v>396</v>
      </c>
      <c r="K204" s="10">
        <f>(245/95200)/(400/133800)</f>
        <v>0.86084558823529411</v>
      </c>
    </row>
    <row r="205" spans="1:11" s="3" customFormat="1" x14ac:dyDescent="0.25">
      <c r="A205" s="12" t="s">
        <v>196</v>
      </c>
      <c r="B205" s="70">
        <v>1</v>
      </c>
      <c r="C205" s="7" t="s">
        <v>1129</v>
      </c>
      <c r="D205" s="7" t="s">
        <v>1050</v>
      </c>
      <c r="E205" s="7" t="s">
        <v>1133</v>
      </c>
      <c r="F205" s="7" t="s">
        <v>551</v>
      </c>
      <c r="G205" s="7" t="s">
        <v>401</v>
      </c>
      <c r="H205" s="7" t="s">
        <v>1007</v>
      </c>
      <c r="I205" s="7" t="s">
        <v>225</v>
      </c>
      <c r="J205" s="7" t="s">
        <v>226</v>
      </c>
      <c r="K205" s="10">
        <f>8/76.2</f>
        <v>0.10498687664041995</v>
      </c>
    </row>
    <row r="206" spans="1:11" s="21" customFormat="1" x14ac:dyDescent="0.25">
      <c r="A206" s="19" t="s">
        <v>259</v>
      </c>
      <c r="B206" s="70">
        <v>1</v>
      </c>
      <c r="C206" s="7" t="s">
        <v>1129</v>
      </c>
      <c r="D206" s="19" t="s">
        <v>1014</v>
      </c>
      <c r="E206" s="19" t="s">
        <v>1018</v>
      </c>
      <c r="F206" s="19" t="s">
        <v>551</v>
      </c>
      <c r="G206" s="19" t="s">
        <v>1021</v>
      </c>
      <c r="H206" s="19" t="s">
        <v>260</v>
      </c>
      <c r="I206" s="19" t="s">
        <v>261</v>
      </c>
      <c r="J206" s="19" t="s">
        <v>796</v>
      </c>
      <c r="K206" s="20">
        <f>1.67567567567568/2.5</f>
        <v>0.67027027027027208</v>
      </c>
    </row>
    <row r="207" spans="1:11" s="21" customFormat="1" x14ac:dyDescent="0.25">
      <c r="A207" s="19" t="s">
        <v>259</v>
      </c>
      <c r="B207" s="70">
        <v>1</v>
      </c>
      <c r="C207" s="7" t="s">
        <v>1129</v>
      </c>
      <c r="D207" s="19" t="s">
        <v>1014</v>
      </c>
      <c r="E207" s="19" t="s">
        <v>1018</v>
      </c>
      <c r="F207" s="19" t="s">
        <v>551</v>
      </c>
      <c r="G207" s="19" t="s">
        <v>401</v>
      </c>
      <c r="H207" s="19" t="s">
        <v>1007</v>
      </c>
      <c r="I207" s="19" t="s">
        <v>261</v>
      </c>
      <c r="J207" s="19" t="s">
        <v>796</v>
      </c>
      <c r="K207" s="20">
        <f>1.52941176470588/3</f>
        <v>0.50980392156862664</v>
      </c>
    </row>
    <row r="208" spans="1:11" s="21" customFormat="1" x14ac:dyDescent="0.25">
      <c r="A208" s="19" t="s">
        <v>589</v>
      </c>
      <c r="B208" s="70">
        <v>1</v>
      </c>
      <c r="C208" s="19" t="s">
        <v>414</v>
      </c>
      <c r="D208" s="19" t="s">
        <v>1014</v>
      </c>
      <c r="E208" s="19" t="s">
        <v>1005</v>
      </c>
      <c r="F208" s="19" t="s">
        <v>550</v>
      </c>
      <c r="G208" s="19" t="s">
        <v>399</v>
      </c>
      <c r="H208" s="19" t="s">
        <v>211</v>
      </c>
      <c r="I208" s="19" t="s">
        <v>261</v>
      </c>
      <c r="J208" s="19" t="s">
        <v>881</v>
      </c>
      <c r="K208" s="20">
        <f>(AVERAGE(0,0,0,0,0,0,0,0,0,0,0,0)/202)/(AVERAGE(1,1,0,1,0,2,1,0,0,2,1,0)/258)</f>
        <v>0</v>
      </c>
    </row>
    <row r="209" spans="1:13" s="21" customFormat="1" x14ac:dyDescent="0.25">
      <c r="A209" s="19" t="s">
        <v>95</v>
      </c>
      <c r="B209" s="70">
        <v>1</v>
      </c>
      <c r="C209" s="7" t="s">
        <v>1129</v>
      </c>
      <c r="D209" s="19" t="s">
        <v>1022</v>
      </c>
      <c r="E209" s="19" t="s">
        <v>1005</v>
      </c>
      <c r="F209" s="19" t="s">
        <v>551</v>
      </c>
      <c r="G209" s="19" t="s">
        <v>1021</v>
      </c>
      <c r="H209" s="19" t="s">
        <v>1021</v>
      </c>
      <c r="I209" s="19" t="s">
        <v>1052</v>
      </c>
      <c r="J209" s="19" t="s">
        <v>396</v>
      </c>
      <c r="K209" s="20">
        <f>0/41</f>
        <v>0</v>
      </c>
    </row>
    <row r="210" spans="1:13" s="21" customFormat="1" x14ac:dyDescent="0.25">
      <c r="A210" s="19" t="s">
        <v>95</v>
      </c>
      <c r="B210" s="70">
        <v>1</v>
      </c>
      <c r="C210" s="7" t="s">
        <v>1129</v>
      </c>
      <c r="D210" s="19" t="s">
        <v>1022</v>
      </c>
      <c r="E210" s="19" t="s">
        <v>1001</v>
      </c>
      <c r="F210" s="19" t="s">
        <v>551</v>
      </c>
      <c r="G210" s="19" t="s">
        <v>1021</v>
      </c>
      <c r="H210" s="19" t="s">
        <v>1021</v>
      </c>
      <c r="I210" s="19" t="s">
        <v>1052</v>
      </c>
      <c r="J210" s="19" t="s">
        <v>396</v>
      </c>
      <c r="K210" s="20">
        <f>0/219</f>
        <v>0</v>
      </c>
    </row>
    <row r="211" spans="1:13" s="21" customFormat="1" x14ac:dyDescent="0.25">
      <c r="A211" s="19" t="s">
        <v>876</v>
      </c>
      <c r="B211" s="70">
        <v>1</v>
      </c>
      <c r="C211" s="19" t="s">
        <v>414</v>
      </c>
      <c r="D211" s="19" t="s">
        <v>1014</v>
      </c>
      <c r="E211" s="19" t="s">
        <v>877</v>
      </c>
      <c r="F211" s="19" t="s">
        <v>551</v>
      </c>
      <c r="G211" s="19" t="s">
        <v>566</v>
      </c>
      <c r="H211" s="19" t="s">
        <v>814</v>
      </c>
      <c r="I211" s="19" t="s">
        <v>1036</v>
      </c>
      <c r="J211" s="19" t="s">
        <v>882</v>
      </c>
      <c r="K211" s="20">
        <f>AVERAGE(0,0)/AVERAGE(1,0)</f>
        <v>0</v>
      </c>
    </row>
    <row r="212" spans="1:13" s="21" customFormat="1" x14ac:dyDescent="0.25">
      <c r="A212" s="19" t="s">
        <v>876</v>
      </c>
      <c r="B212" s="70">
        <v>1</v>
      </c>
      <c r="C212" s="19" t="s">
        <v>414</v>
      </c>
      <c r="D212" s="19" t="s">
        <v>1020</v>
      </c>
      <c r="E212" s="19" t="s">
        <v>877</v>
      </c>
      <c r="F212" s="19" t="s">
        <v>551</v>
      </c>
      <c r="G212" s="19" t="s">
        <v>566</v>
      </c>
      <c r="H212" s="19" t="s">
        <v>814</v>
      </c>
      <c r="I212" s="19" t="s">
        <v>1036</v>
      </c>
      <c r="J212" s="19" t="s">
        <v>882</v>
      </c>
      <c r="K212" s="20">
        <f>0.4/0.43</f>
        <v>0.93023255813953498</v>
      </c>
    </row>
    <row r="213" spans="1:13" s="21" customFormat="1" x14ac:dyDescent="0.25">
      <c r="A213" s="19" t="s">
        <v>876</v>
      </c>
      <c r="B213" s="70">
        <v>1</v>
      </c>
      <c r="C213" s="19" t="s">
        <v>414</v>
      </c>
      <c r="D213" s="19" t="s">
        <v>1061</v>
      </c>
      <c r="E213" s="19" t="s">
        <v>877</v>
      </c>
      <c r="F213" s="19" t="s">
        <v>551</v>
      </c>
      <c r="G213" s="19" t="s">
        <v>566</v>
      </c>
      <c r="H213" s="19" t="s">
        <v>814</v>
      </c>
      <c r="I213" s="19" t="s">
        <v>1036</v>
      </c>
      <c r="J213" s="19" t="s">
        <v>882</v>
      </c>
      <c r="K213" s="20">
        <f>1/AVERAGE(1,1)</f>
        <v>1</v>
      </c>
    </row>
    <row r="214" spans="1:13" s="21" customFormat="1" x14ac:dyDescent="0.25">
      <c r="A214" s="19" t="s">
        <v>876</v>
      </c>
      <c r="B214" s="70">
        <v>1</v>
      </c>
      <c r="C214" s="19" t="s">
        <v>414</v>
      </c>
      <c r="D214" s="19" t="s">
        <v>1025</v>
      </c>
      <c r="E214" s="19" t="s">
        <v>877</v>
      </c>
      <c r="F214" s="19" t="s">
        <v>551</v>
      </c>
      <c r="G214" s="19" t="s">
        <v>566</v>
      </c>
      <c r="H214" s="19" t="s">
        <v>814</v>
      </c>
      <c r="I214" s="19" t="s">
        <v>1036</v>
      </c>
      <c r="J214" s="19" t="s">
        <v>882</v>
      </c>
      <c r="K214" s="20">
        <f>0/1</f>
        <v>0</v>
      </c>
      <c r="L214" s="45"/>
      <c r="M214" s="45"/>
    </row>
    <row r="215" spans="1:13" s="3" customFormat="1" x14ac:dyDescent="0.25">
      <c r="A215" s="12" t="s">
        <v>169</v>
      </c>
      <c r="B215" s="70">
        <v>1</v>
      </c>
      <c r="C215" s="7" t="s">
        <v>1129</v>
      </c>
      <c r="D215" s="7" t="s">
        <v>1010</v>
      </c>
      <c r="E215" s="7" t="s">
        <v>1001</v>
      </c>
      <c r="F215" s="7" t="s">
        <v>550</v>
      </c>
      <c r="G215" s="7" t="s">
        <v>278</v>
      </c>
      <c r="H215" s="7" t="s">
        <v>319</v>
      </c>
      <c r="I215" s="7" t="s">
        <v>1026</v>
      </c>
      <c r="J215" s="7" t="s">
        <v>396</v>
      </c>
      <c r="K215" s="10">
        <f>(10/(10+9))/(7/(7+27))</f>
        <v>2.5563909774436091</v>
      </c>
      <c r="L215" s="44"/>
      <c r="M215" s="44"/>
    </row>
    <row r="216" spans="1:13" s="3" customFormat="1" x14ac:dyDescent="0.25">
      <c r="A216" s="12" t="s">
        <v>802</v>
      </c>
      <c r="B216" s="70">
        <v>1</v>
      </c>
      <c r="C216" s="7" t="s">
        <v>1129</v>
      </c>
      <c r="D216" s="7" t="s">
        <v>570</v>
      </c>
      <c r="E216" s="7" t="s">
        <v>474</v>
      </c>
      <c r="F216" s="7" t="s">
        <v>550</v>
      </c>
      <c r="G216" s="7" t="s">
        <v>399</v>
      </c>
      <c r="H216" s="7" t="s">
        <v>214</v>
      </c>
      <c r="I216" s="7" t="s">
        <v>1027</v>
      </c>
      <c r="J216" s="7" t="s">
        <v>746</v>
      </c>
      <c r="K216" s="10">
        <f>AVERAGE(0,0)/AVERAGE(AVERAGE(2.6,2.7),AVERAGE(2.5,2.8))</f>
        <v>0</v>
      </c>
      <c r="L216" s="44"/>
      <c r="M216" s="44"/>
    </row>
    <row r="217" spans="1:13" s="3" customFormat="1" x14ac:dyDescent="0.25">
      <c r="A217" s="12" t="s">
        <v>950</v>
      </c>
      <c r="B217" s="70">
        <v>1</v>
      </c>
      <c r="C217" s="7" t="s">
        <v>1129</v>
      </c>
      <c r="D217" s="7" t="s">
        <v>1020</v>
      </c>
      <c r="E217" s="7" t="s">
        <v>1018</v>
      </c>
      <c r="F217" s="7" t="s">
        <v>551</v>
      </c>
      <c r="G217" s="7" t="s">
        <v>566</v>
      </c>
      <c r="H217" s="19" t="s">
        <v>383</v>
      </c>
      <c r="I217" s="7" t="s">
        <v>1033</v>
      </c>
      <c r="J217" s="7" t="s">
        <v>384</v>
      </c>
      <c r="K217" s="10">
        <f>18.2/50.7</f>
        <v>0.35897435897435892</v>
      </c>
      <c r="L217" s="44"/>
      <c r="M217" s="44"/>
    </row>
    <row r="218" spans="1:13" s="3" customFormat="1" x14ac:dyDescent="0.25">
      <c r="A218" s="12" t="s">
        <v>950</v>
      </c>
      <c r="B218" s="70">
        <v>1</v>
      </c>
      <c r="C218" s="7" t="s">
        <v>1129</v>
      </c>
      <c r="D218" s="7" t="s">
        <v>1020</v>
      </c>
      <c r="E218" s="7" t="s">
        <v>1018</v>
      </c>
      <c r="F218" s="7" t="s">
        <v>551</v>
      </c>
      <c r="G218" s="7" t="s">
        <v>566</v>
      </c>
      <c r="H218" s="19" t="s">
        <v>385</v>
      </c>
      <c r="I218" s="7" t="s">
        <v>1033</v>
      </c>
      <c r="J218" s="7" t="s">
        <v>384</v>
      </c>
      <c r="K218" s="10">
        <f>77.3/38</f>
        <v>2.0342105263157895</v>
      </c>
      <c r="L218" s="44"/>
      <c r="M218" s="44"/>
    </row>
    <row r="219" spans="1:13" s="3" customFormat="1" x14ac:dyDescent="0.25">
      <c r="A219" s="12" t="s">
        <v>950</v>
      </c>
      <c r="B219" s="70">
        <v>1</v>
      </c>
      <c r="C219" s="7" t="s">
        <v>1129</v>
      </c>
      <c r="D219" s="7" t="s">
        <v>1014</v>
      </c>
      <c r="E219" s="7" t="s">
        <v>1018</v>
      </c>
      <c r="F219" s="7" t="s">
        <v>551</v>
      </c>
      <c r="G219" s="7" t="s">
        <v>566</v>
      </c>
      <c r="H219" s="19" t="s">
        <v>383</v>
      </c>
      <c r="I219" s="7" t="s">
        <v>1033</v>
      </c>
      <c r="J219" s="7" t="s">
        <v>384</v>
      </c>
      <c r="K219" s="10">
        <f>77.3/32.4</f>
        <v>2.3858024691358026</v>
      </c>
    </row>
    <row r="220" spans="1:13" s="3" customFormat="1" x14ac:dyDescent="0.25">
      <c r="A220" s="12" t="s">
        <v>950</v>
      </c>
      <c r="B220" s="70">
        <v>1</v>
      </c>
      <c r="C220" s="7" t="s">
        <v>1129</v>
      </c>
      <c r="D220" s="7" t="s">
        <v>1014</v>
      </c>
      <c r="E220" s="7" t="s">
        <v>1018</v>
      </c>
      <c r="F220" s="7" t="s">
        <v>551</v>
      </c>
      <c r="G220" s="7" t="s">
        <v>566</v>
      </c>
      <c r="H220" s="19" t="s">
        <v>385</v>
      </c>
      <c r="I220" s="7" t="s">
        <v>1033</v>
      </c>
      <c r="J220" s="7" t="s">
        <v>384</v>
      </c>
      <c r="K220" s="10">
        <f>22.7/54.9</f>
        <v>0.4134790528233151</v>
      </c>
    </row>
    <row r="221" spans="1:13" s="3" customFormat="1" x14ac:dyDescent="0.25">
      <c r="A221" s="12" t="s">
        <v>1136</v>
      </c>
      <c r="B221" s="70">
        <v>0</v>
      </c>
      <c r="C221" s="53" t="s">
        <v>548</v>
      </c>
      <c r="D221" s="7" t="s">
        <v>1010</v>
      </c>
      <c r="E221" s="7" t="s">
        <v>1001</v>
      </c>
      <c r="F221" s="7" t="s">
        <v>551</v>
      </c>
      <c r="G221" s="7" t="s">
        <v>1021</v>
      </c>
      <c r="H221" s="7" t="s">
        <v>1021</v>
      </c>
      <c r="I221" s="7" t="s">
        <v>1026</v>
      </c>
      <c r="J221" s="7" t="s">
        <v>303</v>
      </c>
      <c r="K221" s="10">
        <f>(2/933)/(419/2256)</f>
        <v>1.1541796806053304E-2</v>
      </c>
    </row>
    <row r="222" spans="1:13" s="3" customFormat="1" x14ac:dyDescent="0.25">
      <c r="A222" s="12" t="s">
        <v>230</v>
      </c>
      <c r="B222" s="70">
        <v>1</v>
      </c>
      <c r="C222" s="7" t="s">
        <v>1129</v>
      </c>
      <c r="D222" s="7" t="s">
        <v>1017</v>
      </c>
      <c r="E222" s="7" t="s">
        <v>1005</v>
      </c>
      <c r="F222" s="7" t="s">
        <v>551</v>
      </c>
      <c r="G222" s="7" t="s">
        <v>1021</v>
      </c>
      <c r="H222" s="7" t="s">
        <v>1021</v>
      </c>
      <c r="I222" s="7" t="s">
        <v>145</v>
      </c>
      <c r="J222" s="7" t="s">
        <v>246</v>
      </c>
      <c r="K222" s="10">
        <f>AVERAGE(10.6,6.2,11.2,4.4,1.4,2.5,1,2.4)/AVERAGE(5,2.5,2.3,9.3)</f>
        <v>1.039267015706806</v>
      </c>
    </row>
    <row r="223" spans="1:13" s="3" customFormat="1" ht="26.4" x14ac:dyDescent="0.25">
      <c r="A223" s="16" t="s">
        <v>973</v>
      </c>
      <c r="B223" s="70">
        <v>0</v>
      </c>
      <c r="C223" s="19" t="s">
        <v>185</v>
      </c>
      <c r="D223" s="16" t="s">
        <v>680</v>
      </c>
      <c r="E223" s="16" t="s">
        <v>1018</v>
      </c>
      <c r="F223" s="16" t="s">
        <v>551</v>
      </c>
      <c r="G223" s="16" t="s">
        <v>566</v>
      </c>
      <c r="H223" s="19" t="s">
        <v>1098</v>
      </c>
      <c r="I223" s="16" t="s">
        <v>1052</v>
      </c>
      <c r="J223" s="16" t="s">
        <v>396</v>
      </c>
      <c r="K223" s="17">
        <f>0/70</f>
        <v>0</v>
      </c>
    </row>
    <row r="224" spans="1:13" s="21" customFormat="1" x14ac:dyDescent="0.25">
      <c r="A224" s="19" t="s">
        <v>1125</v>
      </c>
      <c r="B224" s="70">
        <v>0</v>
      </c>
      <c r="C224" s="19" t="s">
        <v>185</v>
      </c>
      <c r="D224" s="19" t="s">
        <v>680</v>
      </c>
      <c r="E224" s="19" t="s">
        <v>1023</v>
      </c>
      <c r="F224" s="19" t="s">
        <v>280</v>
      </c>
      <c r="G224" s="19" t="s">
        <v>9</v>
      </c>
      <c r="H224" s="19" t="s">
        <v>456</v>
      </c>
      <c r="I224" s="19" t="s">
        <v>613</v>
      </c>
      <c r="J224" s="19" t="s">
        <v>11</v>
      </c>
      <c r="K224" s="20">
        <v>0</v>
      </c>
    </row>
    <row r="225" spans="1:14" s="3" customFormat="1" x14ac:dyDescent="0.25">
      <c r="A225" s="12" t="s">
        <v>352</v>
      </c>
      <c r="B225" s="70">
        <v>1</v>
      </c>
      <c r="C225" s="19" t="s">
        <v>414</v>
      </c>
      <c r="D225" s="7" t="s">
        <v>1022</v>
      </c>
      <c r="E225" s="7" t="s">
        <v>386</v>
      </c>
      <c r="F225" s="7" t="s">
        <v>551</v>
      </c>
      <c r="G225" s="7" t="s">
        <v>354</v>
      </c>
      <c r="H225" s="7" t="s">
        <v>353</v>
      </c>
      <c r="I225" s="7" t="s">
        <v>1008</v>
      </c>
      <c r="J225" s="7" t="s">
        <v>428</v>
      </c>
      <c r="K225" s="10">
        <f>(0/1)/(2/2)</f>
        <v>0</v>
      </c>
    </row>
    <row r="226" spans="1:14" s="4" customFormat="1" x14ac:dyDescent="0.25">
      <c r="A226" s="12" t="s">
        <v>864</v>
      </c>
      <c r="B226" s="70">
        <v>1</v>
      </c>
      <c r="C226" s="18" t="s">
        <v>414</v>
      </c>
      <c r="D226" s="52" t="s">
        <v>1034</v>
      </c>
      <c r="E226" s="7" t="s">
        <v>404</v>
      </c>
      <c r="F226" s="52" t="s">
        <v>550</v>
      </c>
      <c r="G226" s="52" t="s">
        <v>398</v>
      </c>
      <c r="H226" s="7" t="s">
        <v>866</v>
      </c>
      <c r="I226" s="52" t="s">
        <v>1026</v>
      </c>
      <c r="J226" s="52" t="s">
        <v>687</v>
      </c>
      <c r="K226" s="69">
        <f>AVERAGE(3.2/7.6,6.3/12.7)</f>
        <v>0.4585578118524658</v>
      </c>
    </row>
    <row r="227" spans="1:14" s="4" customFormat="1" x14ac:dyDescent="0.25">
      <c r="A227" s="12" t="s">
        <v>867</v>
      </c>
      <c r="B227" s="70">
        <v>1</v>
      </c>
      <c r="C227" s="18" t="s">
        <v>185</v>
      </c>
      <c r="D227" s="52" t="s">
        <v>1034</v>
      </c>
      <c r="E227" s="7" t="s">
        <v>404</v>
      </c>
      <c r="F227" s="52" t="s">
        <v>550</v>
      </c>
      <c r="G227" s="52" t="s">
        <v>398</v>
      </c>
      <c r="H227" s="7" t="s">
        <v>866</v>
      </c>
      <c r="I227" s="52" t="s">
        <v>1026</v>
      </c>
      <c r="J227" s="52" t="s">
        <v>396</v>
      </c>
      <c r="K227" s="69">
        <f>AVERAGE((294/(294+1052))/(89/(89+1289)),(258/(258+1034))/(257/(257+1047)),(150/(150+1405))/(138/(138+1365)),(332/(332+1351))/(307/(307+1235)))</f>
        <v>1.6091401810953603</v>
      </c>
    </row>
    <row r="228" spans="1:14" s="4" customFormat="1" x14ac:dyDescent="0.25">
      <c r="A228" s="12" t="s">
        <v>867</v>
      </c>
      <c r="B228" s="70">
        <v>1</v>
      </c>
      <c r="C228" s="18" t="s">
        <v>185</v>
      </c>
      <c r="D228" s="52" t="s">
        <v>1034</v>
      </c>
      <c r="E228" s="7" t="s">
        <v>405</v>
      </c>
      <c r="F228" s="52" t="s">
        <v>550</v>
      </c>
      <c r="G228" s="52" t="s">
        <v>398</v>
      </c>
      <c r="H228" s="7" t="s">
        <v>866</v>
      </c>
      <c r="I228" s="52" t="s">
        <v>1026</v>
      </c>
      <c r="J228" s="52" t="s">
        <v>396</v>
      </c>
      <c r="K228" s="69">
        <f>AVERAGE((16/(16+745))/(24/(24+791)),(9/(9+828))/(16/(16+893)),(19/(19+711))/(32/(32+681)),(29/(29+911))/(31/(31+956)))</f>
        <v>0.72176023731164218</v>
      </c>
    </row>
    <row r="229" spans="1:14" s="3" customFormat="1" x14ac:dyDescent="0.25">
      <c r="A229" s="12" t="s">
        <v>951</v>
      </c>
      <c r="B229" s="70">
        <v>1</v>
      </c>
      <c r="C229" s="7" t="s">
        <v>1129</v>
      </c>
      <c r="D229" s="7" t="s">
        <v>1034</v>
      </c>
      <c r="E229" s="7" t="s">
        <v>739</v>
      </c>
      <c r="F229" s="7" t="s">
        <v>280</v>
      </c>
      <c r="G229" s="7" t="s">
        <v>1035</v>
      </c>
      <c r="H229" s="7" t="s">
        <v>1035</v>
      </c>
      <c r="I229" s="7" t="s">
        <v>1026</v>
      </c>
      <c r="J229" s="7" t="s">
        <v>396</v>
      </c>
      <c r="K229" s="10">
        <f>(28/428)/(403/3877)</f>
        <v>0.62936852113819242</v>
      </c>
    </row>
    <row r="230" spans="1:14" s="3" customFormat="1" x14ac:dyDescent="0.25">
      <c r="A230" s="12" t="s">
        <v>951</v>
      </c>
      <c r="B230" s="70">
        <v>1</v>
      </c>
      <c r="C230" s="7" t="s">
        <v>1129</v>
      </c>
      <c r="D230" s="7" t="s">
        <v>1034</v>
      </c>
      <c r="E230" s="7" t="s">
        <v>740</v>
      </c>
      <c r="F230" s="7" t="s">
        <v>280</v>
      </c>
      <c r="G230" s="7" t="s">
        <v>1035</v>
      </c>
      <c r="H230" s="7" t="s">
        <v>1035</v>
      </c>
      <c r="I230" s="7" t="s">
        <v>1026</v>
      </c>
      <c r="J230" s="7" t="s">
        <v>396</v>
      </c>
      <c r="K230" s="10">
        <f>(225/2986)/(403/3877)</f>
        <v>0.72490896308496722</v>
      </c>
    </row>
    <row r="231" spans="1:14" s="3" customFormat="1" x14ac:dyDescent="0.25">
      <c r="A231" s="12" t="s">
        <v>951</v>
      </c>
      <c r="B231" s="70">
        <v>1</v>
      </c>
      <c r="C231" s="7" t="s">
        <v>1129</v>
      </c>
      <c r="D231" s="7" t="s">
        <v>1034</v>
      </c>
      <c r="E231" s="7" t="s">
        <v>741</v>
      </c>
      <c r="F231" s="7" t="s">
        <v>280</v>
      </c>
      <c r="G231" s="7" t="s">
        <v>1035</v>
      </c>
      <c r="H231" s="7" t="s">
        <v>1035</v>
      </c>
      <c r="I231" s="7" t="s">
        <v>1026</v>
      </c>
      <c r="J231" s="7" t="s">
        <v>396</v>
      </c>
      <c r="K231" s="10">
        <f>(33/681)/(403/3877)</f>
        <v>0.46618423497775496</v>
      </c>
    </row>
    <row r="232" spans="1:14" s="3" customFormat="1" x14ac:dyDescent="0.25">
      <c r="A232" s="12" t="s">
        <v>197</v>
      </c>
      <c r="B232" s="70">
        <v>1</v>
      </c>
      <c r="C232" s="53" t="s">
        <v>185</v>
      </c>
      <c r="D232" s="7" t="s">
        <v>1016</v>
      </c>
      <c r="E232" s="7" t="s">
        <v>1133</v>
      </c>
      <c r="F232" s="7" t="s">
        <v>373</v>
      </c>
      <c r="G232" s="7" t="s">
        <v>374</v>
      </c>
      <c r="H232" s="7" t="s">
        <v>374</v>
      </c>
      <c r="I232" s="7" t="s">
        <v>1003</v>
      </c>
      <c r="J232" s="7" t="s">
        <v>506</v>
      </c>
      <c r="K232" s="10">
        <f>1/1</f>
        <v>1</v>
      </c>
    </row>
    <row r="233" spans="1:14" s="3" customFormat="1" x14ac:dyDescent="0.25">
      <c r="A233" s="12" t="s">
        <v>420</v>
      </c>
      <c r="B233" s="70">
        <v>1</v>
      </c>
      <c r="C233" s="53" t="s">
        <v>185</v>
      </c>
      <c r="D233" s="7" t="s">
        <v>1016</v>
      </c>
      <c r="E233" s="7" t="s">
        <v>1133</v>
      </c>
      <c r="F233" s="7" t="s">
        <v>373</v>
      </c>
      <c r="G233" s="7" t="s">
        <v>374</v>
      </c>
      <c r="H233" s="7" t="s">
        <v>374</v>
      </c>
      <c r="I233" s="7" t="s">
        <v>1003</v>
      </c>
      <c r="J233" s="7" t="s">
        <v>1064</v>
      </c>
      <c r="K233" s="10">
        <f>(37/123)/(123/123)</f>
        <v>0.30081300813008133</v>
      </c>
    </row>
    <row r="234" spans="1:14" s="3" customFormat="1" x14ac:dyDescent="0.25">
      <c r="A234" s="12" t="s">
        <v>420</v>
      </c>
      <c r="B234" s="70">
        <v>1</v>
      </c>
      <c r="C234" s="53" t="s">
        <v>185</v>
      </c>
      <c r="D234" s="7" t="s">
        <v>1016</v>
      </c>
      <c r="E234" s="7" t="s">
        <v>1133</v>
      </c>
      <c r="F234" s="7" t="s">
        <v>373</v>
      </c>
      <c r="G234" s="7" t="s">
        <v>374</v>
      </c>
      <c r="H234" s="7" t="s">
        <v>374</v>
      </c>
      <c r="I234" s="7" t="s">
        <v>1003</v>
      </c>
      <c r="J234" s="7" t="s">
        <v>690</v>
      </c>
      <c r="K234" s="10">
        <f>AVERAGE(7/10,9/11,8/12,0/2,4/11,7/25)</f>
        <v>0.47141414141414134</v>
      </c>
    </row>
    <row r="235" spans="1:14" s="3" customFormat="1" x14ac:dyDescent="0.25">
      <c r="A235" s="12" t="s">
        <v>771</v>
      </c>
      <c r="B235" s="70">
        <v>0</v>
      </c>
      <c r="C235" s="53" t="s">
        <v>185</v>
      </c>
      <c r="D235" s="7" t="s">
        <v>1011</v>
      </c>
      <c r="E235" s="7" t="s">
        <v>1001</v>
      </c>
      <c r="F235" s="7" t="s">
        <v>551</v>
      </c>
      <c r="G235" s="7" t="s">
        <v>401</v>
      </c>
      <c r="H235" s="7" t="s">
        <v>1007</v>
      </c>
      <c r="I235" s="7" t="s">
        <v>435</v>
      </c>
      <c r="J235" s="7" t="s">
        <v>396</v>
      </c>
      <c r="K235" s="10">
        <f>9/64</f>
        <v>0.140625</v>
      </c>
      <c r="L235" s="44"/>
      <c r="M235" s="44"/>
      <c r="N235" s="44"/>
    </row>
    <row r="236" spans="1:14" s="3" customFormat="1" x14ac:dyDescent="0.25">
      <c r="A236" s="12" t="s">
        <v>771</v>
      </c>
      <c r="B236" s="70">
        <v>0</v>
      </c>
      <c r="C236" s="53" t="s">
        <v>185</v>
      </c>
      <c r="D236" s="7" t="s">
        <v>1029</v>
      </c>
      <c r="E236" s="7" t="s">
        <v>1001</v>
      </c>
      <c r="F236" s="7" t="s">
        <v>551</v>
      </c>
      <c r="G236" s="7" t="s">
        <v>401</v>
      </c>
      <c r="H236" s="7" t="s">
        <v>1007</v>
      </c>
      <c r="I236" s="7" t="s">
        <v>435</v>
      </c>
      <c r="J236" s="7" t="s">
        <v>396</v>
      </c>
      <c r="K236" s="10">
        <f>18/140</f>
        <v>0.12857142857142856</v>
      </c>
      <c r="M236" s="44"/>
      <c r="N236" s="44"/>
    </row>
    <row r="237" spans="1:14" s="3" customFormat="1" x14ac:dyDescent="0.25">
      <c r="A237" s="12" t="s">
        <v>771</v>
      </c>
      <c r="B237" s="70">
        <v>0</v>
      </c>
      <c r="C237" s="53" t="s">
        <v>185</v>
      </c>
      <c r="D237" s="7" t="s">
        <v>1022</v>
      </c>
      <c r="E237" s="7" t="s">
        <v>1001</v>
      </c>
      <c r="F237" s="7" t="s">
        <v>551</v>
      </c>
      <c r="G237" s="7" t="s">
        <v>401</v>
      </c>
      <c r="H237" s="7" t="s">
        <v>1007</v>
      </c>
      <c r="I237" s="7" t="s">
        <v>435</v>
      </c>
      <c r="J237" s="7" t="s">
        <v>396</v>
      </c>
      <c r="K237" s="10">
        <f>1/7</f>
        <v>0.14285714285714285</v>
      </c>
      <c r="M237" s="44"/>
      <c r="N237" s="44"/>
    </row>
    <row r="238" spans="1:14" s="3" customFormat="1" x14ac:dyDescent="0.25">
      <c r="A238" s="12" t="s">
        <v>97</v>
      </c>
      <c r="B238" s="70">
        <v>1</v>
      </c>
      <c r="C238" s="53" t="s">
        <v>185</v>
      </c>
      <c r="D238" s="7" t="s">
        <v>1017</v>
      </c>
      <c r="E238" s="7" t="s">
        <v>98</v>
      </c>
      <c r="F238" s="7" t="s">
        <v>184</v>
      </c>
      <c r="G238" s="7" t="s">
        <v>257</v>
      </c>
      <c r="H238" s="7" t="s">
        <v>99</v>
      </c>
      <c r="I238" s="7" t="s">
        <v>1141</v>
      </c>
      <c r="J238" s="7" t="s">
        <v>396</v>
      </c>
      <c r="K238" s="10">
        <f>(0.75*181/3383)/(0.75*371/3611)</f>
        <v>0.52075105191408133</v>
      </c>
      <c r="M238" s="44"/>
    </row>
    <row r="239" spans="1:14" s="3" customFormat="1" x14ac:dyDescent="0.25">
      <c r="A239" s="12" t="s">
        <v>97</v>
      </c>
      <c r="B239" s="70">
        <v>1</v>
      </c>
      <c r="C239" s="53" t="s">
        <v>185</v>
      </c>
      <c r="D239" s="7" t="s">
        <v>557</v>
      </c>
      <c r="E239" s="7" t="s">
        <v>98</v>
      </c>
      <c r="F239" s="7" t="s">
        <v>184</v>
      </c>
      <c r="G239" s="7" t="s">
        <v>257</v>
      </c>
      <c r="H239" s="7" t="s">
        <v>99</v>
      </c>
      <c r="I239" s="7" t="s">
        <v>1141</v>
      </c>
      <c r="J239" s="7" t="s">
        <v>100</v>
      </c>
      <c r="K239" s="10">
        <f>47000/97000</f>
        <v>0.4845360824742268</v>
      </c>
    </row>
    <row r="240" spans="1:14" s="3" customFormat="1" x14ac:dyDescent="0.25">
      <c r="A240" s="7" t="s">
        <v>182</v>
      </c>
      <c r="B240" s="70">
        <v>0</v>
      </c>
      <c r="C240" s="53" t="s">
        <v>185</v>
      </c>
      <c r="D240" s="7" t="s">
        <v>1016</v>
      </c>
      <c r="E240" s="7" t="s">
        <v>1133</v>
      </c>
      <c r="F240" s="7" t="s">
        <v>550</v>
      </c>
      <c r="G240" s="7" t="s">
        <v>311</v>
      </c>
      <c r="H240" s="7" t="s">
        <v>952</v>
      </c>
      <c r="I240" s="7" t="s">
        <v>1008</v>
      </c>
      <c r="J240" s="7" t="s">
        <v>506</v>
      </c>
      <c r="K240" s="10">
        <f>(2+1+2)/5</f>
        <v>1</v>
      </c>
    </row>
    <row r="241" spans="1:11" s="3" customFormat="1" x14ac:dyDescent="0.25">
      <c r="A241" s="7" t="s">
        <v>182</v>
      </c>
      <c r="B241" s="70">
        <v>0</v>
      </c>
      <c r="C241" s="53" t="s">
        <v>185</v>
      </c>
      <c r="D241" s="7" t="s">
        <v>1016</v>
      </c>
      <c r="E241" s="7" t="s">
        <v>1133</v>
      </c>
      <c r="F241" s="7" t="s">
        <v>550</v>
      </c>
      <c r="G241" s="7" t="s">
        <v>311</v>
      </c>
      <c r="H241" s="7" t="s">
        <v>954</v>
      </c>
      <c r="I241" s="7" t="s">
        <v>1008</v>
      </c>
      <c r="J241" s="7" t="s">
        <v>506</v>
      </c>
      <c r="K241" s="10">
        <f>(1+2+2)/6</f>
        <v>0.83333333333333337</v>
      </c>
    </row>
    <row r="242" spans="1:11" s="3" customFormat="1" x14ac:dyDescent="0.25">
      <c r="A242" s="12" t="s">
        <v>75</v>
      </c>
      <c r="B242" s="70">
        <v>1</v>
      </c>
      <c r="C242" s="53" t="s">
        <v>185</v>
      </c>
      <c r="D242" s="7" t="s">
        <v>1017</v>
      </c>
      <c r="E242" s="7" t="s">
        <v>394</v>
      </c>
      <c r="F242" s="7" t="s">
        <v>550</v>
      </c>
      <c r="G242" s="7" t="s">
        <v>400</v>
      </c>
      <c r="H242" s="7" t="s">
        <v>220</v>
      </c>
      <c r="I242" s="7" t="s">
        <v>1033</v>
      </c>
      <c r="J242" s="7" t="s">
        <v>691</v>
      </c>
      <c r="K242" s="10">
        <f>7/184</f>
        <v>3.8043478260869568E-2</v>
      </c>
    </row>
    <row r="243" spans="1:11" s="3" customFormat="1" x14ac:dyDescent="0.25">
      <c r="A243" s="7" t="s">
        <v>837</v>
      </c>
      <c r="B243" s="70">
        <v>0</v>
      </c>
      <c r="C243" s="7" t="s">
        <v>1129</v>
      </c>
      <c r="D243" s="7" t="s">
        <v>1010</v>
      </c>
      <c r="E243" s="7" t="s">
        <v>565</v>
      </c>
      <c r="F243" s="7" t="s">
        <v>551</v>
      </c>
      <c r="G243" s="7" t="s">
        <v>1002</v>
      </c>
      <c r="H243" s="7" t="s">
        <v>1002</v>
      </c>
      <c r="I243" s="7" t="s">
        <v>838</v>
      </c>
      <c r="J243" s="7" t="s">
        <v>1059</v>
      </c>
      <c r="K243" s="10">
        <f>0/1</f>
        <v>0</v>
      </c>
    </row>
    <row r="244" spans="1:11" s="3" customFormat="1" x14ac:dyDescent="0.25">
      <c r="A244" s="12" t="s">
        <v>772</v>
      </c>
      <c r="B244" s="70">
        <v>1</v>
      </c>
      <c r="C244" s="53" t="s">
        <v>185</v>
      </c>
      <c r="D244" s="7" t="s">
        <v>549</v>
      </c>
      <c r="E244" s="7" t="s">
        <v>1023</v>
      </c>
      <c r="F244" s="7" t="s">
        <v>551</v>
      </c>
      <c r="G244" s="7" t="s">
        <v>566</v>
      </c>
      <c r="H244" s="19" t="s">
        <v>814</v>
      </c>
      <c r="I244" s="7" t="s">
        <v>1036</v>
      </c>
      <c r="J244" s="7" t="s">
        <v>33</v>
      </c>
      <c r="K244" s="10">
        <f>AVERAGE(0.3,0.17,0.17)/AVERAGE(0.83,2.6,2.33,1.83)</f>
        <v>0.11242863416776461</v>
      </c>
    </row>
    <row r="245" spans="1:11" s="21" customFormat="1" x14ac:dyDescent="0.25">
      <c r="A245" s="18" t="s">
        <v>772</v>
      </c>
      <c r="B245" s="70">
        <v>1</v>
      </c>
      <c r="C245" s="18" t="s">
        <v>185</v>
      </c>
      <c r="D245" s="19" t="s">
        <v>1017</v>
      </c>
      <c r="E245" s="19" t="s">
        <v>1023</v>
      </c>
      <c r="F245" s="19" t="s">
        <v>551</v>
      </c>
      <c r="G245" s="19" t="s">
        <v>566</v>
      </c>
      <c r="H245" s="19" t="s">
        <v>814</v>
      </c>
      <c r="I245" s="19" t="s">
        <v>1036</v>
      </c>
      <c r="J245" s="19" t="s">
        <v>11</v>
      </c>
      <c r="K245" s="20">
        <f>0/AVERAGE(72,84)</f>
        <v>0</v>
      </c>
    </row>
    <row r="246" spans="1:11" s="21" customFormat="1" x14ac:dyDescent="0.25">
      <c r="A246" s="18" t="s">
        <v>772</v>
      </c>
      <c r="B246" s="70">
        <v>1</v>
      </c>
      <c r="C246" s="18" t="s">
        <v>185</v>
      </c>
      <c r="D246" s="19" t="s">
        <v>1014</v>
      </c>
      <c r="E246" s="19" t="s">
        <v>1023</v>
      </c>
      <c r="F246" s="19" t="s">
        <v>551</v>
      </c>
      <c r="G246" s="19" t="s">
        <v>566</v>
      </c>
      <c r="H246" s="19" t="s">
        <v>814</v>
      </c>
      <c r="I246" s="19" t="s">
        <v>1036</v>
      </c>
      <c r="J246" s="19" t="s">
        <v>11</v>
      </c>
      <c r="K246" s="20">
        <v>0</v>
      </c>
    </row>
    <row r="247" spans="1:11" s="21" customFormat="1" x14ac:dyDescent="0.25">
      <c r="A247" s="18" t="s">
        <v>772</v>
      </c>
      <c r="B247" s="70">
        <v>1</v>
      </c>
      <c r="C247" s="18" t="s">
        <v>548</v>
      </c>
      <c r="D247" s="7" t="s">
        <v>549</v>
      </c>
      <c r="E247" s="7" t="s">
        <v>1023</v>
      </c>
      <c r="F247" s="7" t="s">
        <v>551</v>
      </c>
      <c r="G247" s="7" t="s">
        <v>566</v>
      </c>
      <c r="H247" s="19" t="s">
        <v>814</v>
      </c>
      <c r="I247" s="7" t="s">
        <v>1036</v>
      </c>
      <c r="J247" s="19" t="s">
        <v>347</v>
      </c>
      <c r="K247" s="20">
        <f>(2/1790)/AVERAGE(27/2185,39/5321)</f>
        <v>0.11351154133287875</v>
      </c>
    </row>
    <row r="248" spans="1:11" s="21" customFormat="1" x14ac:dyDescent="0.25">
      <c r="A248" s="18" t="s">
        <v>198</v>
      </c>
      <c r="B248" s="70">
        <v>0</v>
      </c>
      <c r="C248" s="18" t="s">
        <v>185</v>
      </c>
      <c r="D248" s="19" t="s">
        <v>1000</v>
      </c>
      <c r="E248" s="19" t="s">
        <v>1001</v>
      </c>
      <c r="F248" s="19" t="s">
        <v>550</v>
      </c>
      <c r="G248" s="19" t="s">
        <v>1067</v>
      </c>
      <c r="H248" s="19" t="s">
        <v>326</v>
      </c>
      <c r="I248" s="19" t="s">
        <v>1008</v>
      </c>
      <c r="J248" s="19" t="s">
        <v>687</v>
      </c>
      <c r="K248" s="20">
        <f>(AVERAGE(-44,-95)/100)+1</f>
        <v>0.30500000000000005</v>
      </c>
    </row>
    <row r="249" spans="1:11" s="21" customFormat="1" x14ac:dyDescent="0.25">
      <c r="A249" s="18" t="s">
        <v>308</v>
      </c>
      <c r="B249" s="70">
        <v>1</v>
      </c>
      <c r="C249" s="18" t="s">
        <v>185</v>
      </c>
      <c r="D249" s="12" t="s">
        <v>1000</v>
      </c>
      <c r="E249" s="12" t="s">
        <v>1001</v>
      </c>
      <c r="F249" s="12" t="s">
        <v>551</v>
      </c>
      <c r="G249" s="12" t="s">
        <v>401</v>
      </c>
      <c r="H249" s="18" t="s">
        <v>1007</v>
      </c>
      <c r="I249" s="12" t="s">
        <v>1008</v>
      </c>
      <c r="J249" s="18" t="s">
        <v>1040</v>
      </c>
      <c r="K249" s="64">
        <f>AVERAGE((4/20)/AVERAGE(18/20,7/20),(11/20)/AVERAGE(19/20,4/20),(3/20)/AVERAGE(5/10,4/20))</f>
        <v>0.56836438923395449</v>
      </c>
    </row>
    <row r="250" spans="1:11" s="3" customFormat="1" x14ac:dyDescent="0.25">
      <c r="A250" s="12" t="s">
        <v>752</v>
      </c>
      <c r="B250" s="70">
        <v>1</v>
      </c>
      <c r="C250" s="7" t="s">
        <v>1129</v>
      </c>
      <c r="D250" s="7" t="s">
        <v>1000</v>
      </c>
      <c r="E250" s="7" t="s">
        <v>1001</v>
      </c>
      <c r="F250" s="7" t="s">
        <v>551</v>
      </c>
      <c r="G250" s="7" t="s">
        <v>1002</v>
      </c>
      <c r="H250" s="7" t="s">
        <v>1002</v>
      </c>
      <c r="I250" s="7" t="s">
        <v>1008</v>
      </c>
      <c r="J250" s="7" t="s">
        <v>396</v>
      </c>
      <c r="K250" s="10">
        <f>AVERAGE(9,4,0,0,2,0,0,9)/AVERAGE(16,17,5,9,11)</f>
        <v>0.25862068965517243</v>
      </c>
    </row>
    <row r="251" spans="1:11" s="3" customFormat="1" x14ac:dyDescent="0.25">
      <c r="A251" s="12" t="s">
        <v>1137</v>
      </c>
      <c r="B251" s="70">
        <v>1</v>
      </c>
      <c r="C251" s="53" t="s">
        <v>185</v>
      </c>
      <c r="D251" s="7" t="s">
        <v>1000</v>
      </c>
      <c r="E251" s="7" t="s">
        <v>1001</v>
      </c>
      <c r="F251" s="7" t="s">
        <v>550</v>
      </c>
      <c r="G251" s="7" t="s">
        <v>1067</v>
      </c>
      <c r="H251" s="7" t="s">
        <v>326</v>
      </c>
      <c r="I251" s="7" t="s">
        <v>1008</v>
      </c>
      <c r="J251" s="7" t="s">
        <v>396</v>
      </c>
      <c r="K251" s="10">
        <f>AVERAGE(2/7,10/8,2/6,3/4,0/5,3/9,1/7,1/7,0/6,2/5,2/5,0/6,0/6,0/5,2/6)</f>
        <v>0.29142857142857143</v>
      </c>
    </row>
    <row r="252" spans="1:11" s="3" customFormat="1" x14ac:dyDescent="0.25">
      <c r="A252" s="12" t="s">
        <v>351</v>
      </c>
      <c r="B252" s="70">
        <v>0</v>
      </c>
      <c r="C252" s="53" t="s">
        <v>185</v>
      </c>
      <c r="D252" s="7" t="s">
        <v>1000</v>
      </c>
      <c r="E252" s="7" t="s">
        <v>1001</v>
      </c>
      <c r="F252" s="7" t="s">
        <v>550</v>
      </c>
      <c r="G252" s="7" t="s">
        <v>1067</v>
      </c>
      <c r="H252" s="7" t="s">
        <v>326</v>
      </c>
      <c r="I252" s="7" t="s">
        <v>1008</v>
      </c>
      <c r="J252" s="7" t="s">
        <v>24</v>
      </c>
      <c r="K252" s="10">
        <f>AVERAGE(2.3/5.7,6/10.7,1.8/10.3,2.3/4.4,0.05/0.9,1.9/5.6,1.3/5.2,0.5/6.8,4.9/3.8,8.7/3.5,2.4/7.1,0.9/14.1)</f>
        <v>0.54642979979506756</v>
      </c>
    </row>
    <row r="253" spans="1:11" s="3" customFormat="1" x14ac:dyDescent="0.25">
      <c r="A253" s="12" t="s">
        <v>344</v>
      </c>
      <c r="B253" s="70">
        <v>1</v>
      </c>
      <c r="C253" s="53" t="s">
        <v>547</v>
      </c>
      <c r="D253" s="7" t="s">
        <v>1000</v>
      </c>
      <c r="E253" s="7" t="s">
        <v>1018</v>
      </c>
      <c r="F253" s="7" t="s">
        <v>550</v>
      </c>
      <c r="G253" s="7" t="s">
        <v>398</v>
      </c>
      <c r="H253" s="7" t="s">
        <v>345</v>
      </c>
      <c r="I253" s="7" t="s">
        <v>1008</v>
      </c>
      <c r="J253" s="7" t="s">
        <v>346</v>
      </c>
      <c r="K253" s="10">
        <f>29/28</f>
        <v>1.0357142857142858</v>
      </c>
    </row>
    <row r="254" spans="1:11" s="21" customFormat="1" x14ac:dyDescent="0.25">
      <c r="A254" s="19" t="s">
        <v>975</v>
      </c>
      <c r="B254" s="70">
        <v>1</v>
      </c>
      <c r="C254" s="7" t="s">
        <v>1129</v>
      </c>
      <c r="D254" s="19" t="s">
        <v>1017</v>
      </c>
      <c r="E254" s="19" t="s">
        <v>1005</v>
      </c>
      <c r="F254" s="19" t="s">
        <v>550</v>
      </c>
      <c r="G254" s="19" t="s">
        <v>278</v>
      </c>
      <c r="H254" s="19" t="s">
        <v>319</v>
      </c>
      <c r="I254" s="19" t="s">
        <v>145</v>
      </c>
      <c r="J254" s="19" t="s">
        <v>396</v>
      </c>
      <c r="K254" s="20">
        <f>AVERAGE((40/553)/((105-40)/(3342-553)),(15/396)/((37-15)/(1349-396)),(49/675)/((184-49)/(2884-675)))</f>
        <v>1.9774335570107493</v>
      </c>
    </row>
    <row r="255" spans="1:11" s="21" customFormat="1" x14ac:dyDescent="0.25">
      <c r="A255" s="19" t="s">
        <v>975</v>
      </c>
      <c r="B255" s="70">
        <v>1</v>
      </c>
      <c r="C255" s="7" t="s">
        <v>1129</v>
      </c>
      <c r="D255" s="19" t="s">
        <v>1020</v>
      </c>
      <c r="E255" s="19" t="s">
        <v>1005</v>
      </c>
      <c r="F255" s="19" t="s">
        <v>550</v>
      </c>
      <c r="G255" s="19" t="s">
        <v>278</v>
      </c>
      <c r="H255" s="19" t="s">
        <v>319</v>
      </c>
      <c r="I255" s="19" t="s">
        <v>145</v>
      </c>
      <c r="J255" s="19" t="s">
        <v>396</v>
      </c>
      <c r="K255" s="20">
        <f>AVERAGE((105/553)/((214-105)/(3342-553)),(47/396)/((61-47)/(1349-396)),(31/675)/((110-31)/(2884-675)))</f>
        <v>4.7405624533776507</v>
      </c>
    </row>
    <row r="256" spans="1:11" s="21" customFormat="1" x14ac:dyDescent="0.25">
      <c r="A256" s="19" t="s">
        <v>878</v>
      </c>
      <c r="B256" s="70">
        <v>1</v>
      </c>
      <c r="C256" s="19" t="s">
        <v>414</v>
      </c>
      <c r="D256" s="19" t="s">
        <v>880</v>
      </c>
      <c r="E256" s="19" t="s">
        <v>394</v>
      </c>
      <c r="F256" s="19" t="s">
        <v>551</v>
      </c>
      <c r="G256" s="7" t="s">
        <v>1021</v>
      </c>
      <c r="H256" s="7" t="s">
        <v>1021</v>
      </c>
      <c r="I256" s="19" t="s">
        <v>1036</v>
      </c>
      <c r="J256" s="19" t="s">
        <v>879</v>
      </c>
      <c r="K256" s="20">
        <f>9.4/55.2</f>
        <v>0.17028985507246377</v>
      </c>
    </row>
    <row r="257" spans="1:11" s="21" customFormat="1" x14ac:dyDescent="0.25">
      <c r="A257" s="19" t="s">
        <v>79</v>
      </c>
      <c r="B257" s="70">
        <v>1</v>
      </c>
      <c r="C257" s="19" t="s">
        <v>185</v>
      </c>
      <c r="D257" s="19" t="s">
        <v>1016</v>
      </c>
      <c r="E257" s="19" t="s">
        <v>1133</v>
      </c>
      <c r="F257" s="19" t="s">
        <v>373</v>
      </c>
      <c r="G257" s="19" t="s">
        <v>374</v>
      </c>
      <c r="H257" s="19" t="s">
        <v>374</v>
      </c>
      <c r="I257" s="19" t="s">
        <v>1008</v>
      </c>
      <c r="J257" s="19" t="s">
        <v>80</v>
      </c>
      <c r="K257" s="20">
        <f>(86+18)/170</f>
        <v>0.61176470588235299</v>
      </c>
    </row>
    <row r="258" spans="1:11" s="21" customFormat="1" x14ac:dyDescent="0.25">
      <c r="A258" s="19" t="s">
        <v>719</v>
      </c>
      <c r="B258" s="70">
        <v>1</v>
      </c>
      <c r="C258" s="19" t="s">
        <v>185</v>
      </c>
      <c r="D258" s="19" t="s">
        <v>552</v>
      </c>
      <c r="E258" s="19" t="s">
        <v>606</v>
      </c>
      <c r="F258" s="19" t="s">
        <v>550</v>
      </c>
      <c r="G258" s="19" t="s">
        <v>398</v>
      </c>
      <c r="H258" s="19" t="s">
        <v>462</v>
      </c>
      <c r="I258" s="19" t="s">
        <v>463</v>
      </c>
      <c r="J258" s="19" t="s">
        <v>464</v>
      </c>
      <c r="K258" s="20">
        <f>AVERAGE(75,140,1,1)/4001</f>
        <v>1.3559110222444389E-2</v>
      </c>
    </row>
    <row r="259" spans="1:11" s="21" customFormat="1" x14ac:dyDescent="0.25">
      <c r="A259" s="19" t="s">
        <v>19</v>
      </c>
      <c r="B259" s="70">
        <v>1</v>
      </c>
      <c r="C259" s="19" t="s">
        <v>185</v>
      </c>
      <c r="D259" s="19" t="s">
        <v>1017</v>
      </c>
      <c r="E259" s="19" t="s">
        <v>877</v>
      </c>
      <c r="F259" s="19" t="s">
        <v>280</v>
      </c>
      <c r="G259" s="19" t="s">
        <v>9</v>
      </c>
      <c r="H259" s="19" t="s">
        <v>20</v>
      </c>
      <c r="I259" s="19" t="s">
        <v>1033</v>
      </c>
      <c r="J259" s="19" t="s">
        <v>946</v>
      </c>
      <c r="K259" s="20">
        <f>AVERAGE(9,20,17,32)/24</f>
        <v>0.8125</v>
      </c>
    </row>
    <row r="260" spans="1:11" s="21" customFormat="1" x14ac:dyDescent="0.25">
      <c r="A260" s="19" t="s">
        <v>363</v>
      </c>
      <c r="B260" s="70">
        <v>1</v>
      </c>
      <c r="C260" s="19" t="s">
        <v>414</v>
      </c>
      <c r="D260" s="19" t="s">
        <v>552</v>
      </c>
      <c r="E260" s="19" t="s">
        <v>1001</v>
      </c>
      <c r="F260" s="19" t="s">
        <v>551</v>
      </c>
      <c r="G260" s="19" t="s">
        <v>401</v>
      </c>
      <c r="H260" s="19" t="s">
        <v>553</v>
      </c>
      <c r="I260" s="19" t="s">
        <v>1006</v>
      </c>
      <c r="J260" s="19" t="s">
        <v>368</v>
      </c>
      <c r="K260" s="42">
        <f>AVERAGE(100-(198*100/251),100-(1207*100/1509),100-(1286*100/1495))/AVERAGE(100-(178*100/239),100-(1071*100/1509),100-(1007*100/1480))</f>
        <v>0.63703383347844389</v>
      </c>
    </row>
    <row r="261" spans="1:11" s="21" customFormat="1" x14ac:dyDescent="0.25">
      <c r="A261" s="19" t="s">
        <v>584</v>
      </c>
      <c r="B261" s="70">
        <v>0</v>
      </c>
      <c r="C261" s="19" t="s">
        <v>548</v>
      </c>
      <c r="D261" s="19" t="s">
        <v>1016</v>
      </c>
      <c r="E261" s="19" t="s">
        <v>1133</v>
      </c>
      <c r="F261" s="7" t="s">
        <v>280</v>
      </c>
      <c r="G261" s="7" t="s">
        <v>281</v>
      </c>
      <c r="H261" s="7" t="s">
        <v>282</v>
      </c>
      <c r="I261" s="19" t="s">
        <v>1008</v>
      </c>
      <c r="J261" s="19" t="s">
        <v>586</v>
      </c>
      <c r="K261" s="42">
        <f>0.7/AVERAGE(4.5,15.7,3.2)</f>
        <v>8.9743589743589744E-2</v>
      </c>
    </row>
    <row r="262" spans="1:11" s="21" customFormat="1" x14ac:dyDescent="0.25">
      <c r="A262" s="19" t="s">
        <v>682</v>
      </c>
      <c r="B262" s="70">
        <v>1</v>
      </c>
      <c r="C262" s="7" t="s">
        <v>1129</v>
      </c>
      <c r="D262" s="19" t="s">
        <v>1017</v>
      </c>
      <c r="E262" s="19" t="s">
        <v>649</v>
      </c>
      <c r="F262" s="19" t="s">
        <v>551</v>
      </c>
      <c r="G262" s="7" t="s">
        <v>566</v>
      </c>
      <c r="H262" s="19" t="s">
        <v>814</v>
      </c>
      <c r="I262" s="19" t="s">
        <v>1033</v>
      </c>
      <c r="J262" s="19" t="s">
        <v>687</v>
      </c>
      <c r="K262" s="42">
        <f>2/25</f>
        <v>0.08</v>
      </c>
    </row>
    <row r="263" spans="1:11" s="21" customFormat="1" x14ac:dyDescent="0.25">
      <c r="A263" s="19" t="s">
        <v>682</v>
      </c>
      <c r="B263" s="70">
        <v>1</v>
      </c>
      <c r="C263" s="7" t="s">
        <v>1129</v>
      </c>
      <c r="D263" s="19" t="s">
        <v>1017</v>
      </c>
      <c r="E263" s="19" t="s">
        <v>1005</v>
      </c>
      <c r="F263" s="19" t="s">
        <v>551</v>
      </c>
      <c r="G263" s="7" t="s">
        <v>566</v>
      </c>
      <c r="H263" s="19" t="s">
        <v>814</v>
      </c>
      <c r="I263" s="19" t="s">
        <v>1033</v>
      </c>
      <c r="J263" s="19" t="s">
        <v>687</v>
      </c>
      <c r="K263" s="42">
        <f>5/34</f>
        <v>0.14705882352941177</v>
      </c>
    </row>
    <row r="264" spans="1:11" s="21" customFormat="1" x14ac:dyDescent="0.25">
      <c r="A264" s="19" t="s">
        <v>682</v>
      </c>
      <c r="B264" s="70">
        <v>1</v>
      </c>
      <c r="C264" s="7" t="s">
        <v>1129</v>
      </c>
      <c r="D264" s="19" t="s">
        <v>1017</v>
      </c>
      <c r="E264" s="19" t="s">
        <v>683</v>
      </c>
      <c r="F264" s="19" t="s">
        <v>551</v>
      </c>
      <c r="G264" s="7" t="s">
        <v>566</v>
      </c>
      <c r="H264" s="19" t="s">
        <v>814</v>
      </c>
      <c r="I264" s="19" t="s">
        <v>1033</v>
      </c>
      <c r="J264" s="19" t="s">
        <v>687</v>
      </c>
      <c r="K264" s="42">
        <f>0/2</f>
        <v>0</v>
      </c>
    </row>
    <row r="265" spans="1:11" s="21" customFormat="1" x14ac:dyDescent="0.25">
      <c r="A265" s="19" t="s">
        <v>682</v>
      </c>
      <c r="B265" s="70">
        <v>1</v>
      </c>
      <c r="C265" s="7" t="s">
        <v>1129</v>
      </c>
      <c r="D265" s="19" t="s">
        <v>1020</v>
      </c>
      <c r="E265" s="19" t="s">
        <v>649</v>
      </c>
      <c r="F265" s="19" t="s">
        <v>551</v>
      </c>
      <c r="G265" s="7" t="s">
        <v>566</v>
      </c>
      <c r="H265" s="19" t="s">
        <v>814</v>
      </c>
      <c r="I265" s="19" t="s">
        <v>1033</v>
      </c>
      <c r="J265" s="19" t="s">
        <v>687</v>
      </c>
      <c r="K265" s="42">
        <f>4/37</f>
        <v>0.10810810810810811</v>
      </c>
    </row>
    <row r="266" spans="1:11" s="21" customFormat="1" x14ac:dyDescent="0.25">
      <c r="A266" s="19" t="s">
        <v>682</v>
      </c>
      <c r="B266" s="70">
        <v>1</v>
      </c>
      <c r="C266" s="7" t="s">
        <v>1129</v>
      </c>
      <c r="D266" s="19" t="s">
        <v>1020</v>
      </c>
      <c r="E266" s="19" t="s">
        <v>1005</v>
      </c>
      <c r="F266" s="19" t="s">
        <v>551</v>
      </c>
      <c r="G266" s="7" t="s">
        <v>566</v>
      </c>
      <c r="H266" s="19" t="s">
        <v>814</v>
      </c>
      <c r="I266" s="19" t="s">
        <v>1033</v>
      </c>
      <c r="J266" s="19" t="s">
        <v>687</v>
      </c>
      <c r="K266" s="42">
        <f>1/16</f>
        <v>6.25E-2</v>
      </c>
    </row>
    <row r="267" spans="1:11" s="21" customFormat="1" x14ac:dyDescent="0.25">
      <c r="A267" s="19" t="s">
        <v>682</v>
      </c>
      <c r="B267" s="70">
        <v>1</v>
      </c>
      <c r="C267" s="7" t="s">
        <v>1129</v>
      </c>
      <c r="D267" s="19" t="s">
        <v>1020</v>
      </c>
      <c r="E267" s="19" t="s">
        <v>683</v>
      </c>
      <c r="F267" s="19" t="s">
        <v>551</v>
      </c>
      <c r="G267" s="7" t="s">
        <v>566</v>
      </c>
      <c r="H267" s="19" t="s">
        <v>814</v>
      </c>
      <c r="I267" s="19" t="s">
        <v>1033</v>
      </c>
      <c r="J267" s="19" t="s">
        <v>687</v>
      </c>
      <c r="K267" s="42">
        <f>0/1</f>
        <v>0</v>
      </c>
    </row>
    <row r="268" spans="1:11" s="21" customFormat="1" x14ac:dyDescent="0.25">
      <c r="A268" s="19" t="s">
        <v>682</v>
      </c>
      <c r="B268" s="70">
        <v>1</v>
      </c>
      <c r="C268" s="7" t="s">
        <v>1129</v>
      </c>
      <c r="D268" s="19" t="s">
        <v>1025</v>
      </c>
      <c r="E268" s="19" t="s">
        <v>649</v>
      </c>
      <c r="F268" s="19" t="s">
        <v>551</v>
      </c>
      <c r="G268" s="7" t="s">
        <v>566</v>
      </c>
      <c r="H268" s="19" t="s">
        <v>814</v>
      </c>
      <c r="I268" s="19" t="s">
        <v>1033</v>
      </c>
      <c r="J268" s="19" t="s">
        <v>687</v>
      </c>
      <c r="K268" s="42">
        <f>0/11</f>
        <v>0</v>
      </c>
    </row>
    <row r="269" spans="1:11" s="21" customFormat="1" x14ac:dyDescent="0.25">
      <c r="A269" s="19" t="s">
        <v>682</v>
      </c>
      <c r="B269" s="70">
        <v>1</v>
      </c>
      <c r="C269" s="7" t="s">
        <v>1129</v>
      </c>
      <c r="D269" s="19" t="s">
        <v>1014</v>
      </c>
      <c r="E269" s="19" t="s">
        <v>649</v>
      </c>
      <c r="F269" s="19" t="s">
        <v>551</v>
      </c>
      <c r="G269" s="7" t="s">
        <v>566</v>
      </c>
      <c r="H269" s="19" t="s">
        <v>814</v>
      </c>
      <c r="I269" s="19" t="s">
        <v>1033</v>
      </c>
      <c r="J269" s="19" t="s">
        <v>687</v>
      </c>
      <c r="K269" s="42">
        <f>0/20</f>
        <v>0</v>
      </c>
    </row>
    <row r="270" spans="1:11" s="21" customFormat="1" x14ac:dyDescent="0.25">
      <c r="A270" s="19" t="s">
        <v>682</v>
      </c>
      <c r="B270" s="70">
        <v>1</v>
      </c>
      <c r="C270" s="7" t="s">
        <v>1129</v>
      </c>
      <c r="D270" s="19" t="s">
        <v>1014</v>
      </c>
      <c r="E270" s="19" t="s">
        <v>1005</v>
      </c>
      <c r="F270" s="19" t="s">
        <v>551</v>
      </c>
      <c r="G270" s="7" t="s">
        <v>566</v>
      </c>
      <c r="H270" s="19" t="s">
        <v>814</v>
      </c>
      <c r="I270" s="19" t="s">
        <v>1033</v>
      </c>
      <c r="J270" s="19" t="s">
        <v>687</v>
      </c>
      <c r="K270" s="42">
        <f>0/20</f>
        <v>0</v>
      </c>
    </row>
    <row r="271" spans="1:11" s="3" customFormat="1" x14ac:dyDescent="0.25">
      <c r="A271" s="12" t="s">
        <v>1138</v>
      </c>
      <c r="B271" s="70">
        <v>0</v>
      </c>
      <c r="C271" s="53" t="s">
        <v>548</v>
      </c>
      <c r="D271" s="7" t="s">
        <v>1000</v>
      </c>
      <c r="E271" s="14" t="s">
        <v>1001</v>
      </c>
      <c r="F271" s="14" t="s">
        <v>550</v>
      </c>
      <c r="G271" s="11" t="s">
        <v>398</v>
      </c>
      <c r="H271" s="7" t="s">
        <v>331</v>
      </c>
      <c r="I271" s="7" t="s">
        <v>1003</v>
      </c>
      <c r="J271" s="7" t="s">
        <v>396</v>
      </c>
      <c r="K271" s="10">
        <f>AVERAGE(0/AVERAGE(100,31),2/AVERAGE(0,20),1/AVERAGE(31,48),AVERAGE(2,12)/AVERAGE(1,13,9,9),AVERAGE(0,0)/AVERAGE(8,47,19,4),AVERAGE(0,4)/AVERAGE(1,0,6,7,6))</f>
        <v>0.26671940928270044</v>
      </c>
    </row>
    <row r="272" spans="1:11" s="3" customFormat="1" x14ac:dyDescent="0.25">
      <c r="A272" s="53" t="s">
        <v>466</v>
      </c>
      <c r="B272" s="70">
        <v>1</v>
      </c>
      <c r="C272" s="53" t="s">
        <v>548</v>
      </c>
      <c r="D272" s="19" t="s">
        <v>552</v>
      </c>
      <c r="E272" s="14" t="s">
        <v>606</v>
      </c>
      <c r="F272" s="14" t="s">
        <v>550</v>
      </c>
      <c r="G272" s="11" t="s">
        <v>398</v>
      </c>
      <c r="H272" s="19" t="s">
        <v>208</v>
      </c>
      <c r="I272" s="19" t="s">
        <v>463</v>
      </c>
      <c r="J272" s="19" t="s">
        <v>1168</v>
      </c>
      <c r="K272" s="10">
        <f>(9/28)/(17/21)</f>
        <v>0.3970588235294118</v>
      </c>
    </row>
    <row r="273" spans="1:11" s="3" customFormat="1" x14ac:dyDescent="0.25">
      <c r="A273" s="53" t="s">
        <v>466</v>
      </c>
      <c r="B273" s="70">
        <v>1</v>
      </c>
      <c r="C273" s="53" t="s">
        <v>548</v>
      </c>
      <c r="D273" s="19" t="s">
        <v>552</v>
      </c>
      <c r="E273" s="14" t="s">
        <v>606</v>
      </c>
      <c r="F273" s="14" t="s">
        <v>550</v>
      </c>
      <c r="G273" s="11" t="s">
        <v>398</v>
      </c>
      <c r="H273" s="19" t="s">
        <v>467</v>
      </c>
      <c r="I273" s="19" t="s">
        <v>463</v>
      </c>
      <c r="J273" s="19" t="s">
        <v>1168</v>
      </c>
      <c r="K273" s="10">
        <f>(4/28)/(19/21)</f>
        <v>0.15789473684210525</v>
      </c>
    </row>
    <row r="274" spans="1:11" s="3" customFormat="1" x14ac:dyDescent="0.25">
      <c r="A274" s="53" t="s">
        <v>455</v>
      </c>
      <c r="B274" s="70">
        <v>0</v>
      </c>
      <c r="C274" s="53" t="s">
        <v>185</v>
      </c>
      <c r="D274" s="19" t="s">
        <v>1016</v>
      </c>
      <c r="E274" s="14" t="s">
        <v>1133</v>
      </c>
      <c r="F274" s="14" t="s">
        <v>373</v>
      </c>
      <c r="G274" s="11" t="s">
        <v>374</v>
      </c>
      <c r="H274" s="19" t="s">
        <v>374</v>
      </c>
      <c r="I274" s="19" t="s">
        <v>1008</v>
      </c>
      <c r="J274" s="19" t="s">
        <v>506</v>
      </c>
      <c r="K274" s="10">
        <f>AVERAGE(7/10,5/7)</f>
        <v>0.70714285714285707</v>
      </c>
    </row>
    <row r="275" spans="1:11" s="3" customFormat="1" x14ac:dyDescent="0.25">
      <c r="A275" s="12" t="s">
        <v>199</v>
      </c>
      <c r="B275" s="70">
        <v>1</v>
      </c>
      <c r="C275" s="53" t="s">
        <v>185</v>
      </c>
      <c r="D275" s="7" t="s">
        <v>1000</v>
      </c>
      <c r="E275" s="14" t="s">
        <v>930</v>
      </c>
      <c r="F275" s="14" t="s">
        <v>551</v>
      </c>
      <c r="G275" s="11" t="s">
        <v>1002</v>
      </c>
      <c r="H275" s="7" t="s">
        <v>1002</v>
      </c>
      <c r="I275" s="7" t="s">
        <v>1008</v>
      </c>
      <c r="J275" s="7" t="s">
        <v>387</v>
      </c>
      <c r="K275" s="10">
        <f>7/AVERAGE(42,47,58,93,53)</f>
        <v>0.11945392491467577</v>
      </c>
    </row>
    <row r="276" spans="1:11" s="3" customFormat="1" x14ac:dyDescent="0.25">
      <c r="A276" s="12" t="s">
        <v>821</v>
      </c>
      <c r="B276" s="70">
        <v>1</v>
      </c>
      <c r="C276" s="7" t="s">
        <v>1129</v>
      </c>
      <c r="D276" s="7" t="s">
        <v>1022</v>
      </c>
      <c r="E276" s="14" t="s">
        <v>1018</v>
      </c>
      <c r="F276" s="14" t="s">
        <v>551</v>
      </c>
      <c r="G276" s="11" t="s">
        <v>566</v>
      </c>
      <c r="H276" s="7" t="s">
        <v>566</v>
      </c>
      <c r="I276" s="7" t="s">
        <v>1030</v>
      </c>
      <c r="J276" s="7" t="s">
        <v>23</v>
      </c>
      <c r="K276" s="10">
        <f>55.6/AVERAGE(75,86.7)</f>
        <v>0.68769325912183066</v>
      </c>
    </row>
    <row r="277" spans="1:11" s="3" customFormat="1" x14ac:dyDescent="0.25">
      <c r="A277" s="12" t="s">
        <v>821</v>
      </c>
      <c r="B277" s="70">
        <v>1</v>
      </c>
      <c r="C277" s="7" t="s">
        <v>1129</v>
      </c>
      <c r="D277" s="7" t="s">
        <v>1022</v>
      </c>
      <c r="E277" s="14" t="s">
        <v>1018</v>
      </c>
      <c r="F277" s="14" t="s">
        <v>551</v>
      </c>
      <c r="G277" s="11" t="s">
        <v>401</v>
      </c>
      <c r="H277" s="19" t="s">
        <v>1007</v>
      </c>
      <c r="I277" s="19" t="s">
        <v>1030</v>
      </c>
      <c r="J277" s="7" t="s">
        <v>23</v>
      </c>
      <c r="K277" s="10">
        <f>52.6/20</f>
        <v>2.63</v>
      </c>
    </row>
    <row r="278" spans="1:11" s="3" customFormat="1" x14ac:dyDescent="0.25">
      <c r="A278" s="7" t="s">
        <v>840</v>
      </c>
      <c r="B278" s="70">
        <v>1</v>
      </c>
      <c r="C278" s="53" t="s">
        <v>185</v>
      </c>
      <c r="D278" s="7" t="s">
        <v>1016</v>
      </c>
      <c r="E278" s="7" t="s">
        <v>1133</v>
      </c>
      <c r="F278" s="7" t="s">
        <v>550</v>
      </c>
      <c r="G278" s="7" t="s">
        <v>399</v>
      </c>
      <c r="H278" s="7" t="s">
        <v>841</v>
      </c>
      <c r="I278" s="7" t="s">
        <v>1008</v>
      </c>
      <c r="J278" s="7" t="s">
        <v>1096</v>
      </c>
      <c r="K278" s="10">
        <f>(100-68)/(100-84)</f>
        <v>2</v>
      </c>
    </row>
    <row r="279" spans="1:11" s="3" customFormat="1" x14ac:dyDescent="0.25">
      <c r="A279" s="7" t="s">
        <v>840</v>
      </c>
      <c r="B279" s="70">
        <v>1</v>
      </c>
      <c r="C279" s="53" t="s">
        <v>185</v>
      </c>
      <c r="D279" s="7" t="s">
        <v>1016</v>
      </c>
      <c r="E279" s="7" t="s">
        <v>1133</v>
      </c>
      <c r="F279" s="7" t="s">
        <v>550</v>
      </c>
      <c r="G279" s="7" t="s">
        <v>399</v>
      </c>
      <c r="H279" s="7" t="s">
        <v>965</v>
      </c>
      <c r="I279" s="7" t="s">
        <v>1008</v>
      </c>
      <c r="J279" s="7" t="s">
        <v>1096</v>
      </c>
      <c r="K279" s="10">
        <f>(100-56)/(100-67)</f>
        <v>1.3333333333333333</v>
      </c>
    </row>
    <row r="280" spans="1:11" s="3" customFormat="1" x14ac:dyDescent="0.25">
      <c r="A280" s="7" t="s">
        <v>840</v>
      </c>
      <c r="B280" s="70">
        <v>1</v>
      </c>
      <c r="C280" s="53" t="s">
        <v>185</v>
      </c>
      <c r="D280" s="7" t="s">
        <v>1016</v>
      </c>
      <c r="E280" s="7" t="s">
        <v>1133</v>
      </c>
      <c r="F280" s="7" t="s">
        <v>550</v>
      </c>
      <c r="G280" s="7" t="s">
        <v>399</v>
      </c>
      <c r="H280" s="7" t="s">
        <v>955</v>
      </c>
      <c r="I280" s="7" t="s">
        <v>1008</v>
      </c>
      <c r="J280" s="7" t="s">
        <v>1096</v>
      </c>
      <c r="K280" s="10">
        <f>(100-73)/(100-50)</f>
        <v>0.54</v>
      </c>
    </row>
    <row r="281" spans="1:11" s="3" customFormat="1" x14ac:dyDescent="0.25">
      <c r="A281" s="7" t="s">
        <v>840</v>
      </c>
      <c r="B281" s="70">
        <v>1</v>
      </c>
      <c r="C281" s="53" t="s">
        <v>185</v>
      </c>
      <c r="D281" s="7" t="s">
        <v>1016</v>
      </c>
      <c r="E281" s="7" t="s">
        <v>1133</v>
      </c>
      <c r="F281" s="7" t="s">
        <v>550</v>
      </c>
      <c r="G281" s="7" t="s">
        <v>398</v>
      </c>
      <c r="H281" s="7" t="s">
        <v>842</v>
      </c>
      <c r="I281" s="7" t="s">
        <v>1008</v>
      </c>
      <c r="J281" s="7" t="s">
        <v>1096</v>
      </c>
      <c r="K281" s="10">
        <f>(100-77)/(100-82)</f>
        <v>1.2777777777777777</v>
      </c>
    </row>
    <row r="282" spans="1:11" s="3" customFormat="1" x14ac:dyDescent="0.25">
      <c r="A282" s="12" t="s">
        <v>773</v>
      </c>
      <c r="B282" s="70">
        <v>1</v>
      </c>
      <c r="C282" s="7" t="s">
        <v>1129</v>
      </c>
      <c r="D282" s="7" t="s">
        <v>1009</v>
      </c>
      <c r="E282" s="7" t="s">
        <v>1001</v>
      </c>
      <c r="F282" s="7" t="s">
        <v>551</v>
      </c>
      <c r="G282" s="7" t="s">
        <v>566</v>
      </c>
      <c r="H282" s="7" t="s">
        <v>1024</v>
      </c>
      <c r="I282" s="7" t="s">
        <v>1015</v>
      </c>
      <c r="J282" s="7" t="s">
        <v>396</v>
      </c>
      <c r="K282" s="10">
        <f>(AVERAGE(0,1,0,2)/AVERAGE(25,34,6,14))/(AVERAGE(12,1,21,8,45,1,6,19)/AVERAGE(51,17,25,12,120,9,20,65))</f>
        <v>0.10720286770471603</v>
      </c>
    </row>
    <row r="283" spans="1:11" s="3" customFormat="1" x14ac:dyDescent="0.25">
      <c r="A283" s="12" t="s">
        <v>773</v>
      </c>
      <c r="B283" s="70">
        <v>1</v>
      </c>
      <c r="C283" s="7" t="s">
        <v>1129</v>
      </c>
      <c r="D283" s="7" t="s">
        <v>1009</v>
      </c>
      <c r="E283" s="7" t="s">
        <v>742</v>
      </c>
      <c r="F283" s="7" t="s">
        <v>551</v>
      </c>
      <c r="G283" s="7" t="s">
        <v>566</v>
      </c>
      <c r="H283" s="7" t="s">
        <v>1024</v>
      </c>
      <c r="I283" s="7" t="s">
        <v>1015</v>
      </c>
      <c r="J283" s="7" t="s">
        <v>396</v>
      </c>
      <c r="K283" s="10">
        <f>(1/9)/(SUM(0,0,4,0,0,0)/SUM(8,6,35,18,7,39))</f>
        <v>3.1388888888888888</v>
      </c>
    </row>
    <row r="284" spans="1:11" s="3" customFormat="1" x14ac:dyDescent="0.25">
      <c r="A284" s="12" t="s">
        <v>774</v>
      </c>
      <c r="B284" s="70">
        <v>1</v>
      </c>
      <c r="C284" s="53" t="s">
        <v>185</v>
      </c>
      <c r="D284" s="7" t="s">
        <v>745</v>
      </c>
      <c r="E284" s="7" t="s">
        <v>1023</v>
      </c>
      <c r="F284" s="7" t="s">
        <v>551</v>
      </c>
      <c r="G284" s="7" t="s">
        <v>401</v>
      </c>
      <c r="H284" s="7" t="s">
        <v>1007</v>
      </c>
      <c r="I284" s="7" t="s">
        <v>555</v>
      </c>
      <c r="J284" s="7" t="s">
        <v>765</v>
      </c>
      <c r="K284" s="10">
        <f>AVERAGE(AVERAGE(0.1,0.1)/4.7,AVERAGE(0.8,0.6)/4.8,AVERAGE(4.7,2.7)/8.8)</f>
        <v>0.19585482484418656</v>
      </c>
    </row>
    <row r="285" spans="1:11" s="3" customFormat="1" x14ac:dyDescent="0.25">
      <c r="A285" s="12" t="s">
        <v>774</v>
      </c>
      <c r="B285" s="70">
        <v>1</v>
      </c>
      <c r="C285" s="53" t="s">
        <v>185</v>
      </c>
      <c r="D285" s="7" t="s">
        <v>745</v>
      </c>
      <c r="E285" s="7" t="s">
        <v>1023</v>
      </c>
      <c r="F285" s="7" t="s">
        <v>551</v>
      </c>
      <c r="G285" s="7" t="s">
        <v>401</v>
      </c>
      <c r="H285" s="7" t="s">
        <v>553</v>
      </c>
      <c r="I285" s="7" t="s">
        <v>555</v>
      </c>
      <c r="J285" s="7" t="s">
        <v>765</v>
      </c>
      <c r="K285" s="10">
        <f>AVERAGE(15,14.2)/45</f>
        <v>0.32444444444444442</v>
      </c>
    </row>
    <row r="286" spans="1:11" s="3" customFormat="1" x14ac:dyDescent="0.25">
      <c r="A286" s="12" t="s">
        <v>774</v>
      </c>
      <c r="B286" s="70">
        <v>1</v>
      </c>
      <c r="C286" s="53" t="s">
        <v>185</v>
      </c>
      <c r="D286" s="7" t="s">
        <v>554</v>
      </c>
      <c r="E286" s="7" t="s">
        <v>1023</v>
      </c>
      <c r="F286" s="7" t="s">
        <v>550</v>
      </c>
      <c r="G286" s="7" t="s">
        <v>399</v>
      </c>
      <c r="H286" s="7" t="s">
        <v>211</v>
      </c>
      <c r="I286" s="7" t="s">
        <v>555</v>
      </c>
      <c r="J286" s="7" t="s">
        <v>765</v>
      </c>
      <c r="K286" s="10">
        <f>AVERAGE(AVERAGE(2.2,1.6)/15.7,AVERAGE(12.1,8.6)/31.1,AVERAGE(1.5,0.7)/9.4,AVERAGE(3.8,4.2)/10.9,AVERAGE(1.6,2.6)/6,AVERAGE(2.2,1.7)/4,AVERAGE(4.7,4.1)/9.7)</f>
        <v>0.31841693385937619</v>
      </c>
    </row>
    <row r="287" spans="1:11" s="3" customFormat="1" x14ac:dyDescent="0.25">
      <c r="A287" s="12" t="s">
        <v>775</v>
      </c>
      <c r="B287" s="70">
        <v>1</v>
      </c>
      <c r="C287" s="7" t="s">
        <v>1129</v>
      </c>
      <c r="D287" s="7" t="s">
        <v>1016</v>
      </c>
      <c r="E287" s="7" t="s">
        <v>1001</v>
      </c>
      <c r="F287" s="7" t="s">
        <v>551</v>
      </c>
      <c r="G287" s="7" t="s">
        <v>401</v>
      </c>
      <c r="H287" s="7" t="s">
        <v>1013</v>
      </c>
      <c r="I287" s="7" t="s">
        <v>1008</v>
      </c>
      <c r="J287" s="7" t="s">
        <v>396</v>
      </c>
      <c r="K287" s="10">
        <f>(0/(AVERAGE(8,29)*301))/(2/(AVERAGE(8,29)*333))</f>
        <v>0</v>
      </c>
    </row>
    <row r="288" spans="1:11" s="3" customFormat="1" x14ac:dyDescent="0.25">
      <c r="A288" s="12" t="s">
        <v>775</v>
      </c>
      <c r="B288" s="70">
        <v>1</v>
      </c>
      <c r="C288" s="7" t="s">
        <v>1129</v>
      </c>
      <c r="D288" s="7" t="s">
        <v>1009</v>
      </c>
      <c r="E288" s="7" t="s">
        <v>1001</v>
      </c>
      <c r="F288" s="7" t="s">
        <v>551</v>
      </c>
      <c r="G288" s="7" t="s">
        <v>401</v>
      </c>
      <c r="H288" s="7" t="s">
        <v>1013</v>
      </c>
      <c r="I288" s="7" t="s">
        <v>1008</v>
      </c>
      <c r="J288" s="7" t="s">
        <v>396</v>
      </c>
      <c r="K288" s="10">
        <f>(16/(AVERAGE(8,29)*301))/(6/(AVERAGE(8,29)*333))</f>
        <v>2.9501661129568109</v>
      </c>
    </row>
    <row r="289" spans="1:11" s="3" customFormat="1" x14ac:dyDescent="0.25">
      <c r="A289" s="12" t="s">
        <v>775</v>
      </c>
      <c r="B289" s="70">
        <v>1</v>
      </c>
      <c r="C289" s="7" t="s">
        <v>1129</v>
      </c>
      <c r="D289" s="7" t="s">
        <v>1029</v>
      </c>
      <c r="E289" s="7" t="s">
        <v>1001</v>
      </c>
      <c r="F289" s="7" t="s">
        <v>551</v>
      </c>
      <c r="G289" s="7" t="s">
        <v>401</v>
      </c>
      <c r="H289" s="7" t="s">
        <v>1013</v>
      </c>
      <c r="I289" s="7" t="s">
        <v>1008</v>
      </c>
      <c r="J289" s="7" t="s">
        <v>396</v>
      </c>
      <c r="K289" s="10">
        <f>(22/(AVERAGE(8,29)*301))/(10/(AVERAGE(8,29)*333))</f>
        <v>2.4338870431893689</v>
      </c>
    </row>
    <row r="290" spans="1:11" s="3" customFormat="1" x14ac:dyDescent="0.25">
      <c r="A290" s="12" t="s">
        <v>775</v>
      </c>
      <c r="B290" s="70">
        <v>1</v>
      </c>
      <c r="C290" s="7" t="s">
        <v>1129</v>
      </c>
      <c r="D290" s="7" t="s">
        <v>552</v>
      </c>
      <c r="E290" s="7" t="s">
        <v>1001</v>
      </c>
      <c r="F290" s="7" t="s">
        <v>551</v>
      </c>
      <c r="G290" s="7" t="s">
        <v>401</v>
      </c>
      <c r="H290" s="7" t="s">
        <v>1013</v>
      </c>
      <c r="I290" s="7" t="s">
        <v>1008</v>
      </c>
      <c r="J290" s="7" t="s">
        <v>396</v>
      </c>
      <c r="K290" s="10">
        <f>(2/(AVERAGE(8,29)*301))/(3/(AVERAGE(8,29)*333))</f>
        <v>0.73754152823920271</v>
      </c>
    </row>
    <row r="291" spans="1:11" s="3" customFormat="1" x14ac:dyDescent="0.25">
      <c r="A291" s="12" t="s">
        <v>775</v>
      </c>
      <c r="B291" s="70">
        <v>1</v>
      </c>
      <c r="C291" s="7" t="s">
        <v>1129</v>
      </c>
      <c r="D291" s="7" t="s">
        <v>1000</v>
      </c>
      <c r="E291" s="7" t="s">
        <v>1001</v>
      </c>
      <c r="F291" s="7" t="s">
        <v>551</v>
      </c>
      <c r="G291" s="7" t="s">
        <v>401</v>
      </c>
      <c r="H291" s="7" t="s">
        <v>1013</v>
      </c>
      <c r="I291" s="7" t="s">
        <v>1008</v>
      </c>
      <c r="J291" s="7" t="s">
        <v>396</v>
      </c>
      <c r="K291" s="10">
        <f>(63/(AVERAGE(8,29)*301))/(193/(AVERAGE(8,29)*333))</f>
        <v>0.3611278467285215</v>
      </c>
    </row>
    <row r="292" spans="1:11" s="3" customFormat="1" x14ac:dyDescent="0.25">
      <c r="A292" s="12" t="s">
        <v>775</v>
      </c>
      <c r="B292" s="70">
        <v>1</v>
      </c>
      <c r="C292" s="7" t="s">
        <v>1129</v>
      </c>
      <c r="D292" s="7" t="s">
        <v>1097</v>
      </c>
      <c r="E292" s="7" t="s">
        <v>405</v>
      </c>
      <c r="F292" s="7" t="s">
        <v>551</v>
      </c>
      <c r="G292" s="7" t="s">
        <v>401</v>
      </c>
      <c r="H292" s="7" t="s">
        <v>1013</v>
      </c>
      <c r="I292" s="7" t="s">
        <v>1008</v>
      </c>
      <c r="J292" s="7" t="s">
        <v>1117</v>
      </c>
      <c r="K292" s="40">
        <f>0.015/0.023</f>
        <v>0.65217391304347827</v>
      </c>
    </row>
    <row r="293" spans="1:11" s="3" customFormat="1" x14ac:dyDescent="0.25">
      <c r="A293" s="12" t="s">
        <v>775</v>
      </c>
      <c r="B293" s="70">
        <v>1</v>
      </c>
      <c r="C293" s="7" t="s">
        <v>1129</v>
      </c>
      <c r="D293" s="7" t="s">
        <v>1097</v>
      </c>
      <c r="E293" s="7" t="s">
        <v>404</v>
      </c>
      <c r="F293" s="7" t="s">
        <v>551</v>
      </c>
      <c r="G293" s="7" t="s">
        <v>401</v>
      </c>
      <c r="H293" s="7" t="s">
        <v>1013</v>
      </c>
      <c r="I293" s="7" t="s">
        <v>1008</v>
      </c>
      <c r="J293" s="7" t="s">
        <v>1117</v>
      </c>
      <c r="K293" s="10">
        <f>0.089/0.114</f>
        <v>0.7807017543859649</v>
      </c>
    </row>
    <row r="294" spans="1:11" s="3" customFormat="1" x14ac:dyDescent="0.25">
      <c r="A294" s="12" t="s">
        <v>755</v>
      </c>
      <c r="B294" s="70">
        <v>0</v>
      </c>
      <c r="C294" s="7" t="s">
        <v>1129</v>
      </c>
      <c r="D294" s="7" t="s">
        <v>756</v>
      </c>
      <c r="E294" s="7" t="s">
        <v>1001</v>
      </c>
      <c r="F294" s="7" t="s">
        <v>551</v>
      </c>
      <c r="G294" s="7" t="s">
        <v>1002</v>
      </c>
      <c r="H294" s="7" t="s">
        <v>1002</v>
      </c>
      <c r="I294" s="7" t="s">
        <v>902</v>
      </c>
      <c r="J294" s="7" t="s">
        <v>396</v>
      </c>
      <c r="K294" s="10">
        <f>(2/839)/(84/675)</f>
        <v>1.9155457176911288E-2</v>
      </c>
    </row>
    <row r="295" spans="1:11" s="3" customFormat="1" x14ac:dyDescent="0.25">
      <c r="A295" s="12" t="s">
        <v>28</v>
      </c>
      <c r="B295" s="70">
        <v>1</v>
      </c>
      <c r="C295" s="7" t="s">
        <v>1129</v>
      </c>
      <c r="D295" s="7" t="s">
        <v>1022</v>
      </c>
      <c r="E295" s="7" t="s">
        <v>1162</v>
      </c>
      <c r="F295" s="7" t="s">
        <v>551</v>
      </c>
      <c r="G295" s="7" t="s">
        <v>654</v>
      </c>
      <c r="H295" s="7" t="s">
        <v>654</v>
      </c>
      <c r="I295" s="7" t="s">
        <v>29</v>
      </c>
      <c r="J295" s="7" t="s">
        <v>396</v>
      </c>
      <c r="K295" s="10">
        <f>((172+31+15)/1141)/((609+314)/1141)</f>
        <v>0.23618634886240522</v>
      </c>
    </row>
    <row r="296" spans="1:11" s="3" customFormat="1" x14ac:dyDescent="0.25">
      <c r="A296" s="12" t="s">
        <v>28</v>
      </c>
      <c r="B296" s="70">
        <v>1</v>
      </c>
      <c r="C296" s="7" t="s">
        <v>1129</v>
      </c>
      <c r="D296" s="7" t="s">
        <v>680</v>
      </c>
      <c r="E296" s="7" t="s">
        <v>1162</v>
      </c>
      <c r="F296" s="7" t="s">
        <v>551</v>
      </c>
      <c r="G296" s="7" t="s">
        <v>654</v>
      </c>
      <c r="H296" s="7" t="s">
        <v>654</v>
      </c>
      <c r="I296" s="7" t="s">
        <v>29</v>
      </c>
      <c r="J296" s="7" t="s">
        <v>396</v>
      </c>
      <c r="K296" s="10">
        <f>((98+79)/740)/((368+105)/740)</f>
        <v>0.3742071881606765</v>
      </c>
    </row>
    <row r="297" spans="1:11" s="3" customFormat="1" x14ac:dyDescent="0.25">
      <c r="A297" s="48" t="s">
        <v>776</v>
      </c>
      <c r="B297" s="70">
        <v>1</v>
      </c>
      <c r="C297" s="53" t="s">
        <v>185</v>
      </c>
      <c r="D297" s="7" t="s">
        <v>556</v>
      </c>
      <c r="E297" s="7" t="s">
        <v>1133</v>
      </c>
      <c r="F297" s="7" t="s">
        <v>550</v>
      </c>
      <c r="G297" s="7" t="s">
        <v>398</v>
      </c>
      <c r="H297" s="7" t="s">
        <v>1076</v>
      </c>
      <c r="I297" s="7" t="s">
        <v>1003</v>
      </c>
      <c r="J297" s="7" t="s">
        <v>506</v>
      </c>
      <c r="K297" s="10">
        <f>((27-2)/27)/(27/27)</f>
        <v>0.92592592592592593</v>
      </c>
    </row>
    <row r="298" spans="1:11" s="3" customFormat="1" x14ac:dyDescent="0.25">
      <c r="A298" s="48" t="s">
        <v>776</v>
      </c>
      <c r="B298" s="70">
        <v>1</v>
      </c>
      <c r="C298" s="53" t="s">
        <v>185</v>
      </c>
      <c r="D298" s="7" t="s">
        <v>556</v>
      </c>
      <c r="E298" s="7" t="s">
        <v>1133</v>
      </c>
      <c r="F298" s="7" t="s">
        <v>550</v>
      </c>
      <c r="G298" s="7" t="s">
        <v>278</v>
      </c>
      <c r="H298" s="7" t="s">
        <v>324</v>
      </c>
      <c r="I298" s="7" t="s">
        <v>1003</v>
      </c>
      <c r="J298" s="7" t="s">
        <v>506</v>
      </c>
      <c r="K298" s="10">
        <f>((4+1+1)/11)/(11/11)</f>
        <v>0.54545454545454541</v>
      </c>
    </row>
    <row r="299" spans="1:11" s="3" customFormat="1" x14ac:dyDescent="0.25">
      <c r="A299" s="48" t="s">
        <v>776</v>
      </c>
      <c r="B299" s="70">
        <v>1</v>
      </c>
      <c r="C299" s="53" t="s">
        <v>185</v>
      </c>
      <c r="D299" s="7" t="s">
        <v>556</v>
      </c>
      <c r="E299" s="7" t="s">
        <v>1133</v>
      </c>
      <c r="F299" s="7" t="s">
        <v>550</v>
      </c>
      <c r="G299" s="7" t="s">
        <v>278</v>
      </c>
      <c r="H299" s="7" t="s">
        <v>323</v>
      </c>
      <c r="I299" s="7" t="s">
        <v>1003</v>
      </c>
      <c r="J299" s="7" t="s">
        <v>506</v>
      </c>
      <c r="K299" s="10">
        <f>((15-5)/15)/(15/15)</f>
        <v>0.66666666666666663</v>
      </c>
    </row>
    <row r="300" spans="1:11" s="3" customFormat="1" x14ac:dyDescent="0.25">
      <c r="A300" s="48" t="s">
        <v>200</v>
      </c>
      <c r="B300" s="70">
        <v>1</v>
      </c>
      <c r="C300" s="53" t="s">
        <v>185</v>
      </c>
      <c r="D300" s="7" t="s">
        <v>1010</v>
      </c>
      <c r="E300" s="7" t="s">
        <v>1133</v>
      </c>
      <c r="F300" s="7" t="s">
        <v>373</v>
      </c>
      <c r="G300" s="7" t="s">
        <v>374</v>
      </c>
      <c r="H300" s="7" t="s">
        <v>374</v>
      </c>
      <c r="I300" s="7" t="s">
        <v>1008</v>
      </c>
      <c r="J300" s="7" t="s">
        <v>506</v>
      </c>
      <c r="K300" s="10">
        <f>12/20</f>
        <v>0.6</v>
      </c>
    </row>
    <row r="301" spans="1:11" s="21" customFormat="1" x14ac:dyDescent="0.25">
      <c r="A301" s="18" t="s">
        <v>150</v>
      </c>
      <c r="B301" s="70">
        <v>0</v>
      </c>
      <c r="C301" s="53" t="s">
        <v>185</v>
      </c>
      <c r="D301" s="19" t="s">
        <v>1050</v>
      </c>
      <c r="E301" s="19" t="s">
        <v>310</v>
      </c>
      <c r="F301" s="19" t="s">
        <v>373</v>
      </c>
      <c r="G301" s="19" t="s">
        <v>374</v>
      </c>
      <c r="H301" s="19" t="s">
        <v>374</v>
      </c>
      <c r="I301" s="19" t="s">
        <v>1052</v>
      </c>
      <c r="J301" s="19" t="s">
        <v>1064</v>
      </c>
      <c r="K301" s="20">
        <f>0/1</f>
        <v>0</v>
      </c>
    </row>
    <row r="302" spans="1:11" s="21" customFormat="1" x14ac:dyDescent="0.25">
      <c r="A302" s="18" t="s">
        <v>631</v>
      </c>
      <c r="B302" s="70">
        <v>1</v>
      </c>
      <c r="C302" s="7" t="s">
        <v>1129</v>
      </c>
      <c r="D302" s="19" t="s">
        <v>1000</v>
      </c>
      <c r="E302" s="19" t="s">
        <v>1133</v>
      </c>
      <c r="F302" s="19" t="s">
        <v>550</v>
      </c>
      <c r="G302" s="19" t="s">
        <v>398</v>
      </c>
      <c r="H302" s="19" t="s">
        <v>207</v>
      </c>
      <c r="I302" s="19" t="s">
        <v>1008</v>
      </c>
      <c r="J302" s="19" t="s">
        <v>157</v>
      </c>
      <c r="K302" s="20">
        <f>AVERAGE(100,92,92,75,75,100,92,92,67,58)/AVERAGE(92,75,67,58,58,100,92,83,83,83)</f>
        <v>1.0657395701643491</v>
      </c>
    </row>
    <row r="303" spans="1:11" s="3" customFormat="1" x14ac:dyDescent="0.25">
      <c r="A303" s="48" t="s">
        <v>1079</v>
      </c>
      <c r="B303" s="70">
        <v>1</v>
      </c>
      <c r="C303" s="53" t="s">
        <v>185</v>
      </c>
      <c r="D303" s="7" t="s">
        <v>1010</v>
      </c>
      <c r="E303" s="7" t="s">
        <v>976</v>
      </c>
      <c r="F303" s="7" t="s">
        <v>373</v>
      </c>
      <c r="G303" s="7" t="s">
        <v>374</v>
      </c>
      <c r="H303" s="7" t="s">
        <v>374</v>
      </c>
      <c r="I303" s="7" t="s">
        <v>1003</v>
      </c>
      <c r="J303" s="7" t="s">
        <v>86</v>
      </c>
      <c r="K303" s="10">
        <f>(77/110)/(110/110)</f>
        <v>0.7</v>
      </c>
    </row>
    <row r="304" spans="1:11" s="3" customFormat="1" x14ac:dyDescent="0.25">
      <c r="A304" s="48" t="s">
        <v>7</v>
      </c>
      <c r="B304" s="70">
        <v>1</v>
      </c>
      <c r="C304" s="53" t="s">
        <v>185</v>
      </c>
      <c r="D304" s="7" t="s">
        <v>680</v>
      </c>
      <c r="E304" s="7" t="s">
        <v>1023</v>
      </c>
      <c r="F304" s="7" t="s">
        <v>280</v>
      </c>
      <c r="G304" s="7" t="s">
        <v>9</v>
      </c>
      <c r="H304" s="7" t="s">
        <v>456</v>
      </c>
      <c r="I304" s="7" t="s">
        <v>613</v>
      </c>
      <c r="J304" s="7" t="s">
        <v>11</v>
      </c>
      <c r="K304" s="10">
        <v>0</v>
      </c>
    </row>
    <row r="305" spans="1:11" s="3" customFormat="1" x14ac:dyDescent="0.25">
      <c r="A305" s="48" t="s">
        <v>7</v>
      </c>
      <c r="B305" s="70">
        <v>1</v>
      </c>
      <c r="C305" s="53" t="s">
        <v>185</v>
      </c>
      <c r="D305" s="7" t="s">
        <v>680</v>
      </c>
      <c r="E305" s="7" t="s">
        <v>1023</v>
      </c>
      <c r="F305" s="7" t="s">
        <v>280</v>
      </c>
      <c r="G305" s="7" t="s">
        <v>9</v>
      </c>
      <c r="H305" s="7" t="s">
        <v>1081</v>
      </c>
      <c r="I305" s="7" t="s">
        <v>29</v>
      </c>
      <c r="J305" s="7" t="s">
        <v>11</v>
      </c>
      <c r="K305" s="10">
        <f>0/3</f>
        <v>0</v>
      </c>
    </row>
    <row r="306" spans="1:11" s="3" customFormat="1" x14ac:dyDescent="0.25">
      <c r="A306" s="48" t="s">
        <v>1128</v>
      </c>
      <c r="B306" s="70">
        <v>0</v>
      </c>
      <c r="C306" s="7" t="s">
        <v>1129</v>
      </c>
      <c r="D306" s="7" t="s">
        <v>680</v>
      </c>
      <c r="E306" s="7" t="s">
        <v>1023</v>
      </c>
      <c r="F306" s="7" t="s">
        <v>551</v>
      </c>
      <c r="G306" s="7" t="s">
        <v>566</v>
      </c>
      <c r="H306" s="7" t="s">
        <v>269</v>
      </c>
      <c r="I306" s="7" t="s">
        <v>1130</v>
      </c>
      <c r="J306" s="7" t="s">
        <v>11</v>
      </c>
      <c r="K306" s="10">
        <v>0</v>
      </c>
    </row>
    <row r="307" spans="1:11" s="3" customFormat="1" x14ac:dyDescent="0.25">
      <c r="A307" s="48" t="s">
        <v>1128</v>
      </c>
      <c r="B307" s="70">
        <v>0</v>
      </c>
      <c r="C307" s="7" t="s">
        <v>185</v>
      </c>
      <c r="D307" s="7" t="s">
        <v>680</v>
      </c>
      <c r="E307" s="7" t="s">
        <v>1023</v>
      </c>
      <c r="F307" s="7" t="s">
        <v>551</v>
      </c>
      <c r="G307" s="7" t="s">
        <v>566</v>
      </c>
      <c r="H307" s="7" t="s">
        <v>268</v>
      </c>
      <c r="I307" s="7" t="s">
        <v>270</v>
      </c>
      <c r="J307" s="7" t="s">
        <v>11</v>
      </c>
      <c r="K307" s="10">
        <v>0</v>
      </c>
    </row>
    <row r="308" spans="1:11" s="3" customFormat="1" x14ac:dyDescent="0.25">
      <c r="A308" s="48" t="s">
        <v>1128</v>
      </c>
      <c r="B308" s="70">
        <v>0</v>
      </c>
      <c r="C308" s="7" t="s">
        <v>185</v>
      </c>
      <c r="D308" s="7" t="s">
        <v>680</v>
      </c>
      <c r="E308" s="7" t="s">
        <v>1023</v>
      </c>
      <c r="F308" s="7" t="s">
        <v>551</v>
      </c>
      <c r="G308" s="7" t="s">
        <v>566</v>
      </c>
      <c r="H308" s="7" t="s">
        <v>268</v>
      </c>
      <c r="I308" s="7" t="s">
        <v>613</v>
      </c>
      <c r="J308" s="7" t="s">
        <v>11</v>
      </c>
      <c r="K308" s="10">
        <v>0</v>
      </c>
    </row>
    <row r="309" spans="1:11" s="3" customFormat="1" x14ac:dyDescent="0.25">
      <c r="A309" s="48" t="s">
        <v>1128</v>
      </c>
      <c r="B309" s="70">
        <v>0</v>
      </c>
      <c r="C309" s="7" t="s">
        <v>548</v>
      </c>
      <c r="D309" s="7" t="s">
        <v>680</v>
      </c>
      <c r="E309" s="7" t="s">
        <v>1023</v>
      </c>
      <c r="F309" s="7" t="s">
        <v>551</v>
      </c>
      <c r="G309" s="7" t="s">
        <v>566</v>
      </c>
      <c r="H309" s="7" t="s">
        <v>1098</v>
      </c>
      <c r="I309" s="7" t="s">
        <v>61</v>
      </c>
      <c r="J309" s="7" t="s">
        <v>11</v>
      </c>
      <c r="K309" s="10">
        <v>0</v>
      </c>
    </row>
    <row r="310" spans="1:11" s="3" customFormat="1" x14ac:dyDescent="0.25">
      <c r="A310" s="48" t="s">
        <v>822</v>
      </c>
      <c r="B310" s="70">
        <v>1</v>
      </c>
      <c r="C310" s="7" t="s">
        <v>1129</v>
      </c>
      <c r="D310" s="7" t="s">
        <v>568</v>
      </c>
      <c r="E310" s="7" t="s">
        <v>1005</v>
      </c>
      <c r="F310" s="7" t="s">
        <v>551</v>
      </c>
      <c r="G310" s="7" t="s">
        <v>654</v>
      </c>
      <c r="H310" s="7" t="s">
        <v>654</v>
      </c>
      <c r="I310" s="7" t="s">
        <v>935</v>
      </c>
      <c r="J310" s="7" t="s">
        <v>1165</v>
      </c>
      <c r="K310" s="10">
        <f>(25+7)/65</f>
        <v>0.49230769230769234</v>
      </c>
    </row>
    <row r="311" spans="1:11" s="3" customFormat="1" x14ac:dyDescent="0.25">
      <c r="A311" s="12" t="s">
        <v>395</v>
      </c>
      <c r="B311" s="70">
        <v>1</v>
      </c>
      <c r="C311" s="53" t="s">
        <v>185</v>
      </c>
      <c r="D311" s="7" t="s">
        <v>1010</v>
      </c>
      <c r="E311" s="7" t="s">
        <v>1005</v>
      </c>
      <c r="F311" s="7" t="s">
        <v>280</v>
      </c>
      <c r="G311" s="7" t="s">
        <v>402</v>
      </c>
      <c r="H311" s="7" t="s">
        <v>1031</v>
      </c>
      <c r="I311" s="7" t="s">
        <v>1003</v>
      </c>
      <c r="J311" s="7" t="s">
        <v>158</v>
      </c>
      <c r="K311" s="10">
        <f>AVERAGE(101,73)/AVERAGE(53,11)</f>
        <v>2.71875</v>
      </c>
    </row>
    <row r="312" spans="1:11" s="3" customFormat="1" x14ac:dyDescent="0.25">
      <c r="A312" s="12" t="s">
        <v>861</v>
      </c>
      <c r="B312" s="70">
        <v>1</v>
      </c>
      <c r="C312" s="53" t="s">
        <v>185</v>
      </c>
      <c r="D312" s="7" t="s">
        <v>570</v>
      </c>
      <c r="E312" s="7" t="s">
        <v>0</v>
      </c>
      <c r="F312" s="7" t="s">
        <v>373</v>
      </c>
      <c r="G312" s="7" t="s">
        <v>374</v>
      </c>
      <c r="H312" s="7" t="s">
        <v>374</v>
      </c>
      <c r="I312" s="7" t="s">
        <v>613</v>
      </c>
      <c r="J312" s="7" t="s">
        <v>506</v>
      </c>
      <c r="K312" s="10">
        <f>7/11</f>
        <v>0.63636363636363635</v>
      </c>
    </row>
    <row r="313" spans="1:11" s="3" customFormat="1" x14ac:dyDescent="0.25">
      <c r="A313" s="12" t="s">
        <v>777</v>
      </c>
      <c r="B313" s="70">
        <v>1</v>
      </c>
      <c r="C313" s="53" t="s">
        <v>185</v>
      </c>
      <c r="D313" s="7" t="s">
        <v>1022</v>
      </c>
      <c r="E313" s="7" t="s">
        <v>1005</v>
      </c>
      <c r="F313" s="7" t="s">
        <v>550</v>
      </c>
      <c r="G313" s="7" t="s">
        <v>400</v>
      </c>
      <c r="H313" s="7" t="s">
        <v>507</v>
      </c>
      <c r="I313" s="7" t="s">
        <v>1003</v>
      </c>
      <c r="J313" s="7" t="s">
        <v>396</v>
      </c>
      <c r="K313" s="10">
        <f>(AVERAGE(0,0)/(100+100))/(AVERAGE(2,5,2,0)/(100+100))</f>
        <v>0</v>
      </c>
    </row>
    <row r="314" spans="1:11" s="3" customFormat="1" x14ac:dyDescent="0.25">
      <c r="A314" s="12" t="s">
        <v>632</v>
      </c>
      <c r="B314" s="70">
        <v>1</v>
      </c>
      <c r="C314" s="7" t="s">
        <v>1129</v>
      </c>
      <c r="D314" s="7" t="s">
        <v>1022</v>
      </c>
      <c r="E314" s="7" t="s">
        <v>606</v>
      </c>
      <c r="F314" s="7" t="s">
        <v>550</v>
      </c>
      <c r="G314" s="7" t="s">
        <v>400</v>
      </c>
      <c r="H314" s="7" t="s">
        <v>507</v>
      </c>
      <c r="I314" s="7" t="s">
        <v>1030</v>
      </c>
      <c r="J314" s="7" t="s">
        <v>26</v>
      </c>
      <c r="K314" s="10">
        <f>AVERAGE(15,14)/AVERAGE(40,36)</f>
        <v>0.38157894736842107</v>
      </c>
    </row>
    <row r="315" spans="1:11" s="3" customFormat="1" x14ac:dyDescent="0.25">
      <c r="A315" s="12" t="s">
        <v>808</v>
      </c>
      <c r="B315" s="70">
        <v>1</v>
      </c>
      <c r="C315" s="7" t="s">
        <v>1129</v>
      </c>
      <c r="D315" s="7" t="s">
        <v>1014</v>
      </c>
      <c r="E315" s="7" t="s">
        <v>809</v>
      </c>
      <c r="F315" s="7" t="s">
        <v>550</v>
      </c>
      <c r="G315" s="7" t="s">
        <v>400</v>
      </c>
      <c r="H315" s="7" t="s">
        <v>220</v>
      </c>
      <c r="I315" s="7" t="s">
        <v>613</v>
      </c>
      <c r="J315" s="7" t="s">
        <v>396</v>
      </c>
      <c r="K315" s="10">
        <f>(AVERAGE(1,2,1,2,1,1,2,1,0,2,3,2,4,6,4,4)/320)/(AVERAGE(5,6,4,4,4,15,3,2,5,4,3,2,2,4,1,2,3)/539)</f>
        <v>0.93372961956521749</v>
      </c>
    </row>
    <row r="316" spans="1:11" s="3" customFormat="1" x14ac:dyDescent="0.25">
      <c r="A316" s="12" t="s">
        <v>778</v>
      </c>
      <c r="B316" s="70">
        <v>1</v>
      </c>
      <c r="C316" s="53" t="s">
        <v>185</v>
      </c>
      <c r="D316" s="7" t="s">
        <v>557</v>
      </c>
      <c r="E316" s="7" t="s">
        <v>1001</v>
      </c>
      <c r="F316" s="7" t="s">
        <v>551</v>
      </c>
      <c r="G316" s="7" t="s">
        <v>1002</v>
      </c>
      <c r="H316" s="7" t="s">
        <v>1002</v>
      </c>
      <c r="I316" s="7" t="s">
        <v>1008</v>
      </c>
      <c r="J316" s="7" t="s">
        <v>396</v>
      </c>
      <c r="K316" s="10">
        <f>(3.5*4.1)/(41*3.3)</f>
        <v>0.10606060606060606</v>
      </c>
    </row>
    <row r="317" spans="1:11" s="3" customFormat="1" x14ac:dyDescent="0.25">
      <c r="A317" s="12" t="s">
        <v>360</v>
      </c>
      <c r="B317" s="70">
        <v>0</v>
      </c>
      <c r="C317" s="53" t="s">
        <v>185</v>
      </c>
      <c r="D317" s="7" t="s">
        <v>1004</v>
      </c>
      <c r="E317" s="7" t="s">
        <v>1001</v>
      </c>
      <c r="F317" s="7" t="s">
        <v>437</v>
      </c>
      <c r="G317" s="7" t="s">
        <v>130</v>
      </c>
      <c r="H317" s="7" t="s">
        <v>337</v>
      </c>
      <c r="I317" s="7" t="s">
        <v>1006</v>
      </c>
      <c r="J317" s="7" t="s">
        <v>1039</v>
      </c>
      <c r="K317" s="10">
        <f>AVERAGE(61,26,56,41,47,60,50,66,8,5,29,16,0,0)/AVERAGE(198,141,158,83,125,187)</f>
        <v>0.22341447789878285</v>
      </c>
    </row>
    <row r="318" spans="1:11" s="3" customFormat="1" x14ac:dyDescent="0.25">
      <c r="A318" s="12" t="s">
        <v>588</v>
      </c>
      <c r="B318" s="70">
        <v>0</v>
      </c>
      <c r="C318" s="19" t="s">
        <v>548</v>
      </c>
      <c r="D318" s="7" t="s">
        <v>1016</v>
      </c>
      <c r="E318" s="7" t="s">
        <v>474</v>
      </c>
      <c r="F318" s="7" t="s">
        <v>280</v>
      </c>
      <c r="G318" s="7" t="s">
        <v>402</v>
      </c>
      <c r="H318" s="7" t="s">
        <v>1095</v>
      </c>
      <c r="I318" s="7" t="s">
        <v>1008</v>
      </c>
      <c r="J318" s="7" t="s">
        <v>1038</v>
      </c>
      <c r="K318" s="10">
        <f>(35/5037)/AVERAGE(1798/6979,1647/6751,187/5048)</f>
        <v>3.8700818154564193E-2</v>
      </c>
    </row>
    <row r="319" spans="1:11" s="3" customFormat="1" x14ac:dyDescent="0.25">
      <c r="A319" s="12" t="s">
        <v>234</v>
      </c>
      <c r="B319" s="70">
        <v>0</v>
      </c>
      <c r="C319" s="7" t="s">
        <v>1129</v>
      </c>
      <c r="D319" s="7" t="s">
        <v>1022</v>
      </c>
      <c r="E319" s="7" t="s">
        <v>235</v>
      </c>
      <c r="F319" s="7" t="s">
        <v>550</v>
      </c>
      <c r="G319" s="7" t="s">
        <v>236</v>
      </c>
      <c r="H319" s="7" t="s">
        <v>502</v>
      </c>
      <c r="I319" s="7" t="s">
        <v>1052</v>
      </c>
      <c r="J319" s="7" t="s">
        <v>237</v>
      </c>
      <c r="K319" s="10">
        <f>(1/106.3)/(1/27)</f>
        <v>0.25399811853245535</v>
      </c>
    </row>
    <row r="320" spans="1:11" s="3" customFormat="1" x14ac:dyDescent="0.25">
      <c r="A320" s="12" t="s">
        <v>234</v>
      </c>
      <c r="B320" s="70">
        <v>0</v>
      </c>
      <c r="C320" s="7" t="s">
        <v>1129</v>
      </c>
      <c r="D320" s="7" t="s">
        <v>1022</v>
      </c>
      <c r="E320" s="7" t="s">
        <v>235</v>
      </c>
      <c r="F320" s="7" t="s">
        <v>550</v>
      </c>
      <c r="G320" s="7" t="s">
        <v>400</v>
      </c>
      <c r="H320" s="7" t="s">
        <v>239</v>
      </c>
      <c r="I320" s="7" t="s">
        <v>1052</v>
      </c>
      <c r="J320" s="7" t="s">
        <v>237</v>
      </c>
      <c r="K320" s="10">
        <f>(1/115.1)/(1/27)</f>
        <v>0.23457862728062556</v>
      </c>
    </row>
    <row r="321" spans="1:12" s="3" customFormat="1" x14ac:dyDescent="0.25">
      <c r="A321" s="12" t="s">
        <v>234</v>
      </c>
      <c r="B321" s="70">
        <v>0</v>
      </c>
      <c r="C321" s="7" t="s">
        <v>1129</v>
      </c>
      <c r="D321" s="7" t="s">
        <v>1022</v>
      </c>
      <c r="E321" s="7" t="s">
        <v>235</v>
      </c>
      <c r="F321" s="7" t="s">
        <v>550</v>
      </c>
      <c r="G321" s="7" t="s">
        <v>398</v>
      </c>
      <c r="H321" s="7" t="s">
        <v>238</v>
      </c>
      <c r="I321" s="7" t="s">
        <v>1052</v>
      </c>
      <c r="J321" s="7" t="s">
        <v>237</v>
      </c>
      <c r="K321" s="10">
        <f>(1/15.8)/(1/27)</f>
        <v>1.7088607594936707</v>
      </c>
    </row>
    <row r="322" spans="1:12" s="3" customFormat="1" x14ac:dyDescent="0.25">
      <c r="A322" s="12" t="s">
        <v>234</v>
      </c>
      <c r="B322" s="70">
        <v>0</v>
      </c>
      <c r="C322" s="7" t="s">
        <v>1129</v>
      </c>
      <c r="D322" s="7" t="s">
        <v>1022</v>
      </c>
      <c r="E322" s="7" t="s">
        <v>235</v>
      </c>
      <c r="F322" s="7" t="s">
        <v>550</v>
      </c>
      <c r="G322" s="7" t="s">
        <v>236</v>
      </c>
      <c r="H322" s="7" t="s">
        <v>240</v>
      </c>
      <c r="I322" s="7" t="s">
        <v>1052</v>
      </c>
      <c r="J322" s="7" t="s">
        <v>237</v>
      </c>
      <c r="K322" s="10">
        <f>(1/35)/(1/4.5)</f>
        <v>0.12857142857142859</v>
      </c>
    </row>
    <row r="323" spans="1:12" s="3" customFormat="1" x14ac:dyDescent="0.25">
      <c r="A323" s="12" t="s">
        <v>234</v>
      </c>
      <c r="B323" s="70">
        <v>0</v>
      </c>
      <c r="C323" s="7" t="s">
        <v>1129</v>
      </c>
      <c r="D323" s="7" t="s">
        <v>1022</v>
      </c>
      <c r="E323" s="7" t="s">
        <v>235</v>
      </c>
      <c r="F323" s="7" t="s">
        <v>550</v>
      </c>
      <c r="G323" s="7" t="s">
        <v>236</v>
      </c>
      <c r="H323" s="7" t="s">
        <v>241</v>
      </c>
      <c r="I323" s="7" t="s">
        <v>1052</v>
      </c>
      <c r="J323" s="7" t="s">
        <v>237</v>
      </c>
      <c r="K323" s="10">
        <f>(1/60.8)/(1/4.5)</f>
        <v>7.4013157894736836E-2</v>
      </c>
    </row>
    <row r="324" spans="1:12" s="3" customFormat="1" x14ac:dyDescent="0.25">
      <c r="A324" s="12" t="s">
        <v>234</v>
      </c>
      <c r="B324" s="70">
        <v>0</v>
      </c>
      <c r="C324" s="7" t="s">
        <v>1129</v>
      </c>
      <c r="D324" s="7" t="s">
        <v>1022</v>
      </c>
      <c r="E324" s="7" t="s">
        <v>235</v>
      </c>
      <c r="F324" s="7" t="s">
        <v>550</v>
      </c>
      <c r="G324" s="7" t="s">
        <v>242</v>
      </c>
      <c r="H324" s="7" t="s">
        <v>243</v>
      </c>
      <c r="I324" s="7" t="s">
        <v>1052</v>
      </c>
      <c r="J324" s="7" t="s">
        <v>237</v>
      </c>
      <c r="K324" s="10">
        <f>(1/25.5)/(1/4.5)</f>
        <v>0.17647058823529413</v>
      </c>
    </row>
    <row r="325" spans="1:12" s="3" customFormat="1" x14ac:dyDescent="0.25">
      <c r="A325" s="12" t="s">
        <v>201</v>
      </c>
      <c r="B325" s="70">
        <v>1</v>
      </c>
      <c r="C325" s="7" t="s">
        <v>1129</v>
      </c>
      <c r="D325" s="7" t="s">
        <v>557</v>
      </c>
      <c r="E325" s="7" t="s">
        <v>1018</v>
      </c>
      <c r="F325" s="7" t="s">
        <v>551</v>
      </c>
      <c r="G325" s="7" t="s">
        <v>566</v>
      </c>
      <c r="H325" s="7" t="s">
        <v>814</v>
      </c>
      <c r="I325" s="7" t="s">
        <v>1033</v>
      </c>
      <c r="J325" s="7" t="s">
        <v>460</v>
      </c>
      <c r="K325" s="10">
        <f>0.25/AVERAGE(0.33,1,1.19)</f>
        <v>0.29761904761904762</v>
      </c>
    </row>
    <row r="326" spans="1:12" s="3" customFormat="1" x14ac:dyDescent="0.25">
      <c r="A326" s="12" t="s">
        <v>201</v>
      </c>
      <c r="B326" s="70">
        <v>1</v>
      </c>
      <c r="C326" s="7" t="s">
        <v>1129</v>
      </c>
      <c r="D326" s="7" t="s">
        <v>557</v>
      </c>
      <c r="E326" s="7" t="s">
        <v>1005</v>
      </c>
      <c r="F326" s="7" t="s">
        <v>551</v>
      </c>
      <c r="G326" s="7" t="s">
        <v>401</v>
      </c>
      <c r="H326" s="7" t="s">
        <v>1007</v>
      </c>
      <c r="I326" s="7" t="s">
        <v>1033</v>
      </c>
      <c r="J326" s="7" t="s">
        <v>460</v>
      </c>
      <c r="K326" s="10">
        <f>0.03/0.28</f>
        <v>0.10714285714285712</v>
      </c>
    </row>
    <row r="327" spans="1:12" s="3" customFormat="1" x14ac:dyDescent="0.25">
      <c r="A327" s="12" t="s">
        <v>201</v>
      </c>
      <c r="B327" s="70">
        <v>1</v>
      </c>
      <c r="C327" s="7" t="s">
        <v>1129</v>
      </c>
      <c r="D327" s="7" t="s">
        <v>1017</v>
      </c>
      <c r="E327" s="7" t="s">
        <v>394</v>
      </c>
      <c r="F327" s="7" t="s">
        <v>551</v>
      </c>
      <c r="G327" s="7" t="s">
        <v>566</v>
      </c>
      <c r="H327" s="7" t="s">
        <v>814</v>
      </c>
      <c r="I327" s="7" t="s">
        <v>1033</v>
      </c>
      <c r="J327" s="7" t="s">
        <v>1053</v>
      </c>
      <c r="K327" s="10">
        <f>0.6/0.94</f>
        <v>0.63829787234042556</v>
      </c>
    </row>
    <row r="328" spans="1:12" s="21" customFormat="1" x14ac:dyDescent="0.25">
      <c r="A328" s="19" t="s">
        <v>873</v>
      </c>
      <c r="B328" s="70">
        <v>1</v>
      </c>
      <c r="C328" s="19" t="s">
        <v>547</v>
      </c>
      <c r="D328" s="19" t="s">
        <v>1009</v>
      </c>
      <c r="E328" s="19" t="s">
        <v>874</v>
      </c>
      <c r="F328" s="19" t="s">
        <v>550</v>
      </c>
      <c r="G328" s="19" t="s">
        <v>400</v>
      </c>
      <c r="H328" s="19" t="s">
        <v>220</v>
      </c>
      <c r="I328" s="19" t="s">
        <v>875</v>
      </c>
      <c r="J328" s="19" t="s">
        <v>793</v>
      </c>
      <c r="K328" s="20">
        <f>AVERAGE(0,0,0,0,0,0,0,0,0,0,0)/AVERAGE(1,4,0,1,0,0,0,0,0,0,1)</f>
        <v>0</v>
      </c>
    </row>
    <row r="329" spans="1:12" s="21" customFormat="1" x14ac:dyDescent="0.25">
      <c r="A329" s="19" t="s">
        <v>873</v>
      </c>
      <c r="B329" s="70">
        <v>1</v>
      </c>
      <c r="C329" s="19" t="s">
        <v>547</v>
      </c>
      <c r="D329" s="19" t="s">
        <v>1060</v>
      </c>
      <c r="E329" s="19" t="s">
        <v>874</v>
      </c>
      <c r="F329" s="19" t="s">
        <v>550</v>
      </c>
      <c r="G329" s="19" t="s">
        <v>400</v>
      </c>
      <c r="H329" s="19" t="s">
        <v>220</v>
      </c>
      <c r="I329" s="19" t="s">
        <v>875</v>
      </c>
      <c r="J329" s="19" t="s">
        <v>793</v>
      </c>
      <c r="K329" s="20">
        <f>AVERAGE(0,5,8,0,0,0,0,0,0,12,0)/AVERAGE(0,1,1,1,0,0,0,0,4,8,0)</f>
        <v>1.666666666666667</v>
      </c>
    </row>
    <row r="330" spans="1:12" s="21" customFormat="1" x14ac:dyDescent="0.25">
      <c r="A330" s="19" t="s">
        <v>133</v>
      </c>
      <c r="B330" s="70">
        <v>1</v>
      </c>
      <c r="C330" s="19" t="s">
        <v>548</v>
      </c>
      <c r="D330" s="19" t="s">
        <v>135</v>
      </c>
      <c r="E330" s="19" t="s">
        <v>1005</v>
      </c>
      <c r="F330" s="19" t="s">
        <v>550</v>
      </c>
      <c r="G330" s="19" t="s">
        <v>400</v>
      </c>
      <c r="H330" s="19" t="s">
        <v>134</v>
      </c>
      <c r="I330" s="19" t="s">
        <v>1033</v>
      </c>
      <c r="J330" s="19" t="s">
        <v>136</v>
      </c>
      <c r="K330" s="20">
        <f>0.84/AVERAGE(2.26,2.5)</f>
        <v>0.35294117647058826</v>
      </c>
    </row>
    <row r="331" spans="1:12" s="21" customFormat="1" x14ac:dyDescent="0.25">
      <c r="A331" s="19" t="s">
        <v>133</v>
      </c>
      <c r="B331" s="70">
        <v>1</v>
      </c>
      <c r="C331" s="19" t="s">
        <v>548</v>
      </c>
      <c r="D331" s="19" t="s">
        <v>135</v>
      </c>
      <c r="E331" s="19" t="s">
        <v>1005</v>
      </c>
      <c r="F331" s="19" t="s">
        <v>550</v>
      </c>
      <c r="G331" s="19" t="s">
        <v>400</v>
      </c>
      <c r="H331" s="19" t="s">
        <v>134</v>
      </c>
      <c r="I331" s="19" t="s">
        <v>1033</v>
      </c>
      <c r="J331" s="19" t="s">
        <v>137</v>
      </c>
      <c r="K331" s="20">
        <f>0.62/AVERAGE(2.6,2.54)</f>
        <v>0.2412451361867704</v>
      </c>
    </row>
    <row r="332" spans="1:12" s="3" customFormat="1" x14ac:dyDescent="0.25">
      <c r="A332" s="12" t="s">
        <v>67</v>
      </c>
      <c r="B332" s="70">
        <v>1</v>
      </c>
      <c r="C332" s="53" t="s">
        <v>185</v>
      </c>
      <c r="D332" s="7" t="s">
        <v>1022</v>
      </c>
      <c r="E332" s="7" t="s">
        <v>309</v>
      </c>
      <c r="F332" s="7" t="s">
        <v>551</v>
      </c>
      <c r="G332" s="7" t="s">
        <v>401</v>
      </c>
      <c r="H332" s="7" t="s">
        <v>1007</v>
      </c>
      <c r="I332" s="7" t="s">
        <v>558</v>
      </c>
      <c r="J332" s="7" t="s">
        <v>396</v>
      </c>
      <c r="K332" s="10">
        <f>AVERAGE(0,0)/AVERAGE(1,1)</f>
        <v>0</v>
      </c>
    </row>
    <row r="333" spans="1:12" s="3" customFormat="1" x14ac:dyDescent="0.25">
      <c r="A333" s="47" t="s">
        <v>67</v>
      </c>
      <c r="B333" s="70">
        <v>1</v>
      </c>
      <c r="C333" s="53" t="s">
        <v>185</v>
      </c>
      <c r="D333" s="16" t="s">
        <v>1011</v>
      </c>
      <c r="E333" s="16" t="s">
        <v>1001</v>
      </c>
      <c r="F333" s="16" t="s">
        <v>551</v>
      </c>
      <c r="G333" s="19" t="s">
        <v>401</v>
      </c>
      <c r="H333" s="16" t="s">
        <v>1007</v>
      </c>
      <c r="I333" s="16" t="s">
        <v>558</v>
      </c>
      <c r="J333" s="16" t="s">
        <v>396</v>
      </c>
      <c r="K333" s="17">
        <f>0/1</f>
        <v>0</v>
      </c>
      <c r="L333" s="44"/>
    </row>
    <row r="334" spans="1:12" s="3" customFormat="1" x14ac:dyDescent="0.25">
      <c r="A334" s="48" t="s">
        <v>978</v>
      </c>
      <c r="B334" s="70">
        <v>1</v>
      </c>
      <c r="C334" s="7" t="s">
        <v>1129</v>
      </c>
      <c r="D334" s="7" t="s">
        <v>1016</v>
      </c>
      <c r="E334" s="7" t="s">
        <v>565</v>
      </c>
      <c r="F334" s="7" t="s">
        <v>551</v>
      </c>
      <c r="G334" s="7" t="s">
        <v>1002</v>
      </c>
      <c r="H334" s="7" t="s">
        <v>979</v>
      </c>
      <c r="I334" s="7" t="s">
        <v>1008</v>
      </c>
      <c r="J334" s="7" t="s">
        <v>746</v>
      </c>
      <c r="K334" s="41">
        <f>(3/52)/(52/52)</f>
        <v>5.7692307692307696E-2</v>
      </c>
    </row>
    <row r="335" spans="1:12" s="3" customFormat="1" x14ac:dyDescent="0.25">
      <c r="A335" s="48" t="s">
        <v>978</v>
      </c>
      <c r="B335" s="70">
        <v>1</v>
      </c>
      <c r="C335" s="7" t="s">
        <v>1129</v>
      </c>
      <c r="D335" s="7" t="s">
        <v>1016</v>
      </c>
      <c r="E335" s="7" t="s">
        <v>565</v>
      </c>
      <c r="F335" s="7" t="s">
        <v>551</v>
      </c>
      <c r="G335" s="7" t="s">
        <v>1002</v>
      </c>
      <c r="H335" s="7" t="s">
        <v>980</v>
      </c>
      <c r="I335" s="7" t="s">
        <v>1008</v>
      </c>
      <c r="J335" s="7" t="s">
        <v>746</v>
      </c>
      <c r="K335" s="10">
        <f>(0/30)/(30/30)</f>
        <v>0</v>
      </c>
    </row>
    <row r="336" spans="1:12" s="3" customFormat="1" x14ac:dyDescent="0.25">
      <c r="A336" s="48" t="s">
        <v>978</v>
      </c>
      <c r="B336" s="70">
        <v>1</v>
      </c>
      <c r="C336" s="7" t="s">
        <v>1129</v>
      </c>
      <c r="D336" s="7" t="s">
        <v>1016</v>
      </c>
      <c r="E336" s="7" t="s">
        <v>565</v>
      </c>
      <c r="F336" s="7" t="s">
        <v>551</v>
      </c>
      <c r="G336" s="7" t="s">
        <v>1002</v>
      </c>
      <c r="H336" s="7" t="s">
        <v>981</v>
      </c>
      <c r="I336" s="7" t="s">
        <v>1008</v>
      </c>
      <c r="J336" s="7" t="s">
        <v>746</v>
      </c>
      <c r="K336" s="10">
        <f>(3/48)/(48/48)</f>
        <v>6.25E-2</v>
      </c>
    </row>
    <row r="337" spans="1:11" s="3" customFormat="1" x14ac:dyDescent="0.25">
      <c r="A337" s="48" t="s">
        <v>978</v>
      </c>
      <c r="B337" s="70">
        <v>1</v>
      </c>
      <c r="C337" s="7" t="s">
        <v>1129</v>
      </c>
      <c r="D337" s="7" t="s">
        <v>1016</v>
      </c>
      <c r="E337" s="7" t="s">
        <v>565</v>
      </c>
      <c r="F337" s="7" t="s">
        <v>551</v>
      </c>
      <c r="G337" s="7" t="s">
        <v>1002</v>
      </c>
      <c r="H337" s="7" t="s">
        <v>982</v>
      </c>
      <c r="I337" s="7" t="s">
        <v>1008</v>
      </c>
      <c r="J337" s="7" t="s">
        <v>746</v>
      </c>
      <c r="K337" s="10">
        <f>(0/38)/(38/38)</f>
        <v>0</v>
      </c>
    </row>
    <row r="338" spans="1:11" s="3" customFormat="1" x14ac:dyDescent="0.25">
      <c r="A338" s="48" t="s">
        <v>526</v>
      </c>
      <c r="B338" s="70">
        <v>1</v>
      </c>
      <c r="C338" s="48" t="s">
        <v>185</v>
      </c>
      <c r="D338" s="7" t="s">
        <v>1004</v>
      </c>
      <c r="E338" s="7" t="s">
        <v>1018</v>
      </c>
      <c r="F338" s="7" t="s">
        <v>437</v>
      </c>
      <c r="G338" s="7" t="s">
        <v>528</v>
      </c>
      <c r="H338" s="7" t="s">
        <v>527</v>
      </c>
      <c r="I338" s="7" t="s">
        <v>1006</v>
      </c>
      <c r="J338" s="7" t="s">
        <v>529</v>
      </c>
      <c r="K338" s="10">
        <f>AVERAGE(7,11)/AVERAGE(15,18)</f>
        <v>0.54545454545454541</v>
      </c>
    </row>
    <row r="339" spans="1:11" s="3" customFormat="1" x14ac:dyDescent="0.25">
      <c r="A339" s="12" t="s">
        <v>779</v>
      </c>
      <c r="B339" s="70">
        <v>1</v>
      </c>
      <c r="C339" s="7" t="s">
        <v>1129</v>
      </c>
      <c r="D339" s="7" t="s">
        <v>559</v>
      </c>
      <c r="E339" s="7" t="s">
        <v>1001</v>
      </c>
      <c r="F339" s="7" t="s">
        <v>551</v>
      </c>
      <c r="G339" s="7" t="s">
        <v>401</v>
      </c>
      <c r="H339" s="7" t="s">
        <v>1007</v>
      </c>
      <c r="I339" s="7" t="s">
        <v>1008</v>
      </c>
      <c r="J339" s="7" t="s">
        <v>396</v>
      </c>
      <c r="K339" s="10">
        <f>(AVERAGE(56,107,41,99,48,122)/AVERAGE(1188,1538,1679,1652,1859,1782))/(AVERAGE(54,11,13,0,89,213,116,203,182,82,132,335,52)/AVERAGE(1080,982,1268,1939,2861,1510,1912,2817,1100,1074,2316,3478,820))</f>
        <v>0.76210191508245362</v>
      </c>
    </row>
    <row r="340" spans="1:11" s="3" customFormat="1" x14ac:dyDescent="0.25">
      <c r="A340" s="12" t="s">
        <v>779</v>
      </c>
      <c r="B340" s="70">
        <v>1</v>
      </c>
      <c r="C340" s="7" t="s">
        <v>1129</v>
      </c>
      <c r="D340" s="7" t="s">
        <v>559</v>
      </c>
      <c r="E340" s="7" t="s">
        <v>1001</v>
      </c>
      <c r="F340" s="7" t="s">
        <v>551</v>
      </c>
      <c r="G340" s="7" t="s">
        <v>1021</v>
      </c>
      <c r="H340" s="7" t="s">
        <v>1021</v>
      </c>
      <c r="I340" s="7" t="s">
        <v>1008</v>
      </c>
      <c r="J340" s="7" t="s">
        <v>396</v>
      </c>
      <c r="K340" s="10">
        <f>(AVERAGE(13,0,89,116,203,107,41,99,48,122)/AVERAGE(1268,1939,2861,1912,2817,1538,1679,1652,1859,1782))/(AVERAGE(54,11,56,213,182,82,132,335,52)/AVERAGE(1080,982,1188,1510,1100,1074,2316,3478,820))</f>
        <v>0.52644285643472921</v>
      </c>
    </row>
    <row r="341" spans="1:11" s="3" customFormat="1" x14ac:dyDescent="0.25">
      <c r="A341" s="12" t="s">
        <v>508</v>
      </c>
      <c r="B341" s="70">
        <v>1</v>
      </c>
      <c r="C341" s="53" t="s">
        <v>185</v>
      </c>
      <c r="D341" s="7" t="s">
        <v>1010</v>
      </c>
      <c r="E341" s="7" t="s">
        <v>1018</v>
      </c>
      <c r="F341" s="7" t="s">
        <v>551</v>
      </c>
      <c r="G341" s="7" t="s">
        <v>566</v>
      </c>
      <c r="H341" s="7" t="s">
        <v>566</v>
      </c>
      <c r="I341" s="7" t="s">
        <v>510</v>
      </c>
      <c r="J341" s="7" t="s">
        <v>396</v>
      </c>
      <c r="K341" s="10">
        <f>(AVERAGE(3,0)/AVERAGE(120,1000))/(AVERAGE(96,66)/AVERAGE(120,1000))</f>
        <v>1.8518518518518517E-2</v>
      </c>
    </row>
    <row r="342" spans="1:11" s="3" customFormat="1" x14ac:dyDescent="0.25">
      <c r="A342" s="18" t="s">
        <v>789</v>
      </c>
      <c r="B342" s="70">
        <v>1</v>
      </c>
      <c r="C342" s="18" t="s">
        <v>185</v>
      </c>
      <c r="D342" s="19" t="s">
        <v>1009</v>
      </c>
      <c r="E342" s="19" t="s">
        <v>1099</v>
      </c>
      <c r="F342" s="19" t="s">
        <v>437</v>
      </c>
      <c r="G342" s="7" t="s">
        <v>438</v>
      </c>
      <c r="H342" s="19" t="s">
        <v>790</v>
      </c>
      <c r="I342" s="19" t="s">
        <v>1008</v>
      </c>
      <c r="J342" s="19" t="s">
        <v>396</v>
      </c>
      <c r="K342" s="20">
        <f>AVERAGE(AVERAGE(32,27,30,36,13)/28,AVERAGE(32,28,28,37,13)/28)</f>
        <v>0.98571428571428577</v>
      </c>
    </row>
    <row r="343" spans="1:11" s="3" customFormat="1" x14ac:dyDescent="0.25">
      <c r="A343" s="12" t="s">
        <v>181</v>
      </c>
      <c r="B343" s="70">
        <v>1</v>
      </c>
      <c r="C343" s="7" t="s">
        <v>1129</v>
      </c>
      <c r="D343" s="7" t="s">
        <v>1010</v>
      </c>
      <c r="E343" s="7" t="s">
        <v>1133</v>
      </c>
      <c r="F343" s="7" t="s">
        <v>280</v>
      </c>
      <c r="G343" s="7" t="s">
        <v>281</v>
      </c>
      <c r="H343" s="7" t="s">
        <v>478</v>
      </c>
      <c r="I343" s="7" t="s">
        <v>1008</v>
      </c>
      <c r="J343" s="7" t="s">
        <v>506</v>
      </c>
      <c r="K343" s="10">
        <f>(2.959+0.004*16)/(2.959+0.004*1006)</f>
        <v>0.43290849205212656</v>
      </c>
    </row>
    <row r="344" spans="1:11" s="3" customFormat="1" x14ac:dyDescent="0.25">
      <c r="A344" s="12" t="s">
        <v>531</v>
      </c>
      <c r="B344" s="70">
        <v>1</v>
      </c>
      <c r="C344" s="18" t="s">
        <v>185</v>
      </c>
      <c r="D344" s="7" t="s">
        <v>1017</v>
      </c>
      <c r="E344" s="7" t="s">
        <v>877</v>
      </c>
      <c r="F344" s="7" t="s">
        <v>550</v>
      </c>
      <c r="G344" s="7" t="s">
        <v>399</v>
      </c>
      <c r="H344" s="7" t="s">
        <v>841</v>
      </c>
      <c r="I344" s="7" t="s">
        <v>145</v>
      </c>
      <c r="J344" s="7" t="s">
        <v>506</v>
      </c>
      <c r="K344" s="10">
        <f>32/72</f>
        <v>0.44444444444444442</v>
      </c>
    </row>
    <row r="345" spans="1:11" s="3" customFormat="1" x14ac:dyDescent="0.25">
      <c r="A345" s="12" t="s">
        <v>531</v>
      </c>
      <c r="B345" s="70">
        <v>1</v>
      </c>
      <c r="C345" s="18" t="s">
        <v>185</v>
      </c>
      <c r="D345" s="7" t="s">
        <v>1017</v>
      </c>
      <c r="E345" s="7" t="s">
        <v>877</v>
      </c>
      <c r="F345" s="7" t="s">
        <v>550</v>
      </c>
      <c r="G345" s="7" t="s">
        <v>399</v>
      </c>
      <c r="H345" s="7" t="s">
        <v>841</v>
      </c>
      <c r="I345" s="7" t="s">
        <v>145</v>
      </c>
      <c r="J345" s="7" t="s">
        <v>1064</v>
      </c>
      <c r="K345" s="10">
        <f>(9/12)/(12/12)</f>
        <v>0.75</v>
      </c>
    </row>
    <row r="346" spans="1:11" s="3" customFormat="1" x14ac:dyDescent="0.25">
      <c r="A346" s="12" t="s">
        <v>1100</v>
      </c>
      <c r="B346" s="21">
        <v>0</v>
      </c>
      <c r="C346" s="18" t="s">
        <v>185</v>
      </c>
      <c r="D346" s="7" t="s">
        <v>1000</v>
      </c>
      <c r="E346" s="7" t="s">
        <v>1001</v>
      </c>
      <c r="F346" s="7" t="s">
        <v>551</v>
      </c>
      <c r="G346" s="7" t="s">
        <v>401</v>
      </c>
      <c r="H346" s="7" t="s">
        <v>1007</v>
      </c>
      <c r="I346" s="7" t="s">
        <v>1008</v>
      </c>
      <c r="J346" s="7" t="s">
        <v>1039</v>
      </c>
      <c r="K346" s="10">
        <f>2.25/31.32</f>
        <v>7.183908045977011E-2</v>
      </c>
    </row>
    <row r="347" spans="1:11" s="3" customFormat="1" x14ac:dyDescent="0.25">
      <c r="A347" s="12" t="s">
        <v>1100</v>
      </c>
      <c r="B347" s="21">
        <v>0</v>
      </c>
      <c r="C347" s="18" t="s">
        <v>185</v>
      </c>
      <c r="D347" s="7" t="s">
        <v>1000</v>
      </c>
      <c r="E347" s="7" t="s">
        <v>1001</v>
      </c>
      <c r="F347" s="7" t="s">
        <v>550</v>
      </c>
      <c r="G347" s="7" t="s">
        <v>400</v>
      </c>
      <c r="H347" s="7" t="s">
        <v>221</v>
      </c>
      <c r="I347" s="7" t="s">
        <v>1008</v>
      </c>
      <c r="J347" s="7" t="s">
        <v>1040</v>
      </c>
      <c r="K347" s="10">
        <f>AVERAGE((0/17)/(5/16),(0/26)/(6/10),(0/102)/(7/4))</f>
        <v>0</v>
      </c>
    </row>
    <row r="348" spans="1:11" s="3" customFormat="1" x14ac:dyDescent="0.25">
      <c r="A348" s="12" t="s">
        <v>202</v>
      </c>
      <c r="B348" s="70">
        <v>1</v>
      </c>
      <c r="C348" s="7" t="s">
        <v>1129</v>
      </c>
      <c r="D348" s="7" t="s">
        <v>1022</v>
      </c>
      <c r="E348" s="7" t="s">
        <v>1005</v>
      </c>
      <c r="F348" s="7" t="s">
        <v>551</v>
      </c>
      <c r="G348" s="7" t="s">
        <v>566</v>
      </c>
      <c r="H348" s="7" t="s">
        <v>566</v>
      </c>
      <c r="I348" s="7" t="s">
        <v>562</v>
      </c>
      <c r="J348" s="7" t="s">
        <v>1074</v>
      </c>
      <c r="K348" s="10">
        <f>(2.4/62.1)/(9/72.6)</f>
        <v>0.3117552334943639</v>
      </c>
    </row>
    <row r="349" spans="1:11" s="3" customFormat="1" x14ac:dyDescent="0.25">
      <c r="A349" s="12" t="s">
        <v>729</v>
      </c>
      <c r="B349" s="70">
        <v>1</v>
      </c>
      <c r="C349" s="7" t="s">
        <v>1129</v>
      </c>
      <c r="D349" s="7" t="s">
        <v>552</v>
      </c>
      <c r="E349" s="7" t="s">
        <v>606</v>
      </c>
      <c r="F349" s="7" t="s">
        <v>551</v>
      </c>
      <c r="G349" s="19" t="s">
        <v>1002</v>
      </c>
      <c r="H349" s="19" t="s">
        <v>731</v>
      </c>
      <c r="I349" s="7" t="s">
        <v>463</v>
      </c>
      <c r="J349" s="7" t="s">
        <v>732</v>
      </c>
      <c r="K349" s="10">
        <f>(0/8)/(7/8)</f>
        <v>0</v>
      </c>
    </row>
    <row r="350" spans="1:11" s="3" customFormat="1" x14ac:dyDescent="0.25">
      <c r="A350" s="12" t="s">
        <v>729</v>
      </c>
      <c r="B350" s="70">
        <v>1</v>
      </c>
      <c r="C350" s="7" t="s">
        <v>1129</v>
      </c>
      <c r="D350" s="7" t="s">
        <v>552</v>
      </c>
      <c r="E350" s="7" t="s">
        <v>606</v>
      </c>
      <c r="F350" s="7" t="s">
        <v>551</v>
      </c>
      <c r="G350" s="19" t="s">
        <v>1002</v>
      </c>
      <c r="H350" s="19" t="s">
        <v>730</v>
      </c>
      <c r="I350" s="7" t="s">
        <v>463</v>
      </c>
      <c r="J350" s="7" t="s">
        <v>732</v>
      </c>
      <c r="K350" s="10">
        <f>(0/8)/(6/8)</f>
        <v>0</v>
      </c>
    </row>
    <row r="351" spans="1:11" s="21" customFormat="1" x14ac:dyDescent="0.25">
      <c r="A351" s="18" t="s">
        <v>124</v>
      </c>
      <c r="B351" s="70">
        <v>1</v>
      </c>
      <c r="C351" s="18" t="s">
        <v>185</v>
      </c>
      <c r="D351" s="19" t="s">
        <v>1025</v>
      </c>
      <c r="E351" s="19" t="s">
        <v>1018</v>
      </c>
      <c r="F351" s="19" t="s">
        <v>551</v>
      </c>
      <c r="G351" s="19" t="s">
        <v>401</v>
      </c>
      <c r="H351" s="19" t="s">
        <v>1007</v>
      </c>
      <c r="I351" s="19" t="s">
        <v>616</v>
      </c>
      <c r="J351" s="19" t="s">
        <v>125</v>
      </c>
      <c r="K351" s="20">
        <f>AVERAGE(1*100/16,5*100/44)/AVERAGE(2*100/16,14*100/44)</f>
        <v>0.39743589743589747</v>
      </c>
    </row>
    <row r="352" spans="1:11" s="21" customFormat="1" x14ac:dyDescent="0.25">
      <c r="A352" s="18" t="s">
        <v>124</v>
      </c>
      <c r="B352" s="70">
        <v>1</v>
      </c>
      <c r="C352" s="18" t="s">
        <v>185</v>
      </c>
      <c r="D352" s="19" t="s">
        <v>1014</v>
      </c>
      <c r="E352" s="19" t="s">
        <v>1018</v>
      </c>
      <c r="F352" s="19" t="s">
        <v>551</v>
      </c>
      <c r="G352" s="19" t="s">
        <v>401</v>
      </c>
      <c r="H352" s="19" t="s">
        <v>1007</v>
      </c>
      <c r="I352" s="19" t="s">
        <v>616</v>
      </c>
      <c r="J352" s="19" t="s">
        <v>125</v>
      </c>
      <c r="K352" s="20">
        <f>AVERAGE(1*100/16,1*100/44)/AVERAGE(4*100/16,1*100/44)</f>
        <v>0.3125</v>
      </c>
    </row>
    <row r="353" spans="1:11" s="21" customFormat="1" x14ac:dyDescent="0.25">
      <c r="A353" s="18" t="s">
        <v>124</v>
      </c>
      <c r="B353" s="70">
        <v>1</v>
      </c>
      <c r="C353" s="18" t="s">
        <v>185</v>
      </c>
      <c r="D353" s="19" t="s">
        <v>126</v>
      </c>
      <c r="E353" s="19" t="s">
        <v>1018</v>
      </c>
      <c r="F353" s="19" t="s">
        <v>551</v>
      </c>
      <c r="G353" s="19" t="s">
        <v>401</v>
      </c>
      <c r="H353" s="19" t="s">
        <v>1007</v>
      </c>
      <c r="I353" s="19" t="s">
        <v>616</v>
      </c>
      <c r="J353" s="19" t="s">
        <v>125</v>
      </c>
      <c r="K353" s="20">
        <f>AVERAGE(1*100/16,3*100/44)/AVERAGE(4*100/16,11*100/44)</f>
        <v>0.26136363636363635</v>
      </c>
    </row>
    <row r="354" spans="1:11" s="21" customFormat="1" x14ac:dyDescent="0.25">
      <c r="A354" s="18" t="s">
        <v>124</v>
      </c>
      <c r="B354" s="70">
        <v>1</v>
      </c>
      <c r="C354" s="18" t="s">
        <v>185</v>
      </c>
      <c r="D354" s="19" t="s">
        <v>1061</v>
      </c>
      <c r="E354" s="19" t="s">
        <v>1018</v>
      </c>
      <c r="F354" s="19" t="s">
        <v>551</v>
      </c>
      <c r="G354" s="19" t="s">
        <v>401</v>
      </c>
      <c r="H354" s="19" t="s">
        <v>1007</v>
      </c>
      <c r="I354" s="19" t="s">
        <v>616</v>
      </c>
      <c r="J354" s="19" t="s">
        <v>125</v>
      </c>
      <c r="K354" s="20">
        <f>AVERAGE(6*100/16,10*100/44)/AVERAGE(14*100/16,28*100/44)</f>
        <v>0.39849624060150379</v>
      </c>
    </row>
    <row r="355" spans="1:11" s="21" customFormat="1" x14ac:dyDescent="0.25">
      <c r="A355" s="18" t="s">
        <v>124</v>
      </c>
      <c r="B355" s="70">
        <v>1</v>
      </c>
      <c r="C355" s="18" t="s">
        <v>185</v>
      </c>
      <c r="D355" s="19" t="s">
        <v>1025</v>
      </c>
      <c r="E355" s="19" t="s">
        <v>1018</v>
      </c>
      <c r="F355" s="19" t="s">
        <v>551</v>
      </c>
      <c r="G355" s="19" t="s">
        <v>401</v>
      </c>
      <c r="H355" s="19" t="s">
        <v>1007</v>
      </c>
      <c r="I355" s="19" t="s">
        <v>616</v>
      </c>
      <c r="J355" s="19" t="s">
        <v>11</v>
      </c>
      <c r="K355" s="20">
        <f>0/0.2</f>
        <v>0</v>
      </c>
    </row>
    <row r="356" spans="1:11" s="21" customFormat="1" x14ac:dyDescent="0.25">
      <c r="A356" s="18" t="s">
        <v>124</v>
      </c>
      <c r="B356" s="70">
        <v>1</v>
      </c>
      <c r="C356" s="18" t="s">
        <v>185</v>
      </c>
      <c r="D356" s="19" t="s">
        <v>1014</v>
      </c>
      <c r="E356" s="19" t="s">
        <v>1018</v>
      </c>
      <c r="F356" s="19" t="s">
        <v>551</v>
      </c>
      <c r="G356" s="19" t="s">
        <v>401</v>
      </c>
      <c r="H356" s="19" t="s">
        <v>1007</v>
      </c>
      <c r="I356" s="19" t="s">
        <v>616</v>
      </c>
      <c r="J356" s="19" t="s">
        <v>11</v>
      </c>
      <c r="K356" s="20">
        <f>0/0.02</f>
        <v>0</v>
      </c>
    </row>
    <row r="357" spans="1:11" s="21" customFormat="1" x14ac:dyDescent="0.25">
      <c r="A357" s="18" t="s">
        <v>124</v>
      </c>
      <c r="B357" s="70">
        <v>1</v>
      </c>
      <c r="C357" s="18" t="s">
        <v>185</v>
      </c>
      <c r="D357" s="19" t="s">
        <v>126</v>
      </c>
      <c r="E357" s="19" t="s">
        <v>1018</v>
      </c>
      <c r="F357" s="19" t="s">
        <v>551</v>
      </c>
      <c r="G357" s="19" t="s">
        <v>401</v>
      </c>
      <c r="H357" s="19" t="s">
        <v>1007</v>
      </c>
      <c r="I357" s="19" t="s">
        <v>616</v>
      </c>
      <c r="J357" s="19" t="s">
        <v>11</v>
      </c>
      <c r="K357" s="20">
        <f>0.05/0.1</f>
        <v>0.5</v>
      </c>
    </row>
    <row r="358" spans="1:11" s="21" customFormat="1" x14ac:dyDescent="0.25">
      <c r="A358" s="18" t="s">
        <v>124</v>
      </c>
      <c r="B358" s="70">
        <v>1</v>
      </c>
      <c r="C358" s="18" t="s">
        <v>185</v>
      </c>
      <c r="D358" s="19" t="s">
        <v>1061</v>
      </c>
      <c r="E358" s="19" t="s">
        <v>1018</v>
      </c>
      <c r="F358" s="19" t="s">
        <v>551</v>
      </c>
      <c r="G358" s="19" t="s">
        <v>401</v>
      </c>
      <c r="H358" s="19" t="s">
        <v>1007</v>
      </c>
      <c r="I358" s="19" t="s">
        <v>616</v>
      </c>
      <c r="J358" s="19" t="s">
        <v>11</v>
      </c>
      <c r="K358" s="20">
        <f>1.2/1.7</f>
        <v>0.70588235294117652</v>
      </c>
    </row>
    <row r="359" spans="1:11" s="3" customFormat="1" x14ac:dyDescent="0.25">
      <c r="A359" s="12" t="s">
        <v>442</v>
      </c>
      <c r="B359" s="70">
        <v>1</v>
      </c>
      <c r="C359" s="18" t="s">
        <v>185</v>
      </c>
      <c r="D359" s="7" t="s">
        <v>1022</v>
      </c>
      <c r="E359" s="7" t="s">
        <v>1005</v>
      </c>
      <c r="F359" s="7" t="s">
        <v>437</v>
      </c>
      <c r="G359" s="7" t="s">
        <v>438</v>
      </c>
      <c r="H359" s="7" t="s">
        <v>438</v>
      </c>
      <c r="I359" s="7" t="s">
        <v>1008</v>
      </c>
      <c r="J359" s="7" t="s">
        <v>396</v>
      </c>
      <c r="K359" s="40">
        <v>0.98099999999999998</v>
      </c>
    </row>
    <row r="360" spans="1:11" s="3" customFormat="1" x14ac:dyDescent="0.25">
      <c r="A360" s="12" t="s">
        <v>442</v>
      </c>
      <c r="B360" s="70">
        <v>1</v>
      </c>
      <c r="C360" s="18" t="s">
        <v>185</v>
      </c>
      <c r="D360" s="7" t="s">
        <v>1022</v>
      </c>
      <c r="E360" s="7" t="s">
        <v>1001</v>
      </c>
      <c r="F360" s="7" t="s">
        <v>437</v>
      </c>
      <c r="G360" s="7" t="s">
        <v>438</v>
      </c>
      <c r="H360" s="7" t="s">
        <v>438</v>
      </c>
      <c r="I360" s="7" t="s">
        <v>1008</v>
      </c>
      <c r="J360" s="7" t="s">
        <v>396</v>
      </c>
      <c r="K360" s="40">
        <v>0.96599999999999997</v>
      </c>
    </row>
    <row r="361" spans="1:11" s="21" customFormat="1" x14ac:dyDescent="0.25">
      <c r="A361" s="19" t="s">
        <v>934</v>
      </c>
      <c r="B361" s="70">
        <v>1</v>
      </c>
      <c r="C361" s="18" t="s">
        <v>185</v>
      </c>
      <c r="D361" s="19" t="s">
        <v>403</v>
      </c>
      <c r="E361" s="19" t="s">
        <v>1005</v>
      </c>
      <c r="F361" s="19" t="s">
        <v>551</v>
      </c>
      <c r="G361" s="19" t="s">
        <v>1002</v>
      </c>
      <c r="H361" s="19" t="s">
        <v>1002</v>
      </c>
      <c r="I361" s="19" t="s">
        <v>935</v>
      </c>
      <c r="J361" s="19" t="s">
        <v>396</v>
      </c>
      <c r="K361" s="20">
        <v>0</v>
      </c>
    </row>
    <row r="362" spans="1:11" s="21" customFormat="1" x14ac:dyDescent="0.25">
      <c r="A362" s="19" t="s">
        <v>934</v>
      </c>
      <c r="B362" s="70">
        <v>1</v>
      </c>
      <c r="C362" s="18" t="s">
        <v>185</v>
      </c>
      <c r="D362" s="19" t="s">
        <v>403</v>
      </c>
      <c r="E362" s="19" t="s">
        <v>1005</v>
      </c>
      <c r="F362" s="19" t="s">
        <v>551</v>
      </c>
      <c r="G362" s="19" t="s">
        <v>1002</v>
      </c>
      <c r="H362" s="19" t="s">
        <v>1002</v>
      </c>
      <c r="I362" s="19" t="s">
        <v>936</v>
      </c>
      <c r="J362" s="19" t="s">
        <v>396</v>
      </c>
      <c r="K362" s="20">
        <v>0</v>
      </c>
    </row>
    <row r="363" spans="1:11" s="21" customFormat="1" x14ac:dyDescent="0.25">
      <c r="A363" s="19" t="s">
        <v>934</v>
      </c>
      <c r="B363" s="70">
        <v>1</v>
      </c>
      <c r="C363" s="18" t="s">
        <v>185</v>
      </c>
      <c r="D363" s="19" t="s">
        <v>403</v>
      </c>
      <c r="E363" s="19" t="s">
        <v>1005</v>
      </c>
      <c r="F363" s="19" t="s">
        <v>551</v>
      </c>
      <c r="G363" s="19" t="s">
        <v>315</v>
      </c>
      <c r="H363" s="19" t="s">
        <v>316</v>
      </c>
      <c r="I363" s="19" t="s">
        <v>645</v>
      </c>
      <c r="J363" s="19" t="s">
        <v>396</v>
      </c>
      <c r="K363" s="20">
        <v>0</v>
      </c>
    </row>
    <row r="364" spans="1:11" s="21" customFormat="1" x14ac:dyDescent="0.25">
      <c r="A364" s="19" t="s">
        <v>934</v>
      </c>
      <c r="B364" s="70">
        <v>1</v>
      </c>
      <c r="C364" s="18" t="s">
        <v>185</v>
      </c>
      <c r="D364" s="19" t="s">
        <v>403</v>
      </c>
      <c r="E364" s="19" t="s">
        <v>1005</v>
      </c>
      <c r="F364" s="19" t="s">
        <v>551</v>
      </c>
      <c r="G364" s="19" t="s">
        <v>566</v>
      </c>
      <c r="H364" s="19" t="s">
        <v>1024</v>
      </c>
      <c r="I364" s="19" t="s">
        <v>1015</v>
      </c>
      <c r="J364" s="19" t="s">
        <v>688</v>
      </c>
      <c r="K364" s="20">
        <f>1/6</f>
        <v>0.16666666666666666</v>
      </c>
    </row>
    <row r="365" spans="1:11" s="21" customFormat="1" x14ac:dyDescent="0.25">
      <c r="A365" s="19" t="s">
        <v>934</v>
      </c>
      <c r="B365" s="70">
        <v>1</v>
      </c>
      <c r="C365" s="18" t="s">
        <v>185</v>
      </c>
      <c r="D365" s="19" t="s">
        <v>403</v>
      </c>
      <c r="E365" s="19" t="s">
        <v>1005</v>
      </c>
      <c r="F365" s="19" t="s">
        <v>551</v>
      </c>
      <c r="G365" s="19" t="s">
        <v>401</v>
      </c>
      <c r="H365" s="19" t="s">
        <v>937</v>
      </c>
      <c r="I365" s="19" t="s">
        <v>938</v>
      </c>
      <c r="J365" s="19" t="s">
        <v>396</v>
      </c>
      <c r="K365" s="20">
        <v>0</v>
      </c>
    </row>
    <row r="366" spans="1:11" s="21" customFormat="1" x14ac:dyDescent="0.25">
      <c r="A366" s="18" t="s">
        <v>644</v>
      </c>
      <c r="B366" s="70">
        <v>1</v>
      </c>
      <c r="C366" s="18" t="s">
        <v>185</v>
      </c>
      <c r="D366" s="19" t="s">
        <v>403</v>
      </c>
      <c r="E366" s="19" t="s">
        <v>1005</v>
      </c>
      <c r="F366" s="19" t="s">
        <v>373</v>
      </c>
      <c r="G366" s="19" t="s">
        <v>374</v>
      </c>
      <c r="H366" s="19" t="s">
        <v>374</v>
      </c>
      <c r="I366" s="19" t="s">
        <v>645</v>
      </c>
      <c r="J366" s="19" t="s">
        <v>1064</v>
      </c>
      <c r="K366" s="20">
        <f>2/2</f>
        <v>1</v>
      </c>
    </row>
    <row r="367" spans="1:11" s="21" customFormat="1" x14ac:dyDescent="0.25">
      <c r="A367" s="18" t="s">
        <v>669</v>
      </c>
      <c r="B367" s="70">
        <v>1</v>
      </c>
      <c r="C367" s="19" t="s">
        <v>414</v>
      </c>
      <c r="D367" s="19" t="s">
        <v>1017</v>
      </c>
      <c r="E367" s="19" t="s">
        <v>1005</v>
      </c>
      <c r="F367" s="19" t="s">
        <v>550</v>
      </c>
      <c r="G367" s="19" t="s">
        <v>400</v>
      </c>
      <c r="H367" s="19" t="s">
        <v>670</v>
      </c>
      <c r="I367" s="19" t="s">
        <v>1141</v>
      </c>
      <c r="J367" s="19" t="s">
        <v>396</v>
      </c>
      <c r="K367" s="20">
        <f>(0/683)/((4+14)/(543+835))</f>
        <v>0</v>
      </c>
    </row>
    <row r="368" spans="1:11" s="21" customFormat="1" x14ac:dyDescent="0.25">
      <c r="A368" s="18" t="s">
        <v>669</v>
      </c>
      <c r="B368" s="70">
        <v>1</v>
      </c>
      <c r="C368" s="19" t="s">
        <v>414</v>
      </c>
      <c r="D368" s="19" t="s">
        <v>1014</v>
      </c>
      <c r="E368" s="19" t="s">
        <v>1005</v>
      </c>
      <c r="F368" s="19" t="s">
        <v>550</v>
      </c>
      <c r="G368" s="19" t="s">
        <v>400</v>
      </c>
      <c r="H368" s="19" t="s">
        <v>670</v>
      </c>
      <c r="I368" s="19" t="s">
        <v>1141</v>
      </c>
      <c r="J368" s="19" t="s">
        <v>396</v>
      </c>
      <c r="K368" s="20">
        <f>(0/683)/((0+1)/(543+835))</f>
        <v>0</v>
      </c>
    </row>
    <row r="369" spans="1:11" s="21" customFormat="1" x14ac:dyDescent="0.25">
      <c r="A369" s="18" t="s">
        <v>669</v>
      </c>
      <c r="B369" s="70">
        <v>1</v>
      </c>
      <c r="C369" s="19" t="s">
        <v>414</v>
      </c>
      <c r="D369" s="19" t="s">
        <v>1020</v>
      </c>
      <c r="E369" s="19" t="s">
        <v>1005</v>
      </c>
      <c r="F369" s="19" t="s">
        <v>550</v>
      </c>
      <c r="G369" s="19" t="s">
        <v>400</v>
      </c>
      <c r="H369" s="19" t="s">
        <v>670</v>
      </c>
      <c r="I369" s="19" t="s">
        <v>1141</v>
      </c>
      <c r="J369" s="19" t="s">
        <v>396</v>
      </c>
      <c r="K369" s="20">
        <f>(1/683)/((1+1)/(543+835))</f>
        <v>1.0087847730600292</v>
      </c>
    </row>
    <row r="370" spans="1:11" s="3" customFormat="1" x14ac:dyDescent="0.25">
      <c r="A370" s="12" t="s">
        <v>177</v>
      </c>
      <c r="B370" s="70">
        <v>1</v>
      </c>
      <c r="C370" s="18" t="s">
        <v>185</v>
      </c>
      <c r="D370" s="7" t="s">
        <v>1010</v>
      </c>
      <c r="E370" s="7" t="s">
        <v>1133</v>
      </c>
      <c r="F370" s="7" t="s">
        <v>550</v>
      </c>
      <c r="G370" s="7" t="s">
        <v>311</v>
      </c>
      <c r="H370" s="7" t="s">
        <v>953</v>
      </c>
      <c r="I370" s="7" t="s">
        <v>178</v>
      </c>
      <c r="J370" s="7" t="s">
        <v>506</v>
      </c>
      <c r="K370" s="10">
        <f>(6/7)/(7/7)</f>
        <v>0.8571428571428571</v>
      </c>
    </row>
    <row r="371" spans="1:11" s="3" customFormat="1" x14ac:dyDescent="0.25">
      <c r="A371" s="18" t="s">
        <v>1120</v>
      </c>
      <c r="B371" s="70">
        <v>0</v>
      </c>
      <c r="C371" s="18" t="s">
        <v>185</v>
      </c>
      <c r="D371" s="7" t="s">
        <v>1022</v>
      </c>
      <c r="E371" s="7" t="s">
        <v>1018</v>
      </c>
      <c r="F371" s="7" t="s">
        <v>551</v>
      </c>
      <c r="G371" s="7" t="s">
        <v>401</v>
      </c>
      <c r="H371" s="7" t="s">
        <v>1007</v>
      </c>
      <c r="I371" s="7" t="s">
        <v>562</v>
      </c>
      <c r="J371" s="7" t="s">
        <v>396</v>
      </c>
      <c r="K371" s="10">
        <f>5/8</f>
        <v>0.625</v>
      </c>
    </row>
    <row r="372" spans="1:11" s="3" customFormat="1" x14ac:dyDescent="0.25">
      <c r="A372" s="18" t="s">
        <v>245</v>
      </c>
      <c r="B372" s="70">
        <v>0</v>
      </c>
      <c r="C372" s="7" t="s">
        <v>1129</v>
      </c>
      <c r="D372" s="19" t="s">
        <v>1022</v>
      </c>
      <c r="E372" s="7" t="s">
        <v>1018</v>
      </c>
      <c r="F372" s="7" t="s">
        <v>551</v>
      </c>
      <c r="G372" s="7" t="s">
        <v>401</v>
      </c>
      <c r="H372" s="7" t="s">
        <v>1007</v>
      </c>
      <c r="I372" s="7" t="s">
        <v>560</v>
      </c>
      <c r="J372" s="19" t="s">
        <v>246</v>
      </c>
      <c r="K372" s="10">
        <f>0.7/3.4</f>
        <v>0.20588235294117646</v>
      </c>
    </row>
    <row r="373" spans="1:11" s="3" customFormat="1" x14ac:dyDescent="0.25">
      <c r="A373" s="18" t="s">
        <v>245</v>
      </c>
      <c r="B373" s="70">
        <v>0</v>
      </c>
      <c r="C373" s="7" t="s">
        <v>1129</v>
      </c>
      <c r="D373" s="19" t="s">
        <v>1010</v>
      </c>
      <c r="E373" s="7" t="s">
        <v>1018</v>
      </c>
      <c r="F373" s="7" t="s">
        <v>551</v>
      </c>
      <c r="G373" s="7" t="s">
        <v>401</v>
      </c>
      <c r="H373" s="7" t="s">
        <v>1007</v>
      </c>
      <c r="I373" s="7" t="s">
        <v>560</v>
      </c>
      <c r="J373" s="19" t="s">
        <v>246</v>
      </c>
      <c r="K373" s="10">
        <f>0.4/0.9</f>
        <v>0.44444444444444448</v>
      </c>
    </row>
    <row r="374" spans="1:11" s="3" customFormat="1" x14ac:dyDescent="0.25">
      <c r="A374" s="12" t="s">
        <v>780</v>
      </c>
      <c r="B374" s="70">
        <v>1</v>
      </c>
      <c r="C374" s="7" t="s">
        <v>1129</v>
      </c>
      <c r="D374" s="7" t="s">
        <v>1022</v>
      </c>
      <c r="E374" s="7" t="s">
        <v>1001</v>
      </c>
      <c r="F374" s="7" t="s">
        <v>551</v>
      </c>
      <c r="G374" s="7" t="s">
        <v>566</v>
      </c>
      <c r="H374" s="7" t="s">
        <v>1024</v>
      </c>
      <c r="I374" s="7" t="s">
        <v>560</v>
      </c>
      <c r="J374" s="7" t="s">
        <v>396</v>
      </c>
      <c r="K374" s="10">
        <v>0.25</v>
      </c>
    </row>
    <row r="375" spans="1:11" s="3" customFormat="1" x14ac:dyDescent="0.25">
      <c r="A375" s="12" t="s">
        <v>780</v>
      </c>
      <c r="B375" s="70">
        <v>1</v>
      </c>
      <c r="C375" s="7" t="s">
        <v>1129</v>
      </c>
      <c r="D375" s="7" t="s">
        <v>1010</v>
      </c>
      <c r="E375" s="7" t="s">
        <v>1001</v>
      </c>
      <c r="F375" s="7" t="s">
        <v>551</v>
      </c>
      <c r="G375" s="7" t="s">
        <v>566</v>
      </c>
      <c r="H375" s="7" t="s">
        <v>1024</v>
      </c>
      <c r="I375" s="7" t="s">
        <v>560</v>
      </c>
      <c r="J375" s="7" t="s">
        <v>396</v>
      </c>
      <c r="K375" s="10">
        <v>0.04</v>
      </c>
    </row>
    <row r="376" spans="1:11" s="3" customFormat="1" x14ac:dyDescent="0.25">
      <c r="A376" s="12" t="s">
        <v>699</v>
      </c>
      <c r="B376" s="70">
        <v>1</v>
      </c>
      <c r="C376" s="18" t="s">
        <v>185</v>
      </c>
      <c r="D376" s="7" t="s">
        <v>1010</v>
      </c>
      <c r="E376" s="7" t="s">
        <v>1023</v>
      </c>
      <c r="F376" s="7" t="s">
        <v>373</v>
      </c>
      <c r="G376" s="7" t="s">
        <v>374</v>
      </c>
      <c r="H376" s="7" t="s">
        <v>374</v>
      </c>
      <c r="I376" s="7" t="s">
        <v>1008</v>
      </c>
      <c r="J376" s="7" t="s">
        <v>1064</v>
      </c>
      <c r="K376" s="10">
        <f>(16/(16+7))/((16+7)/(16+7))</f>
        <v>0.69565217391304346</v>
      </c>
    </row>
    <row r="377" spans="1:11" s="3" customFormat="1" x14ac:dyDescent="0.25">
      <c r="A377" s="12" t="s">
        <v>699</v>
      </c>
      <c r="B377" s="70">
        <v>1</v>
      </c>
      <c r="C377" s="18" t="s">
        <v>185</v>
      </c>
      <c r="D377" s="7" t="s">
        <v>1010</v>
      </c>
      <c r="E377" s="7" t="s">
        <v>1133</v>
      </c>
      <c r="F377" s="7" t="s">
        <v>373</v>
      </c>
      <c r="G377" s="7" t="s">
        <v>374</v>
      </c>
      <c r="H377" s="7" t="s">
        <v>374</v>
      </c>
      <c r="I377" s="7" t="s">
        <v>1008</v>
      </c>
      <c r="J377" s="7" t="s">
        <v>1064</v>
      </c>
      <c r="K377" s="10">
        <f>((14+5)/(14+14+5+10))/((14+14+5+10)/(14+14+5+10))</f>
        <v>0.44186046511627908</v>
      </c>
    </row>
    <row r="378" spans="1:11" s="3" customFormat="1" x14ac:dyDescent="0.25">
      <c r="A378" s="12" t="s">
        <v>699</v>
      </c>
      <c r="B378" s="70">
        <v>1</v>
      </c>
      <c r="C378" s="18" t="s">
        <v>185</v>
      </c>
      <c r="D378" s="7" t="s">
        <v>1010</v>
      </c>
      <c r="E378" s="7" t="s">
        <v>565</v>
      </c>
      <c r="F378" s="7" t="s">
        <v>373</v>
      </c>
      <c r="G378" s="7" t="s">
        <v>374</v>
      </c>
      <c r="H378" s="7" t="s">
        <v>374</v>
      </c>
      <c r="I378" s="7" t="s">
        <v>1008</v>
      </c>
      <c r="J378" s="7" t="s">
        <v>1064</v>
      </c>
      <c r="K378" s="10">
        <f>((3+0)/(3+0))/((3+0)/(3+0))</f>
        <v>1</v>
      </c>
    </row>
    <row r="379" spans="1:11" s="3" customFormat="1" x14ac:dyDescent="0.25">
      <c r="A379" s="12" t="s">
        <v>204</v>
      </c>
      <c r="B379" s="70">
        <v>1</v>
      </c>
      <c r="C379" s="7" t="s">
        <v>1129</v>
      </c>
      <c r="D379" s="7" t="s">
        <v>1000</v>
      </c>
      <c r="E379" s="7" t="s">
        <v>1001</v>
      </c>
      <c r="F379" s="7" t="s">
        <v>280</v>
      </c>
      <c r="G379" s="7" t="s">
        <v>957</v>
      </c>
      <c r="H379" s="7" t="s">
        <v>957</v>
      </c>
      <c r="I379" s="7" t="s">
        <v>1008</v>
      </c>
      <c r="J379" s="7" t="s">
        <v>959</v>
      </c>
      <c r="K379" s="10">
        <f>AVERAGE(0.09,0.134)/0.076</f>
        <v>1.4736842105263159</v>
      </c>
    </row>
    <row r="380" spans="1:11" s="3" customFormat="1" x14ac:dyDescent="0.25">
      <c r="A380" s="12" t="s">
        <v>204</v>
      </c>
      <c r="B380" s="70">
        <v>1</v>
      </c>
      <c r="C380" s="7" t="s">
        <v>1129</v>
      </c>
      <c r="D380" s="7" t="s">
        <v>1000</v>
      </c>
      <c r="E380" s="7" t="s">
        <v>1001</v>
      </c>
      <c r="F380" s="7" t="s">
        <v>280</v>
      </c>
      <c r="G380" s="7" t="s">
        <v>281</v>
      </c>
      <c r="H380" s="7" t="s">
        <v>958</v>
      </c>
      <c r="I380" s="7" t="s">
        <v>1008</v>
      </c>
      <c r="J380" s="7" t="s">
        <v>959</v>
      </c>
      <c r="K380" s="10">
        <f>AVERAGE(0.053,0.17,0.078)/0.142</f>
        <v>0.70657276995305163</v>
      </c>
    </row>
    <row r="381" spans="1:11" s="3" customFormat="1" x14ac:dyDescent="0.25">
      <c r="A381" s="12" t="s">
        <v>204</v>
      </c>
      <c r="B381" s="70">
        <v>1</v>
      </c>
      <c r="C381" s="7" t="s">
        <v>1129</v>
      </c>
      <c r="D381" s="7" t="s">
        <v>1000</v>
      </c>
      <c r="E381" s="7" t="s">
        <v>1001</v>
      </c>
      <c r="F381" s="7" t="s">
        <v>551</v>
      </c>
      <c r="G381" s="7" t="s">
        <v>401</v>
      </c>
      <c r="H381" s="7" t="s">
        <v>1007</v>
      </c>
      <c r="I381" s="7" t="s">
        <v>1008</v>
      </c>
      <c r="J381" s="7" t="s">
        <v>959</v>
      </c>
      <c r="K381" s="10">
        <f>0.164/0.09</f>
        <v>1.8222222222222224</v>
      </c>
    </row>
    <row r="382" spans="1:11" s="3" customFormat="1" x14ac:dyDescent="0.25">
      <c r="A382" s="12" t="s">
        <v>204</v>
      </c>
      <c r="B382" s="70">
        <v>1</v>
      </c>
      <c r="C382" s="7" t="s">
        <v>1129</v>
      </c>
      <c r="D382" s="7" t="s">
        <v>1000</v>
      </c>
      <c r="E382" s="7" t="s">
        <v>1001</v>
      </c>
      <c r="F382" s="7" t="s">
        <v>551</v>
      </c>
      <c r="G382" s="7" t="s">
        <v>566</v>
      </c>
      <c r="H382" s="7" t="s">
        <v>1024</v>
      </c>
      <c r="I382" s="7" t="s">
        <v>1008</v>
      </c>
      <c r="J382" s="7" t="s">
        <v>959</v>
      </c>
      <c r="K382" s="10">
        <f>0.135/0.206</f>
        <v>0.65533980582524276</v>
      </c>
    </row>
    <row r="383" spans="1:11" s="3" customFormat="1" x14ac:dyDescent="0.25">
      <c r="A383" s="12" t="s">
        <v>204</v>
      </c>
      <c r="B383" s="70">
        <v>1</v>
      </c>
      <c r="C383" s="7" t="s">
        <v>1129</v>
      </c>
      <c r="D383" s="7" t="s">
        <v>1000</v>
      </c>
      <c r="E383" s="7" t="s">
        <v>1001</v>
      </c>
      <c r="F383" s="7" t="s">
        <v>551</v>
      </c>
      <c r="G383" s="7" t="s">
        <v>566</v>
      </c>
      <c r="H383" s="7" t="s">
        <v>566</v>
      </c>
      <c r="I383" s="7" t="s">
        <v>1008</v>
      </c>
      <c r="J383" s="7" t="s">
        <v>959</v>
      </c>
      <c r="K383" s="10">
        <f>0.019/0.206</f>
        <v>9.2233009708737865E-2</v>
      </c>
    </row>
    <row r="384" spans="1:11" s="3" customFormat="1" x14ac:dyDescent="0.25">
      <c r="A384" s="12" t="s">
        <v>204</v>
      </c>
      <c r="B384" s="70">
        <v>1</v>
      </c>
      <c r="C384" s="7" t="s">
        <v>1129</v>
      </c>
      <c r="D384" s="7" t="s">
        <v>1029</v>
      </c>
      <c r="E384" s="7" t="s">
        <v>1001</v>
      </c>
      <c r="F384" s="7" t="s">
        <v>280</v>
      </c>
      <c r="G384" s="7" t="s">
        <v>957</v>
      </c>
      <c r="H384" s="7" t="s">
        <v>957</v>
      </c>
      <c r="I384" s="7" t="s">
        <v>1008</v>
      </c>
      <c r="J384" s="7" t="s">
        <v>959</v>
      </c>
      <c r="K384" s="10">
        <f>AVERAGE(0.023,0.045)/0.015</f>
        <v>2.2666666666666671</v>
      </c>
    </row>
    <row r="385" spans="1:11" s="3" customFormat="1" x14ac:dyDescent="0.25">
      <c r="A385" s="12" t="s">
        <v>204</v>
      </c>
      <c r="B385" s="70">
        <v>1</v>
      </c>
      <c r="C385" s="7" t="s">
        <v>1129</v>
      </c>
      <c r="D385" s="7" t="s">
        <v>1029</v>
      </c>
      <c r="E385" s="7" t="s">
        <v>1001</v>
      </c>
      <c r="F385" s="7" t="s">
        <v>551</v>
      </c>
      <c r="G385" s="7" t="s">
        <v>401</v>
      </c>
      <c r="H385" s="7" t="s">
        <v>1007</v>
      </c>
      <c r="I385" s="7" t="s">
        <v>1008</v>
      </c>
      <c r="J385" s="7" t="s">
        <v>959</v>
      </c>
      <c r="K385" s="10">
        <f>0.005/0.033</f>
        <v>0.15151515151515152</v>
      </c>
    </row>
    <row r="386" spans="1:11" s="3" customFormat="1" x14ac:dyDescent="0.25">
      <c r="A386" s="12" t="s">
        <v>204</v>
      </c>
      <c r="B386" s="70">
        <v>1</v>
      </c>
      <c r="C386" s="7" t="s">
        <v>1129</v>
      </c>
      <c r="D386" s="7" t="s">
        <v>1029</v>
      </c>
      <c r="E386" s="7" t="s">
        <v>1001</v>
      </c>
      <c r="F386" s="7" t="s">
        <v>551</v>
      </c>
      <c r="G386" s="7" t="s">
        <v>566</v>
      </c>
      <c r="H386" s="7" t="s">
        <v>1024</v>
      </c>
      <c r="I386" s="7" t="s">
        <v>1008</v>
      </c>
      <c r="J386" s="7" t="s">
        <v>959</v>
      </c>
      <c r="K386" s="10">
        <f>0.02/0.139</f>
        <v>0.14388489208633093</v>
      </c>
    </row>
    <row r="387" spans="1:11" s="3" customFormat="1" x14ac:dyDescent="0.25">
      <c r="A387" s="12" t="s">
        <v>204</v>
      </c>
      <c r="B387" s="70">
        <v>1</v>
      </c>
      <c r="C387" s="7" t="s">
        <v>1129</v>
      </c>
      <c r="D387" s="7" t="s">
        <v>1029</v>
      </c>
      <c r="E387" s="7" t="s">
        <v>1001</v>
      </c>
      <c r="F387" s="7" t="s">
        <v>551</v>
      </c>
      <c r="G387" s="7" t="s">
        <v>566</v>
      </c>
      <c r="H387" s="7" t="s">
        <v>566</v>
      </c>
      <c r="I387" s="7" t="s">
        <v>1008</v>
      </c>
      <c r="J387" s="7" t="s">
        <v>959</v>
      </c>
      <c r="K387" s="10">
        <f>0.006/0.139</f>
        <v>4.3165467625899276E-2</v>
      </c>
    </row>
    <row r="388" spans="1:11" s="3" customFormat="1" x14ac:dyDescent="0.25">
      <c r="A388" s="12" t="s">
        <v>1045</v>
      </c>
      <c r="B388" s="70">
        <v>1</v>
      </c>
      <c r="C388" s="18" t="s">
        <v>185</v>
      </c>
      <c r="D388" s="7" t="s">
        <v>1016</v>
      </c>
      <c r="E388" s="7" t="s">
        <v>1133</v>
      </c>
      <c r="F388" s="7" t="s">
        <v>550</v>
      </c>
      <c r="G388" s="7" t="s">
        <v>398</v>
      </c>
      <c r="H388" s="7" t="s">
        <v>332</v>
      </c>
      <c r="I388" s="7" t="s">
        <v>1008</v>
      </c>
      <c r="J388" s="7" t="s">
        <v>506</v>
      </c>
      <c r="K388" s="10">
        <f>1/5</f>
        <v>0.2</v>
      </c>
    </row>
    <row r="389" spans="1:11" s="3" customFormat="1" x14ac:dyDescent="0.25">
      <c r="A389" s="12" t="s">
        <v>1046</v>
      </c>
      <c r="B389" s="70">
        <v>1</v>
      </c>
      <c r="C389" s="18" t="s">
        <v>185</v>
      </c>
      <c r="D389" s="7" t="s">
        <v>1016</v>
      </c>
      <c r="E389" s="7" t="s">
        <v>1133</v>
      </c>
      <c r="F389" s="7" t="s">
        <v>373</v>
      </c>
      <c r="G389" s="7" t="s">
        <v>374</v>
      </c>
      <c r="H389" s="7" t="s">
        <v>374</v>
      </c>
      <c r="I389" s="7" t="s">
        <v>1008</v>
      </c>
      <c r="J389" s="7" t="s">
        <v>506</v>
      </c>
      <c r="K389" s="10">
        <f>AVERAGE(AVERAGE(15,4,11,20,15,6,4,3,1,1,1)/AVERAGE(16,8,19,20,19,7,4,3,2,1,1),AVERAGE(11,0,4,6,0,1,2,2,1)/AVERAGE(19,4,8,7,2,1,10,4,1),AVERAGE(0,1,5,0)/AVERAGE(4,1,12,1),1/5)</f>
        <v>0.45636904761904756</v>
      </c>
    </row>
    <row r="390" spans="1:11" s="3" customFormat="1" x14ac:dyDescent="0.25">
      <c r="A390" s="12" t="s">
        <v>1047</v>
      </c>
      <c r="B390" s="70">
        <v>1</v>
      </c>
      <c r="C390" s="18" t="s">
        <v>185</v>
      </c>
      <c r="D390" s="7" t="s">
        <v>1016</v>
      </c>
      <c r="E390" s="7" t="s">
        <v>1133</v>
      </c>
      <c r="F390" s="7" t="s">
        <v>280</v>
      </c>
      <c r="G390" s="7" t="s">
        <v>402</v>
      </c>
      <c r="H390" s="7" t="s">
        <v>1095</v>
      </c>
      <c r="I390" s="7" t="s">
        <v>1008</v>
      </c>
      <c r="J390" s="7" t="s">
        <v>723</v>
      </c>
      <c r="K390" s="10">
        <f>(2/8)/(6/3)</f>
        <v>0.125</v>
      </c>
    </row>
    <row r="391" spans="1:11" s="21" customFormat="1" x14ac:dyDescent="0.25">
      <c r="A391" s="19" t="s">
        <v>948</v>
      </c>
      <c r="B391" s="70">
        <v>1</v>
      </c>
      <c r="C391" s="18" t="s">
        <v>185</v>
      </c>
      <c r="D391" s="19" t="s">
        <v>403</v>
      </c>
      <c r="E391" s="19" t="s">
        <v>1005</v>
      </c>
      <c r="F391" s="19" t="s">
        <v>280</v>
      </c>
      <c r="G391" s="19" t="s">
        <v>9</v>
      </c>
      <c r="H391" s="20" t="s">
        <v>1071</v>
      </c>
      <c r="I391" s="19" t="s">
        <v>569</v>
      </c>
      <c r="J391" s="19" t="s">
        <v>11</v>
      </c>
      <c r="K391" s="20">
        <f>0/11</f>
        <v>0</v>
      </c>
    </row>
    <row r="392" spans="1:11" s="21" customFormat="1" x14ac:dyDescent="0.25">
      <c r="A392" s="18" t="s">
        <v>143</v>
      </c>
      <c r="B392" s="70">
        <v>0</v>
      </c>
      <c r="C392" s="18" t="s">
        <v>185</v>
      </c>
      <c r="D392" s="19" t="s">
        <v>1009</v>
      </c>
      <c r="E392" s="19" t="s">
        <v>1018</v>
      </c>
      <c r="F392" s="19" t="s">
        <v>373</v>
      </c>
      <c r="G392" s="19" t="s">
        <v>374</v>
      </c>
      <c r="H392" s="19" t="s">
        <v>374</v>
      </c>
      <c r="I392" s="19" t="s">
        <v>1003</v>
      </c>
      <c r="J392" s="19" t="s">
        <v>1064</v>
      </c>
      <c r="K392" s="20">
        <f>1/3</f>
        <v>0.33333333333333331</v>
      </c>
    </row>
    <row r="393" spans="1:11" s="21" customFormat="1" x14ac:dyDescent="0.25">
      <c r="A393" s="18" t="s">
        <v>1048</v>
      </c>
      <c r="B393" s="70">
        <v>1</v>
      </c>
      <c r="C393" s="18" t="s">
        <v>548</v>
      </c>
      <c r="D393" s="19" t="s">
        <v>1022</v>
      </c>
      <c r="E393" s="19" t="s">
        <v>724</v>
      </c>
      <c r="F393" s="19" t="s">
        <v>373</v>
      </c>
      <c r="G393" s="19" t="s">
        <v>430</v>
      </c>
      <c r="H393" s="19" t="s">
        <v>430</v>
      </c>
      <c r="I393" s="19" t="s">
        <v>1008</v>
      </c>
      <c r="J393" s="19" t="s">
        <v>725</v>
      </c>
      <c r="K393" s="20">
        <f>(0.2/22)/(AVERAGE(0.2,0.9,1.4)/23)</f>
        <v>0.25090909090909091</v>
      </c>
    </row>
    <row r="394" spans="1:11" s="3" customFormat="1" x14ac:dyDescent="0.25">
      <c r="A394" s="12" t="s">
        <v>781</v>
      </c>
      <c r="B394" s="70">
        <v>1</v>
      </c>
      <c r="C394" s="18" t="s">
        <v>185</v>
      </c>
      <c r="D394" s="7" t="s">
        <v>1025</v>
      </c>
      <c r="E394" s="7" t="s">
        <v>1005</v>
      </c>
      <c r="F394" s="7" t="s">
        <v>551</v>
      </c>
      <c r="G394" s="7" t="s">
        <v>401</v>
      </c>
      <c r="H394" s="7" t="s">
        <v>1007</v>
      </c>
      <c r="I394" s="7" t="s">
        <v>555</v>
      </c>
      <c r="J394" s="7" t="s">
        <v>396</v>
      </c>
      <c r="K394" s="10">
        <f>0/5127</f>
        <v>0</v>
      </c>
    </row>
    <row r="395" spans="1:11" s="3" customFormat="1" x14ac:dyDescent="0.25">
      <c r="A395" s="12" t="s">
        <v>781</v>
      </c>
      <c r="B395" s="70">
        <v>1</v>
      </c>
      <c r="C395" s="18" t="s">
        <v>185</v>
      </c>
      <c r="D395" s="7" t="s">
        <v>1025</v>
      </c>
      <c r="E395" s="7" t="s">
        <v>1001</v>
      </c>
      <c r="F395" s="7" t="s">
        <v>551</v>
      </c>
      <c r="G395" s="7" t="s">
        <v>401</v>
      </c>
      <c r="H395" s="7" t="s">
        <v>1007</v>
      </c>
      <c r="I395" s="7" t="s">
        <v>555</v>
      </c>
      <c r="J395" s="7" t="s">
        <v>396</v>
      </c>
      <c r="K395" s="10">
        <f>5/3222</f>
        <v>1.5518311607697084E-3</v>
      </c>
    </row>
    <row r="396" spans="1:11" s="3" customFormat="1" x14ac:dyDescent="0.25">
      <c r="A396" s="12" t="s">
        <v>781</v>
      </c>
      <c r="B396" s="70">
        <v>1</v>
      </c>
      <c r="C396" s="18" t="s">
        <v>185</v>
      </c>
      <c r="D396" s="7" t="s">
        <v>1025</v>
      </c>
      <c r="E396" s="7" t="s">
        <v>561</v>
      </c>
      <c r="F396" s="7" t="s">
        <v>551</v>
      </c>
      <c r="G396" s="7" t="s">
        <v>401</v>
      </c>
      <c r="H396" s="7" t="s">
        <v>1007</v>
      </c>
      <c r="I396" s="7" t="s">
        <v>555</v>
      </c>
      <c r="J396" s="7" t="s">
        <v>396</v>
      </c>
      <c r="K396" s="10">
        <f>8/2449</f>
        <v>3.2666394446712946E-3</v>
      </c>
    </row>
    <row r="397" spans="1:11" s="3" customFormat="1" x14ac:dyDescent="0.25">
      <c r="A397" s="12" t="s">
        <v>781</v>
      </c>
      <c r="B397" s="70">
        <v>1</v>
      </c>
      <c r="C397" s="18" t="s">
        <v>185</v>
      </c>
      <c r="D397" s="7" t="s">
        <v>1025</v>
      </c>
      <c r="E397" s="7" t="s">
        <v>1018</v>
      </c>
      <c r="F397" s="7" t="s">
        <v>551</v>
      </c>
      <c r="G397" s="7" t="s">
        <v>401</v>
      </c>
      <c r="H397" s="7" t="s">
        <v>1007</v>
      </c>
      <c r="I397" s="7" t="s">
        <v>555</v>
      </c>
      <c r="J397" s="7" t="s">
        <v>396</v>
      </c>
      <c r="K397" s="10">
        <f>0/1486</f>
        <v>0</v>
      </c>
    </row>
    <row r="398" spans="1:11" s="3" customFormat="1" x14ac:dyDescent="0.25">
      <c r="A398" s="12" t="s">
        <v>781</v>
      </c>
      <c r="B398" s="70">
        <v>1</v>
      </c>
      <c r="C398" s="18" t="s">
        <v>185</v>
      </c>
      <c r="D398" s="7" t="s">
        <v>1025</v>
      </c>
      <c r="E398" s="7" t="s">
        <v>1018</v>
      </c>
      <c r="F398" s="7" t="s">
        <v>551</v>
      </c>
      <c r="G398" s="7" t="s">
        <v>401</v>
      </c>
      <c r="H398" s="7" t="s">
        <v>1007</v>
      </c>
      <c r="I398" s="7" t="s">
        <v>555</v>
      </c>
      <c r="J398" s="7" t="s">
        <v>25</v>
      </c>
      <c r="K398" s="10">
        <f>0.1/17.4</f>
        <v>5.74712643678161E-3</v>
      </c>
    </row>
    <row r="399" spans="1:11" s="3" customFormat="1" x14ac:dyDescent="0.25">
      <c r="A399" s="12" t="s">
        <v>701</v>
      </c>
      <c r="B399" s="70">
        <v>1</v>
      </c>
      <c r="C399" s="18" t="s">
        <v>185</v>
      </c>
      <c r="D399" s="7" t="s">
        <v>1010</v>
      </c>
      <c r="E399" s="7" t="s">
        <v>1001</v>
      </c>
      <c r="F399" s="7" t="s">
        <v>437</v>
      </c>
      <c r="G399" s="7" t="s">
        <v>438</v>
      </c>
      <c r="H399" s="7" t="s">
        <v>438</v>
      </c>
      <c r="I399" s="7" t="s">
        <v>1026</v>
      </c>
      <c r="J399" s="7" t="s">
        <v>687</v>
      </c>
      <c r="K399" s="10">
        <f>AVERAGE(2,3.5,3.7,5,4.5,9,5,6.3)/AVERAGE(2,1,3.5,4,5.5,5.5,9.5,1.8,1.7,1.7,1.7,1.8,2.3,3.8,4.3,4.5,5,5.8)</f>
        <v>1.3417431192660552</v>
      </c>
    </row>
    <row r="400" spans="1:11" s="3" customFormat="1" x14ac:dyDescent="0.25">
      <c r="A400" s="12" t="s">
        <v>534</v>
      </c>
      <c r="B400" s="70">
        <v>1</v>
      </c>
      <c r="C400" s="18" t="s">
        <v>185</v>
      </c>
      <c r="D400" s="7" t="s">
        <v>1000</v>
      </c>
      <c r="E400" s="7" t="s">
        <v>404</v>
      </c>
      <c r="F400" s="7" t="s">
        <v>551</v>
      </c>
      <c r="G400" s="7" t="s">
        <v>401</v>
      </c>
      <c r="H400" s="7" t="s">
        <v>1007</v>
      </c>
      <c r="I400" s="7" t="s">
        <v>1008</v>
      </c>
      <c r="J400" s="7" t="s">
        <v>765</v>
      </c>
      <c r="K400" s="10">
        <f>6.9/11.8</f>
        <v>0.5847457627118644</v>
      </c>
    </row>
    <row r="401" spans="1:11" s="3" customFormat="1" x14ac:dyDescent="0.25">
      <c r="A401" s="12" t="s">
        <v>534</v>
      </c>
      <c r="B401" s="70">
        <v>1</v>
      </c>
      <c r="C401" s="18" t="s">
        <v>185</v>
      </c>
      <c r="D401" s="7" t="s">
        <v>1000</v>
      </c>
      <c r="E401" s="7" t="s">
        <v>405</v>
      </c>
      <c r="F401" s="7" t="s">
        <v>551</v>
      </c>
      <c r="G401" s="7" t="s">
        <v>401</v>
      </c>
      <c r="H401" s="7" t="s">
        <v>1007</v>
      </c>
      <c r="I401" s="7" t="s">
        <v>1008</v>
      </c>
      <c r="J401" s="7" t="s">
        <v>765</v>
      </c>
      <c r="K401" s="10">
        <f>2.3/3.2</f>
        <v>0.71874999999999989</v>
      </c>
    </row>
    <row r="402" spans="1:11" s="21" customFormat="1" x14ac:dyDescent="0.25">
      <c r="A402" s="18" t="s">
        <v>459</v>
      </c>
      <c r="B402" s="70">
        <v>0</v>
      </c>
      <c r="C402" s="18" t="s">
        <v>185</v>
      </c>
      <c r="D402" s="19" t="s">
        <v>1050</v>
      </c>
      <c r="E402" s="19" t="s">
        <v>421</v>
      </c>
      <c r="F402" s="19" t="s">
        <v>550</v>
      </c>
      <c r="G402" s="19" t="s">
        <v>278</v>
      </c>
      <c r="H402" s="19" t="s">
        <v>317</v>
      </c>
      <c r="I402" s="19" t="s">
        <v>1052</v>
      </c>
      <c r="J402" s="19" t="s">
        <v>506</v>
      </c>
      <c r="K402" s="20">
        <f>(8/SUM(8,1,5))/(SUM(1,5)/SUM(8,1,5))</f>
        <v>1.3333333333333333</v>
      </c>
    </row>
    <row r="403" spans="1:11" s="21" customFormat="1" x14ac:dyDescent="0.25">
      <c r="A403" s="18" t="s">
        <v>459</v>
      </c>
      <c r="B403" s="70">
        <v>0</v>
      </c>
      <c r="C403" s="18" t="s">
        <v>185</v>
      </c>
      <c r="D403" s="19" t="s">
        <v>1050</v>
      </c>
      <c r="E403" s="19" t="s">
        <v>421</v>
      </c>
      <c r="F403" s="19" t="s">
        <v>550</v>
      </c>
      <c r="G403" s="19" t="s">
        <v>1067</v>
      </c>
      <c r="H403" s="19" t="s">
        <v>217</v>
      </c>
      <c r="I403" s="19" t="s">
        <v>1052</v>
      </c>
      <c r="J403" s="19" t="s">
        <v>506</v>
      </c>
      <c r="K403" s="20">
        <f>(1/SUM(1,18,6))/(SUM(18,6)/SUM(1,18,6))</f>
        <v>4.1666666666666671E-2</v>
      </c>
    </row>
    <row r="404" spans="1:11" s="21" customFormat="1" x14ac:dyDescent="0.25">
      <c r="A404" s="18" t="s">
        <v>459</v>
      </c>
      <c r="B404" s="70">
        <v>0</v>
      </c>
      <c r="C404" s="18" t="s">
        <v>185</v>
      </c>
      <c r="D404" s="19" t="s">
        <v>1050</v>
      </c>
      <c r="E404" s="19" t="s">
        <v>421</v>
      </c>
      <c r="F404" s="19" t="s">
        <v>550</v>
      </c>
      <c r="G404" s="19" t="s">
        <v>398</v>
      </c>
      <c r="H404" s="19" t="s">
        <v>333</v>
      </c>
      <c r="I404" s="19" t="s">
        <v>1052</v>
      </c>
      <c r="J404" s="19" t="s">
        <v>506</v>
      </c>
      <c r="K404" s="20">
        <f>(0/SUM(0,2,5))/(SUM(2,5)/SUM(0,2,5))</f>
        <v>0</v>
      </c>
    </row>
    <row r="405" spans="1:11" s="3" customFormat="1" x14ac:dyDescent="0.25">
      <c r="A405" s="12" t="s">
        <v>993</v>
      </c>
      <c r="B405" s="70">
        <v>1</v>
      </c>
      <c r="C405" s="18" t="s">
        <v>185</v>
      </c>
      <c r="D405" s="7" t="s">
        <v>1022</v>
      </c>
      <c r="E405" s="7" t="s">
        <v>1023</v>
      </c>
      <c r="F405" s="7" t="s">
        <v>551</v>
      </c>
      <c r="G405" s="7" t="s">
        <v>1002</v>
      </c>
      <c r="H405" s="7" t="s">
        <v>1002</v>
      </c>
      <c r="I405" s="7" t="s">
        <v>562</v>
      </c>
      <c r="J405" s="7" t="s">
        <v>1074</v>
      </c>
      <c r="K405" s="10">
        <f>0/6.6</f>
        <v>0</v>
      </c>
    </row>
    <row r="406" spans="1:11" s="3" customFormat="1" x14ac:dyDescent="0.25">
      <c r="A406" s="12" t="s">
        <v>993</v>
      </c>
      <c r="B406" s="70">
        <v>1</v>
      </c>
      <c r="C406" s="18" t="s">
        <v>185</v>
      </c>
      <c r="D406" s="7" t="s">
        <v>1022</v>
      </c>
      <c r="E406" s="7" t="s">
        <v>1023</v>
      </c>
      <c r="F406" s="7" t="s">
        <v>551</v>
      </c>
      <c r="G406" s="7" t="s">
        <v>401</v>
      </c>
      <c r="H406" s="7" t="s">
        <v>1007</v>
      </c>
      <c r="I406" s="7" t="s">
        <v>562</v>
      </c>
      <c r="J406" s="7" t="s">
        <v>1039</v>
      </c>
      <c r="K406" s="10">
        <f>6.4/11.1</f>
        <v>0.57657657657657657</v>
      </c>
    </row>
    <row r="407" spans="1:11" s="3" customFormat="1" x14ac:dyDescent="0.25">
      <c r="A407" s="12" t="s">
        <v>993</v>
      </c>
      <c r="B407" s="70">
        <v>1</v>
      </c>
      <c r="C407" s="18" t="s">
        <v>185</v>
      </c>
      <c r="D407" s="7" t="s">
        <v>1022</v>
      </c>
      <c r="E407" s="7" t="s">
        <v>1023</v>
      </c>
      <c r="F407" s="7" t="s">
        <v>551</v>
      </c>
      <c r="G407" s="7" t="s">
        <v>1002</v>
      </c>
      <c r="H407" s="7" t="s">
        <v>1002</v>
      </c>
      <c r="I407" s="7" t="s">
        <v>563</v>
      </c>
      <c r="J407" s="7" t="s">
        <v>396</v>
      </c>
      <c r="K407" s="10">
        <f>(100-99)/100</f>
        <v>0.01</v>
      </c>
    </row>
    <row r="408" spans="1:11" s="3" customFormat="1" x14ac:dyDescent="0.25">
      <c r="A408" s="12" t="s">
        <v>993</v>
      </c>
      <c r="B408" s="70">
        <v>1</v>
      </c>
      <c r="C408" s="18" t="s">
        <v>185</v>
      </c>
      <c r="D408" s="7" t="s">
        <v>1022</v>
      </c>
      <c r="E408" s="7" t="s">
        <v>1023</v>
      </c>
      <c r="F408" s="7" t="s">
        <v>551</v>
      </c>
      <c r="G408" s="7" t="s">
        <v>401</v>
      </c>
      <c r="H408" s="7" t="s">
        <v>1007</v>
      </c>
      <c r="I408" s="7" t="s">
        <v>563</v>
      </c>
      <c r="J408" s="7" t="s">
        <v>396</v>
      </c>
      <c r="K408" s="10">
        <f>5.3/15.1</f>
        <v>0.35099337748344372</v>
      </c>
    </row>
    <row r="409" spans="1:11" s="3" customFormat="1" x14ac:dyDescent="0.25">
      <c r="A409" s="12" t="s">
        <v>993</v>
      </c>
      <c r="B409" s="70">
        <v>1</v>
      </c>
      <c r="C409" s="18" t="s">
        <v>185</v>
      </c>
      <c r="D409" s="7" t="s">
        <v>1022</v>
      </c>
      <c r="E409" s="7" t="s">
        <v>1023</v>
      </c>
      <c r="F409" s="7" t="s">
        <v>551</v>
      </c>
      <c r="G409" s="7" t="s">
        <v>1002</v>
      </c>
      <c r="H409" s="7" t="s">
        <v>1002</v>
      </c>
      <c r="I409" s="7" t="s">
        <v>1030</v>
      </c>
      <c r="J409" s="7" t="s">
        <v>396</v>
      </c>
      <c r="K409" s="10">
        <f>(100-57.8)/100</f>
        <v>0.42200000000000004</v>
      </c>
    </row>
    <row r="410" spans="1:11" s="3" customFormat="1" x14ac:dyDescent="0.25">
      <c r="A410" s="12" t="s">
        <v>993</v>
      </c>
      <c r="B410" s="70">
        <v>1</v>
      </c>
      <c r="C410" s="18" t="s">
        <v>185</v>
      </c>
      <c r="D410" s="7" t="s">
        <v>1022</v>
      </c>
      <c r="E410" s="7" t="s">
        <v>1023</v>
      </c>
      <c r="F410" s="7" t="s">
        <v>551</v>
      </c>
      <c r="G410" s="7" t="s">
        <v>1002</v>
      </c>
      <c r="H410" s="7" t="s">
        <v>1002</v>
      </c>
      <c r="I410" s="7" t="s">
        <v>564</v>
      </c>
      <c r="J410" s="7" t="s">
        <v>396</v>
      </c>
      <c r="K410" s="10">
        <v>0</v>
      </c>
    </row>
    <row r="411" spans="1:11" s="3" customFormat="1" x14ac:dyDescent="0.25">
      <c r="A411" s="12" t="s">
        <v>361</v>
      </c>
      <c r="B411" s="70">
        <v>1</v>
      </c>
      <c r="C411" s="18" t="s">
        <v>185</v>
      </c>
      <c r="D411" s="7" t="s">
        <v>139</v>
      </c>
      <c r="E411" s="7" t="s">
        <v>140</v>
      </c>
      <c r="F411" s="7" t="s">
        <v>437</v>
      </c>
      <c r="G411" s="7" t="s">
        <v>232</v>
      </c>
      <c r="H411" s="7" t="s">
        <v>232</v>
      </c>
      <c r="I411" s="7" t="s">
        <v>1008</v>
      </c>
      <c r="J411" s="7" t="s">
        <v>100</v>
      </c>
      <c r="K411" s="10">
        <f>(AVERAGE(4619,5834,2551,2400,3522,848)/AVERAGE(172,220,113,115,128,68))/(AVERAGE(29968,28008,12766,8654,15322,6961)/AVERAGE(172,220,113,115,128,68))</f>
        <v>0.19447476863462462</v>
      </c>
    </row>
    <row r="412" spans="1:11" s="3" customFormat="1" x14ac:dyDescent="0.25">
      <c r="A412" s="12" t="s">
        <v>443</v>
      </c>
      <c r="B412" s="70">
        <v>1</v>
      </c>
      <c r="C412" s="18" t="s">
        <v>185</v>
      </c>
      <c r="D412" s="7" t="s">
        <v>1022</v>
      </c>
      <c r="E412" s="7" t="s">
        <v>394</v>
      </c>
      <c r="F412" s="7" t="s">
        <v>437</v>
      </c>
      <c r="G412" s="7" t="s">
        <v>232</v>
      </c>
      <c r="H412" s="7" t="s">
        <v>438</v>
      </c>
      <c r="I412" s="7" t="s">
        <v>1008</v>
      </c>
      <c r="J412" s="7" t="s">
        <v>441</v>
      </c>
      <c r="K412" s="10">
        <f>AVERAGE(0.73,0.46,0.46,1.78,0.72,0.8)</f>
        <v>0.82499999999999984</v>
      </c>
    </row>
    <row r="413" spans="1:11" s="3" customFormat="1" x14ac:dyDescent="0.25">
      <c r="A413" s="12" t="s">
        <v>429</v>
      </c>
      <c r="B413" s="70">
        <v>1</v>
      </c>
      <c r="C413" s="7" t="s">
        <v>1129</v>
      </c>
      <c r="D413" s="7" t="s">
        <v>1022</v>
      </c>
      <c r="E413" s="7" t="s">
        <v>1005</v>
      </c>
      <c r="F413" s="7" t="s">
        <v>373</v>
      </c>
      <c r="G413" s="7" t="s">
        <v>430</v>
      </c>
      <c r="H413" s="7" t="s">
        <v>430</v>
      </c>
      <c r="I413" s="7" t="s">
        <v>1008</v>
      </c>
      <c r="J413" s="7" t="s">
        <v>396</v>
      </c>
      <c r="K413" s="10">
        <f>(AVERAGE(0,0,0)/AVERAGE(300,560))/(AVERAGE(3,1,9,9,2,9)/AVERAGE(300,560))</f>
        <v>0</v>
      </c>
    </row>
    <row r="414" spans="1:11" s="21" customFormat="1" x14ac:dyDescent="0.25">
      <c r="A414" s="18" t="s">
        <v>517</v>
      </c>
      <c r="B414" s="70">
        <v>1</v>
      </c>
      <c r="C414" s="7" t="s">
        <v>1129</v>
      </c>
      <c r="D414" s="19" t="s">
        <v>1025</v>
      </c>
      <c r="E414" s="19" t="s">
        <v>518</v>
      </c>
      <c r="F414" s="19" t="s">
        <v>551</v>
      </c>
      <c r="G414" s="19" t="s">
        <v>566</v>
      </c>
      <c r="H414" s="19" t="s">
        <v>519</v>
      </c>
      <c r="I414" s="19" t="s">
        <v>616</v>
      </c>
      <c r="J414" s="19" t="s">
        <v>520</v>
      </c>
      <c r="K414" s="20">
        <f>(0+0)/1</f>
        <v>0</v>
      </c>
    </row>
    <row r="415" spans="1:11" s="21" customFormat="1" x14ac:dyDescent="0.25">
      <c r="A415" s="18" t="s">
        <v>517</v>
      </c>
      <c r="B415" s="70">
        <v>1</v>
      </c>
      <c r="C415" s="7" t="s">
        <v>1129</v>
      </c>
      <c r="D415" s="19" t="s">
        <v>1014</v>
      </c>
      <c r="E415" s="19" t="s">
        <v>518</v>
      </c>
      <c r="F415" s="19" t="s">
        <v>551</v>
      </c>
      <c r="G415" s="19" t="s">
        <v>566</v>
      </c>
      <c r="H415" s="19" t="s">
        <v>519</v>
      </c>
      <c r="I415" s="19" t="s">
        <v>616</v>
      </c>
      <c r="J415" s="19" t="s">
        <v>520</v>
      </c>
      <c r="K415" s="20">
        <f>(0+0)/1</f>
        <v>0</v>
      </c>
    </row>
    <row r="416" spans="1:11" s="21" customFormat="1" x14ac:dyDescent="0.25">
      <c r="A416" s="18" t="s">
        <v>787</v>
      </c>
      <c r="B416" s="70">
        <v>0</v>
      </c>
      <c r="C416" s="18" t="s">
        <v>548</v>
      </c>
      <c r="D416" s="19" t="s">
        <v>1000</v>
      </c>
      <c r="E416" s="19" t="s">
        <v>785</v>
      </c>
      <c r="F416" s="19" t="s">
        <v>373</v>
      </c>
      <c r="G416" s="19" t="s">
        <v>128</v>
      </c>
      <c r="H416" s="7" t="s">
        <v>216</v>
      </c>
      <c r="I416" s="19" t="s">
        <v>1008</v>
      </c>
      <c r="J416" s="19" t="s">
        <v>396</v>
      </c>
      <c r="K416" s="20">
        <f>(67*6/100)/AVERAGE(70*10/100,67*9/100)</f>
        <v>0.61703760552570974</v>
      </c>
    </row>
    <row r="417" spans="1:11" s="3" customFormat="1" x14ac:dyDescent="0.25">
      <c r="A417" s="12" t="s">
        <v>925</v>
      </c>
      <c r="B417" s="70">
        <v>0</v>
      </c>
      <c r="C417" s="18" t="s">
        <v>185</v>
      </c>
      <c r="D417" s="7" t="s">
        <v>1010</v>
      </c>
      <c r="E417" s="7" t="s">
        <v>565</v>
      </c>
      <c r="F417" s="7" t="s">
        <v>551</v>
      </c>
      <c r="G417" s="7" t="s">
        <v>1002</v>
      </c>
      <c r="H417" s="7" t="s">
        <v>1002</v>
      </c>
      <c r="I417" s="7" t="s">
        <v>563</v>
      </c>
      <c r="J417" s="7" t="s">
        <v>746</v>
      </c>
      <c r="K417" s="10">
        <f>20/48</f>
        <v>0.41666666666666669</v>
      </c>
    </row>
    <row r="418" spans="1:11" s="3" customFormat="1" x14ac:dyDescent="0.25">
      <c r="A418" s="12" t="s">
        <v>823</v>
      </c>
      <c r="B418" s="70">
        <v>1</v>
      </c>
      <c r="C418" s="7" t="s">
        <v>1129</v>
      </c>
      <c r="D418" s="7" t="s">
        <v>1025</v>
      </c>
      <c r="E418" s="7" t="s">
        <v>656</v>
      </c>
      <c r="F418" s="7" t="s">
        <v>551</v>
      </c>
      <c r="G418" s="7" t="s">
        <v>401</v>
      </c>
      <c r="H418" s="7" t="s">
        <v>1007</v>
      </c>
      <c r="I418" s="7" t="s">
        <v>1141</v>
      </c>
      <c r="J418" s="7" t="s">
        <v>800</v>
      </c>
      <c r="K418" s="10">
        <f>3/20</f>
        <v>0.15</v>
      </c>
    </row>
    <row r="419" spans="1:11" s="3" customFormat="1" x14ac:dyDescent="0.25">
      <c r="A419" s="18" t="s">
        <v>366</v>
      </c>
      <c r="B419" s="70">
        <v>1</v>
      </c>
      <c r="C419" s="19" t="s">
        <v>414</v>
      </c>
      <c r="D419" s="19" t="s">
        <v>1022</v>
      </c>
      <c r="E419" s="19" t="s">
        <v>606</v>
      </c>
      <c r="F419" s="7" t="s">
        <v>550</v>
      </c>
      <c r="G419" s="3" t="s">
        <v>422</v>
      </c>
      <c r="H419" s="3" t="s">
        <v>423</v>
      </c>
      <c r="I419" s="19" t="s">
        <v>1008</v>
      </c>
      <c r="J419" s="19" t="s">
        <v>1168</v>
      </c>
      <c r="K419" s="10">
        <f>0.144/0.868</f>
        <v>0.16589861751152071</v>
      </c>
    </row>
    <row r="420" spans="1:11" s="3" customFormat="1" x14ac:dyDescent="0.25">
      <c r="A420" s="18" t="s">
        <v>366</v>
      </c>
      <c r="B420" s="70">
        <v>1</v>
      </c>
      <c r="C420" s="19" t="s">
        <v>414</v>
      </c>
      <c r="D420" s="19" t="s">
        <v>1022</v>
      </c>
      <c r="E420" s="19" t="s">
        <v>606</v>
      </c>
      <c r="F420" s="7" t="s">
        <v>373</v>
      </c>
      <c r="G420" s="7" t="s">
        <v>430</v>
      </c>
      <c r="H420" s="7" t="s">
        <v>430</v>
      </c>
      <c r="I420" s="19" t="s">
        <v>1008</v>
      </c>
      <c r="J420" s="19" t="s">
        <v>1168</v>
      </c>
      <c r="K420" s="10">
        <f>0.444/0.868</f>
        <v>0.51152073732718895</v>
      </c>
    </row>
    <row r="421" spans="1:11" s="3" customFormat="1" x14ac:dyDescent="0.25">
      <c r="A421" s="18" t="s">
        <v>366</v>
      </c>
      <c r="B421" s="70">
        <v>1</v>
      </c>
      <c r="C421" s="18" t="s">
        <v>548</v>
      </c>
      <c r="D421" s="19" t="s">
        <v>1022</v>
      </c>
      <c r="E421" s="19" t="s">
        <v>724</v>
      </c>
      <c r="F421" s="7" t="s">
        <v>550</v>
      </c>
      <c r="G421" s="7" t="s">
        <v>400</v>
      </c>
      <c r="H421" s="7" t="s">
        <v>507</v>
      </c>
      <c r="I421" s="19" t="s">
        <v>1008</v>
      </c>
      <c r="J421" s="19" t="s">
        <v>424</v>
      </c>
      <c r="K421" s="10">
        <f>2.5/2</f>
        <v>1.25</v>
      </c>
    </row>
    <row r="422" spans="1:11" s="3" customFormat="1" x14ac:dyDescent="0.25">
      <c r="A422" s="18" t="s">
        <v>366</v>
      </c>
      <c r="B422" s="70">
        <v>1</v>
      </c>
      <c r="C422" s="18" t="s">
        <v>548</v>
      </c>
      <c r="D422" s="19" t="s">
        <v>1022</v>
      </c>
      <c r="E422" s="19" t="s">
        <v>724</v>
      </c>
      <c r="F422" s="7" t="s">
        <v>550</v>
      </c>
      <c r="G422" s="3" t="s">
        <v>422</v>
      </c>
      <c r="H422" s="3" t="s">
        <v>423</v>
      </c>
      <c r="I422" s="19" t="s">
        <v>1008</v>
      </c>
      <c r="J422" s="19" t="s">
        <v>424</v>
      </c>
      <c r="K422" s="10">
        <f>1.06/1.79</f>
        <v>0.59217877094972071</v>
      </c>
    </row>
    <row r="423" spans="1:11" s="3" customFormat="1" x14ac:dyDescent="0.25">
      <c r="A423" s="12" t="s">
        <v>1111</v>
      </c>
      <c r="B423" s="70">
        <v>1</v>
      </c>
      <c r="C423" s="18" t="s">
        <v>185</v>
      </c>
      <c r="D423" s="7" t="s">
        <v>1016</v>
      </c>
      <c r="E423" s="7" t="s">
        <v>0</v>
      </c>
      <c r="F423" s="7" t="s">
        <v>373</v>
      </c>
      <c r="G423" s="7" t="s">
        <v>374</v>
      </c>
      <c r="H423" s="7" t="s">
        <v>374</v>
      </c>
      <c r="I423" s="7" t="s">
        <v>1008</v>
      </c>
      <c r="J423" s="7" t="s">
        <v>1</v>
      </c>
      <c r="K423" s="10">
        <f>(20/520)/(520/520)</f>
        <v>3.8461538461538464E-2</v>
      </c>
    </row>
    <row r="424" spans="1:11" s="3" customFormat="1" x14ac:dyDescent="0.25">
      <c r="A424" s="18" t="s">
        <v>1112</v>
      </c>
      <c r="B424" s="70">
        <v>1</v>
      </c>
      <c r="C424" s="19" t="s">
        <v>414</v>
      </c>
      <c r="D424" s="19" t="s">
        <v>1000</v>
      </c>
      <c r="E424" s="19" t="s">
        <v>606</v>
      </c>
      <c r="F424" s="19" t="s">
        <v>550</v>
      </c>
      <c r="G424" s="19" t="s">
        <v>398</v>
      </c>
      <c r="H424" s="19" t="s">
        <v>329</v>
      </c>
      <c r="I424" s="19" t="s">
        <v>1008</v>
      </c>
      <c r="J424" s="19" t="s">
        <v>426</v>
      </c>
      <c r="K424" s="10">
        <f>AVERAGE(10/1,26/9,71/24)</f>
        <v>5.2824074074074074</v>
      </c>
    </row>
    <row r="425" spans="1:11" s="3" customFormat="1" x14ac:dyDescent="0.25">
      <c r="A425" s="18" t="s">
        <v>1049</v>
      </c>
      <c r="B425" s="70">
        <v>0</v>
      </c>
      <c r="C425" s="7" t="s">
        <v>1129</v>
      </c>
      <c r="D425" s="3" t="s">
        <v>1000</v>
      </c>
      <c r="E425" s="3" t="s">
        <v>606</v>
      </c>
      <c r="F425" s="3" t="s">
        <v>550</v>
      </c>
      <c r="G425" s="3" t="s">
        <v>278</v>
      </c>
      <c r="H425" s="3" t="s">
        <v>110</v>
      </c>
      <c r="I425" s="3" t="s">
        <v>1008</v>
      </c>
      <c r="J425" s="3" t="s">
        <v>111</v>
      </c>
      <c r="K425" s="40">
        <f>AVERAGE(5/7,1/7)/(7/7)</f>
        <v>0.4285714285714286</v>
      </c>
    </row>
    <row r="426" spans="1:11" s="3" customFormat="1" x14ac:dyDescent="0.25">
      <c r="A426" s="18" t="s">
        <v>1049</v>
      </c>
      <c r="B426" s="70">
        <v>0</v>
      </c>
      <c r="C426" s="18" t="s">
        <v>185</v>
      </c>
      <c r="D426" s="3" t="s">
        <v>1022</v>
      </c>
      <c r="E426" s="3" t="s">
        <v>1005</v>
      </c>
      <c r="F426" s="3" t="s">
        <v>170</v>
      </c>
      <c r="G426" s="3" t="s">
        <v>171</v>
      </c>
      <c r="H426" s="3" t="s">
        <v>172</v>
      </c>
      <c r="I426" s="3" t="s">
        <v>1008</v>
      </c>
      <c r="J426" s="3" t="s">
        <v>396</v>
      </c>
      <c r="K426" s="40">
        <f>AVERAGE(0/1,0/(1+3))</f>
        <v>0</v>
      </c>
    </row>
    <row r="427" spans="1:11" s="3" customFormat="1" x14ac:dyDescent="0.25">
      <c r="A427" s="12" t="s">
        <v>2</v>
      </c>
      <c r="B427" s="70">
        <v>1</v>
      </c>
      <c r="C427" s="18" t="s">
        <v>185</v>
      </c>
      <c r="D427" s="7" t="s">
        <v>1016</v>
      </c>
      <c r="E427" s="7" t="s">
        <v>1133</v>
      </c>
      <c r="F427" s="7" t="s">
        <v>373</v>
      </c>
      <c r="G427" s="7" t="s">
        <v>374</v>
      </c>
      <c r="H427" s="7" t="s">
        <v>374</v>
      </c>
      <c r="I427" s="7" t="s">
        <v>1008</v>
      </c>
      <c r="J427" s="7" t="s">
        <v>532</v>
      </c>
      <c r="K427" s="10">
        <f>AVERAGE((100-86)/100,(100-9)/100)/AVERAGE(100/100)</f>
        <v>0.52500000000000002</v>
      </c>
    </row>
    <row r="428" spans="1:11" s="3" customFormat="1" x14ac:dyDescent="0.25">
      <c r="A428" s="18" t="s">
        <v>897</v>
      </c>
      <c r="B428" s="70">
        <v>1</v>
      </c>
      <c r="C428" s="18" t="s">
        <v>185</v>
      </c>
      <c r="D428" s="7" t="s">
        <v>1017</v>
      </c>
      <c r="E428" s="7" t="s">
        <v>1023</v>
      </c>
      <c r="F428" s="7" t="s">
        <v>280</v>
      </c>
      <c r="G428" s="7" t="s">
        <v>447</v>
      </c>
      <c r="H428" s="7" t="s">
        <v>447</v>
      </c>
      <c r="I428" s="7" t="s">
        <v>613</v>
      </c>
      <c r="J428" s="7" t="s">
        <v>448</v>
      </c>
      <c r="K428" s="10">
        <f>0.25/0.75</f>
        <v>0.33333333333333331</v>
      </c>
    </row>
    <row r="429" spans="1:11" s="3" customFormat="1" x14ac:dyDescent="0.25">
      <c r="A429" s="12" t="s">
        <v>4</v>
      </c>
      <c r="B429" s="70">
        <v>1</v>
      </c>
      <c r="C429" s="18" t="s">
        <v>185</v>
      </c>
      <c r="D429" s="7" t="s">
        <v>1016</v>
      </c>
      <c r="E429" s="7" t="s">
        <v>1133</v>
      </c>
      <c r="F429" s="7" t="s">
        <v>550</v>
      </c>
      <c r="G429" s="7" t="s">
        <v>398</v>
      </c>
      <c r="H429" s="7" t="s">
        <v>842</v>
      </c>
      <c r="I429" s="7" t="s">
        <v>1008</v>
      </c>
      <c r="J429" s="7" t="s">
        <v>506</v>
      </c>
      <c r="K429" s="10">
        <f>((20-18)/20)/(20/20)</f>
        <v>0.1</v>
      </c>
    </row>
    <row r="430" spans="1:11" s="3" customFormat="1" x14ac:dyDescent="0.25">
      <c r="A430" s="12" t="s">
        <v>4</v>
      </c>
      <c r="B430" s="70">
        <v>1</v>
      </c>
      <c r="C430" s="18" t="s">
        <v>185</v>
      </c>
      <c r="D430" s="7" t="s">
        <v>1010</v>
      </c>
      <c r="E430" s="7" t="s">
        <v>1133</v>
      </c>
      <c r="F430" s="7" t="s">
        <v>550</v>
      </c>
      <c r="G430" s="7" t="s">
        <v>398</v>
      </c>
      <c r="H430" s="7" t="s">
        <v>842</v>
      </c>
      <c r="I430" s="7" t="s">
        <v>1008</v>
      </c>
      <c r="J430" s="7" t="s">
        <v>506</v>
      </c>
      <c r="K430" s="10">
        <f>((50-46)/50)/(50/50)</f>
        <v>0.08</v>
      </c>
    </row>
    <row r="431" spans="1:11" s="3" customFormat="1" x14ac:dyDescent="0.25">
      <c r="A431" s="12" t="s">
        <v>4</v>
      </c>
      <c r="B431" s="70">
        <v>1</v>
      </c>
      <c r="C431" s="18" t="s">
        <v>185</v>
      </c>
      <c r="D431" s="7" t="s">
        <v>556</v>
      </c>
      <c r="E431" s="7" t="s">
        <v>1133</v>
      </c>
      <c r="F431" s="7" t="s">
        <v>550</v>
      </c>
      <c r="G431" s="7" t="s">
        <v>398</v>
      </c>
      <c r="H431" s="7" t="s">
        <v>842</v>
      </c>
      <c r="I431" s="7" t="s">
        <v>1008</v>
      </c>
      <c r="J431" s="7" t="s">
        <v>506</v>
      </c>
      <c r="K431" s="10">
        <f>((2-2)/2)/(2/2)</f>
        <v>0</v>
      </c>
    </row>
    <row r="432" spans="1:11" s="3" customFormat="1" x14ac:dyDescent="0.25">
      <c r="A432" s="12" t="s">
        <v>6</v>
      </c>
      <c r="B432" s="70">
        <v>1</v>
      </c>
      <c r="C432" s="18" t="s">
        <v>185</v>
      </c>
      <c r="D432" s="7" t="s">
        <v>1016</v>
      </c>
      <c r="E432" s="7" t="s">
        <v>1133</v>
      </c>
      <c r="F432" s="7" t="s">
        <v>550</v>
      </c>
      <c r="G432" s="7" t="s">
        <v>278</v>
      </c>
      <c r="H432" s="7" t="s">
        <v>322</v>
      </c>
      <c r="I432" s="7" t="s">
        <v>1008</v>
      </c>
      <c r="J432" s="7" t="s">
        <v>506</v>
      </c>
      <c r="K432" s="10">
        <f>((14-13)/14)/(14/14)</f>
        <v>7.1428571428571425E-2</v>
      </c>
    </row>
    <row r="433" spans="1:12" s="3" customFormat="1" x14ac:dyDescent="0.25">
      <c r="A433" s="12" t="s">
        <v>6</v>
      </c>
      <c r="B433" s="70">
        <v>1</v>
      </c>
      <c r="C433" s="18" t="s">
        <v>185</v>
      </c>
      <c r="D433" s="7" t="s">
        <v>1010</v>
      </c>
      <c r="E433" s="7" t="s">
        <v>1133</v>
      </c>
      <c r="F433" s="7" t="s">
        <v>550</v>
      </c>
      <c r="G433" s="7" t="s">
        <v>278</v>
      </c>
      <c r="H433" s="7" t="s">
        <v>322</v>
      </c>
      <c r="I433" s="7" t="s">
        <v>1008</v>
      </c>
      <c r="J433" s="7" t="s">
        <v>506</v>
      </c>
      <c r="K433" s="10">
        <f>((79-37)/79)/(79/79)</f>
        <v>0.53164556962025311</v>
      </c>
    </row>
    <row r="434" spans="1:12" s="3" customFormat="1" x14ac:dyDescent="0.25">
      <c r="A434" s="12" t="s">
        <v>6</v>
      </c>
      <c r="B434" s="70">
        <v>1</v>
      </c>
      <c r="C434" s="18" t="s">
        <v>185</v>
      </c>
      <c r="D434" s="7" t="s">
        <v>556</v>
      </c>
      <c r="E434" s="7" t="s">
        <v>1133</v>
      </c>
      <c r="F434" s="7" t="s">
        <v>550</v>
      </c>
      <c r="G434" s="7" t="s">
        <v>278</v>
      </c>
      <c r="H434" s="7" t="s">
        <v>322</v>
      </c>
      <c r="I434" s="7" t="s">
        <v>1008</v>
      </c>
      <c r="J434" s="7" t="s">
        <v>506</v>
      </c>
      <c r="K434" s="10">
        <f>((4-2)/4)/(4/4)</f>
        <v>0.5</v>
      </c>
    </row>
    <row r="435" spans="1:12" s="3" customFormat="1" ht="26.4" x14ac:dyDescent="0.25">
      <c r="A435" s="16" t="s">
        <v>791</v>
      </c>
      <c r="B435" s="70">
        <v>1</v>
      </c>
      <c r="C435" s="18" t="s">
        <v>185</v>
      </c>
      <c r="D435" s="16" t="s">
        <v>1011</v>
      </c>
      <c r="E435" s="16" t="s">
        <v>1001</v>
      </c>
      <c r="F435" s="16" t="s">
        <v>437</v>
      </c>
      <c r="G435" s="7" t="s">
        <v>528</v>
      </c>
      <c r="H435" s="16" t="s">
        <v>792</v>
      </c>
      <c r="I435" s="16" t="s">
        <v>435</v>
      </c>
      <c r="J435" s="16" t="s">
        <v>793</v>
      </c>
      <c r="K435" s="20">
        <f>AVERAGE(4/14,3/2,2/5,2/2,1/2,0/7,1/7,8/11,3/9,8/23,5/9,3/26,6/10,2/4,2/2,1/17,7/39,9/12,3/10)/AVERAGE(18/21,10/18,24/17,24/27,2/7,1/3,20/16,25/32,16/5,6/15)</f>
        <v>0.4910615774888486</v>
      </c>
      <c r="L435" s="44"/>
    </row>
    <row r="436" spans="1:12" s="21" customFormat="1" x14ac:dyDescent="0.25">
      <c r="A436" s="18" t="s">
        <v>615</v>
      </c>
      <c r="B436" s="70">
        <v>1</v>
      </c>
      <c r="C436" s="18" t="s">
        <v>185</v>
      </c>
      <c r="D436" s="19" t="s">
        <v>1017</v>
      </c>
      <c r="E436" s="19" t="s">
        <v>809</v>
      </c>
      <c r="F436" s="19" t="s">
        <v>373</v>
      </c>
      <c r="G436" s="19" t="s">
        <v>374</v>
      </c>
      <c r="H436" s="19" t="s">
        <v>374</v>
      </c>
      <c r="I436" s="19" t="s">
        <v>616</v>
      </c>
      <c r="J436" s="19" t="s">
        <v>1064</v>
      </c>
      <c r="K436" s="20">
        <f>AVERAGE(AVERAGE(0,0,0,0,0,0,0,0,0,0,0,1)/AVERAGE(1,1,1,1,1,1,1,1,1,1,1,1),AVERAGE(0,1,1,1,0)/AVERAGE(1,1,1,1,1))</f>
        <v>0.34166666666666667</v>
      </c>
    </row>
    <row r="437" spans="1:12" s="3" customFormat="1" x14ac:dyDescent="0.25">
      <c r="A437" s="12" t="s">
        <v>640</v>
      </c>
      <c r="B437" s="70">
        <v>1</v>
      </c>
      <c r="C437" s="7" t="s">
        <v>1129</v>
      </c>
      <c r="D437" s="7" t="s">
        <v>1022</v>
      </c>
      <c r="E437" s="7" t="s">
        <v>1001</v>
      </c>
      <c r="F437" s="7" t="s">
        <v>641</v>
      </c>
      <c r="G437" s="7" t="s">
        <v>642</v>
      </c>
      <c r="H437" s="7" t="s">
        <v>963</v>
      </c>
      <c r="I437" s="7" t="s">
        <v>1008</v>
      </c>
      <c r="J437" s="7" t="s">
        <v>1039</v>
      </c>
      <c r="K437" s="10">
        <f>AVERAGE(0.43,2.54,0.94,0.38,0.49,0,0.72)/AVERAGE(3.55,4.98,3.22,0.31,3.41,4.86,0.09)</f>
        <v>0.26934378060724778</v>
      </c>
    </row>
    <row r="438" spans="1:12" s="3" customFormat="1" x14ac:dyDescent="0.25">
      <c r="A438" s="12" t="s">
        <v>608</v>
      </c>
      <c r="B438" s="70">
        <v>1</v>
      </c>
      <c r="C438" s="18" t="s">
        <v>185</v>
      </c>
      <c r="D438" s="7" t="s">
        <v>1022</v>
      </c>
      <c r="E438" s="7" t="s">
        <v>1005</v>
      </c>
      <c r="F438" s="7" t="s">
        <v>280</v>
      </c>
      <c r="G438" s="7" t="s">
        <v>1103</v>
      </c>
      <c r="H438" s="7" t="s">
        <v>609</v>
      </c>
      <c r="I438" s="7" t="s">
        <v>610</v>
      </c>
      <c r="J438" s="7" t="s">
        <v>687</v>
      </c>
      <c r="K438" s="10">
        <f>AVERAGE((0/32)*100,(0/41)*100)/AVERAGE((40/120)*100,(60/(120+50))*100)</f>
        <v>0</v>
      </c>
    </row>
    <row r="439" spans="1:12" s="3" customFormat="1" x14ac:dyDescent="0.25">
      <c r="A439" s="12" t="s">
        <v>1144</v>
      </c>
      <c r="B439" s="70">
        <v>1</v>
      </c>
      <c r="C439" s="18" t="s">
        <v>185</v>
      </c>
      <c r="D439" s="7" t="s">
        <v>1016</v>
      </c>
      <c r="E439" s="7" t="s">
        <v>1133</v>
      </c>
      <c r="F439" s="7" t="s">
        <v>280</v>
      </c>
      <c r="G439" s="7" t="s">
        <v>402</v>
      </c>
      <c r="H439" s="7" t="s">
        <v>720</v>
      </c>
      <c r="I439" s="7" t="s">
        <v>1008</v>
      </c>
      <c r="J439" s="7" t="s">
        <v>746</v>
      </c>
      <c r="K439" s="10">
        <f>(-((7*93+3*18)/(7+3))/100)+1</f>
        <v>0.29500000000000004</v>
      </c>
    </row>
    <row r="440" spans="1:12" s="3" customFormat="1" x14ac:dyDescent="0.25">
      <c r="A440" s="12" t="s">
        <v>1173</v>
      </c>
      <c r="B440" s="70">
        <v>1</v>
      </c>
      <c r="C440" s="7" t="s">
        <v>1129</v>
      </c>
      <c r="D440" s="7" t="s">
        <v>1017</v>
      </c>
      <c r="E440" s="7" t="s">
        <v>394</v>
      </c>
      <c r="F440" s="7" t="s">
        <v>551</v>
      </c>
      <c r="G440" s="7" t="s">
        <v>566</v>
      </c>
      <c r="H440" s="19" t="s">
        <v>814</v>
      </c>
      <c r="I440" s="7" t="s">
        <v>1033</v>
      </c>
      <c r="J440" s="7" t="s">
        <v>460</v>
      </c>
      <c r="K440" s="10">
        <f>0.35/0.96</f>
        <v>0.36458333333333331</v>
      </c>
    </row>
    <row r="441" spans="1:12" s="3" customFormat="1" x14ac:dyDescent="0.25">
      <c r="A441" s="12" t="s">
        <v>1139</v>
      </c>
      <c r="B441" s="70">
        <v>0</v>
      </c>
      <c r="C441" s="18" t="s">
        <v>185</v>
      </c>
      <c r="D441" s="7" t="s">
        <v>1000</v>
      </c>
      <c r="E441" s="7" t="s">
        <v>404</v>
      </c>
      <c r="F441" s="7" t="s">
        <v>550</v>
      </c>
      <c r="G441" s="7" t="s">
        <v>398</v>
      </c>
      <c r="H441" s="14" t="s">
        <v>335</v>
      </c>
      <c r="I441" s="7" t="s">
        <v>1008</v>
      </c>
      <c r="J441" s="7" t="s">
        <v>24</v>
      </c>
      <c r="K441" s="10">
        <f>AVERAGE(5.6,2.6,5.7,9.6)/AVERAGE(5.3,20.9,12.1)</f>
        <v>0.46018276762402094</v>
      </c>
    </row>
    <row r="442" spans="1:12" s="3" customFormat="1" x14ac:dyDescent="0.25">
      <c r="A442" s="12" t="s">
        <v>1113</v>
      </c>
      <c r="B442" s="70">
        <v>1</v>
      </c>
      <c r="C442" s="18" t="s">
        <v>185</v>
      </c>
      <c r="D442" s="7" t="s">
        <v>1016</v>
      </c>
      <c r="E442" s="7" t="s">
        <v>1133</v>
      </c>
      <c r="F442" s="7" t="s">
        <v>550</v>
      </c>
      <c r="G442" s="7" t="s">
        <v>398</v>
      </c>
      <c r="H442" s="14" t="s">
        <v>208</v>
      </c>
      <c r="I442" s="7" t="s">
        <v>1008</v>
      </c>
      <c r="J442" s="7" t="s">
        <v>794</v>
      </c>
      <c r="K442" s="10">
        <f>(34+22)/(15+29)</f>
        <v>1.2727272727272727</v>
      </c>
    </row>
    <row r="443" spans="1:12" s="3" customFormat="1" x14ac:dyDescent="0.25">
      <c r="A443" s="12" t="s">
        <v>869</v>
      </c>
      <c r="B443" s="70">
        <v>1</v>
      </c>
      <c r="C443" s="18" t="s">
        <v>185</v>
      </c>
      <c r="D443" s="7" t="s">
        <v>1004</v>
      </c>
      <c r="E443" s="7" t="s">
        <v>1001</v>
      </c>
      <c r="F443" s="7" t="s">
        <v>437</v>
      </c>
      <c r="G443" s="7" t="s">
        <v>130</v>
      </c>
      <c r="H443" s="19" t="s">
        <v>337</v>
      </c>
      <c r="I443" s="7" t="s">
        <v>1006</v>
      </c>
      <c r="J443" s="7" t="s">
        <v>870</v>
      </c>
      <c r="K443" s="10">
        <f>AVERAGE(0/100,(7/13)*100/100,0/100,0/100)</f>
        <v>0.13461538461538461</v>
      </c>
    </row>
    <row r="444" spans="1:12" s="3" customFormat="1" x14ac:dyDescent="0.25">
      <c r="A444" s="12" t="s">
        <v>734</v>
      </c>
      <c r="B444" s="70">
        <v>1</v>
      </c>
      <c r="C444" s="18" t="s">
        <v>185</v>
      </c>
      <c r="D444" s="7" t="s">
        <v>552</v>
      </c>
      <c r="E444" s="7" t="s">
        <v>1001</v>
      </c>
      <c r="F444" s="7" t="s">
        <v>437</v>
      </c>
      <c r="G444" s="7" t="s">
        <v>130</v>
      </c>
      <c r="H444" s="19" t="s">
        <v>337</v>
      </c>
      <c r="I444" s="7" t="s">
        <v>1006</v>
      </c>
      <c r="J444" s="7" t="s">
        <v>735</v>
      </c>
      <c r="K444" s="10">
        <f>AVERAGE(17.5, 25,36)/100</f>
        <v>0.26166666666666666</v>
      </c>
    </row>
    <row r="445" spans="1:12" s="3" customFormat="1" x14ac:dyDescent="0.25">
      <c r="A445" s="4" t="s">
        <v>1114</v>
      </c>
      <c r="B445" s="70">
        <v>1</v>
      </c>
      <c r="C445" s="19" t="s">
        <v>414</v>
      </c>
      <c r="D445" s="4" t="s">
        <v>1000</v>
      </c>
      <c r="E445" s="7" t="s">
        <v>606</v>
      </c>
      <c r="F445" s="7" t="s">
        <v>551</v>
      </c>
      <c r="G445" s="7" t="s">
        <v>1002</v>
      </c>
      <c r="H445" s="14" t="s">
        <v>1002</v>
      </c>
      <c r="I445" s="7" t="s">
        <v>1008</v>
      </c>
      <c r="J445" s="4" t="s">
        <v>27</v>
      </c>
      <c r="K445" s="40">
        <f>AVERAGE(100-0,100-0,100-0,100-0,100-0,100-37,100-40,100-33,100-40,100-40,100-37,100-41,100-41,100-41,100-44,100-44,100-52,100-55)/AVERAGE(100-27,100-47,100-37,100-27,100-17,100-40,100-40,100-30,100-30,100-37,100-55,100-55,100-67,100-71,100-71,100-71)</f>
        <v>1.2705644140723868</v>
      </c>
    </row>
    <row r="446" spans="1:12" s="3" customFormat="1" x14ac:dyDescent="0.25">
      <c r="A446" s="4" t="s">
        <v>407</v>
      </c>
      <c r="B446" s="70">
        <v>1</v>
      </c>
      <c r="C446" s="18" t="s">
        <v>548</v>
      </c>
      <c r="D446" s="4" t="s">
        <v>1000</v>
      </c>
      <c r="E446" s="7" t="s">
        <v>1001</v>
      </c>
      <c r="F446" s="7" t="s">
        <v>437</v>
      </c>
      <c r="G446" s="7" t="s">
        <v>408</v>
      </c>
      <c r="H446" s="14" t="s">
        <v>409</v>
      </c>
      <c r="I446" s="7" t="s">
        <v>1008</v>
      </c>
      <c r="J446" s="52" t="s">
        <v>396</v>
      </c>
      <c r="K446" s="40">
        <f>0.5/AVERAGE(4.8,5.5,4.6)</f>
        <v>0.10067114093959731</v>
      </c>
    </row>
    <row r="447" spans="1:12" s="3" customFormat="1" x14ac:dyDescent="0.25">
      <c r="A447" s="4" t="s">
        <v>407</v>
      </c>
      <c r="B447" s="70">
        <v>1</v>
      </c>
      <c r="C447" s="18" t="s">
        <v>548</v>
      </c>
      <c r="D447" s="4" t="s">
        <v>1000</v>
      </c>
      <c r="E447" s="7" t="s">
        <v>1001</v>
      </c>
      <c r="F447" s="7" t="s">
        <v>437</v>
      </c>
      <c r="G447" s="7" t="s">
        <v>408</v>
      </c>
      <c r="H447" s="14" t="s">
        <v>410</v>
      </c>
      <c r="I447" s="7" t="s">
        <v>1008</v>
      </c>
      <c r="J447" s="52" t="s">
        <v>396</v>
      </c>
      <c r="K447" s="40">
        <f>0.1/AVERAGE(4.8,5.3,4.6)</f>
        <v>2.0408163265306124E-2</v>
      </c>
    </row>
    <row r="448" spans="1:12" s="3" customFormat="1" x14ac:dyDescent="0.25">
      <c r="A448" s="4" t="s">
        <v>672</v>
      </c>
      <c r="B448" s="70">
        <v>1</v>
      </c>
      <c r="C448" s="7" t="s">
        <v>1129</v>
      </c>
      <c r="D448" s="4" t="s">
        <v>680</v>
      </c>
      <c r="E448" s="7" t="s">
        <v>1163</v>
      </c>
      <c r="F448" s="7" t="s">
        <v>551</v>
      </c>
      <c r="G448" s="7" t="s">
        <v>1021</v>
      </c>
      <c r="H448" s="14" t="s">
        <v>1021</v>
      </c>
      <c r="I448" s="7" t="s">
        <v>457</v>
      </c>
      <c r="J448" s="52" t="s">
        <v>396</v>
      </c>
      <c r="K448" s="40">
        <f>((242.5-156.5)/242.5)/(156.5/242.5)</f>
        <v>0.54952076677316297</v>
      </c>
    </row>
    <row r="449" spans="1:11" s="3" customFormat="1" x14ac:dyDescent="0.25">
      <c r="A449" s="4" t="s">
        <v>30</v>
      </c>
      <c r="B449" s="70">
        <v>1</v>
      </c>
      <c r="C449" s="18" t="s">
        <v>185</v>
      </c>
      <c r="D449" s="4" t="s">
        <v>1022</v>
      </c>
      <c r="E449" s="7" t="s">
        <v>606</v>
      </c>
      <c r="F449" s="7" t="s">
        <v>550</v>
      </c>
      <c r="G449" s="7" t="s">
        <v>398</v>
      </c>
      <c r="H449" s="14" t="s">
        <v>1083</v>
      </c>
      <c r="I449" s="7" t="s">
        <v>563</v>
      </c>
      <c r="J449" s="4" t="s">
        <v>1084</v>
      </c>
      <c r="K449" s="40">
        <f>AVERAGE((0/9)/(4/4),(0/2)/(4/4),(7/9)/(4/4),(3/9)/(4/4),(4/9)/(4/4))</f>
        <v>0.31111111111111112</v>
      </c>
    </row>
    <row r="450" spans="1:11" s="3" customFormat="1" x14ac:dyDescent="0.25">
      <c r="A450" s="4" t="s">
        <v>262</v>
      </c>
      <c r="B450" s="70">
        <v>1</v>
      </c>
      <c r="C450" s="18" t="s">
        <v>185</v>
      </c>
      <c r="D450" s="4" t="s">
        <v>1022</v>
      </c>
      <c r="E450" s="7" t="s">
        <v>1023</v>
      </c>
      <c r="F450" s="7" t="s">
        <v>373</v>
      </c>
      <c r="G450" s="7" t="s">
        <v>374</v>
      </c>
      <c r="H450" s="14" t="s">
        <v>374</v>
      </c>
      <c r="I450" s="7" t="s">
        <v>1008</v>
      </c>
      <c r="J450" s="52" t="s">
        <v>1064</v>
      </c>
      <c r="K450" s="40">
        <f>0/9</f>
        <v>0</v>
      </c>
    </row>
    <row r="451" spans="1:11" s="3" customFormat="1" x14ac:dyDescent="0.25">
      <c r="A451" s="12" t="s">
        <v>722</v>
      </c>
      <c r="B451" s="70">
        <v>1</v>
      </c>
      <c r="C451" s="18" t="s">
        <v>185</v>
      </c>
      <c r="D451" s="7" t="s">
        <v>1016</v>
      </c>
      <c r="E451" s="7" t="s">
        <v>927</v>
      </c>
      <c r="F451" s="7" t="s">
        <v>437</v>
      </c>
      <c r="G451" s="7" t="s">
        <v>131</v>
      </c>
      <c r="H451" s="7" t="s">
        <v>131</v>
      </c>
      <c r="I451" s="7" t="s">
        <v>1008</v>
      </c>
      <c r="J451" s="7" t="s">
        <v>746</v>
      </c>
      <c r="K451" s="10">
        <f>AVERAGE((AVERAGE(57,39,35,39,61)/AVERAGE(1257,1014,961,1013,987))/(AVERAGE(154,107,150,46,66)/AVERAGE(395,801,719,1257,1167)),(AVERAGE(6,9,32,21,21)/AVERAGE(457,489,424,461,658))/(AVERAGE(18,18,21,9,15)/AVERAGE(399,396,382,470,400)),(AVERAGE(29,24,60,44,90)/AVERAGE(228,276,217,365,494))/(AVERAGE(32,28,39,22,32)/AVERAGE(193,184,173,235,225)),(AVERAGE(61,47,38,37,61)/AVERAGE(1129,1207,835,959,924))/(AVERAGE(87,60,94,56,65)/AVERAGE(750,944,904,1222,1089)))</f>
        <v>0.73915318568307009</v>
      </c>
    </row>
    <row r="452" spans="1:11" s="3" customFormat="1" x14ac:dyDescent="0.25">
      <c r="A452" s="12" t="s">
        <v>722</v>
      </c>
      <c r="B452" s="70">
        <v>1</v>
      </c>
      <c r="C452" s="18" t="s">
        <v>185</v>
      </c>
      <c r="D452" s="7" t="s">
        <v>1016</v>
      </c>
      <c r="E452" s="7" t="s">
        <v>1133</v>
      </c>
      <c r="F452" s="7" t="s">
        <v>437</v>
      </c>
      <c r="G452" s="7" t="s">
        <v>131</v>
      </c>
      <c r="H452" s="7" t="s">
        <v>131</v>
      </c>
      <c r="I452" s="7" t="s">
        <v>1008</v>
      </c>
      <c r="J452" s="7" t="s">
        <v>746</v>
      </c>
      <c r="K452" s="10">
        <f>AVERAGE((AVERAGE(27+148,18+58,41+157,30+204,21+190)/AVERAGE(1257,1014,961,1013,987))/(AVERAGE(47+346,59+310,42+325,27+105,22+131)/AVERAGE(395,801,719,1257,1167)),(AVERAGE(10+296,15+287,34+370,37+389,19+348)/AVERAGE(457,489,424,461,658))/(AVERAGE(27+156,16+107,17+170,13+126,17+204)/AVERAGE(399,396,382,470,400)),(AVERAGE(8+128,11+119,19+175,26+198,10+146)/AVERAGE(228,276,217,365,494))/(AVERAGE(9+52,1+26,2+49,6+64,9+72)/AVERAGE(193,184,173,235,225)),(AVERAGE(35+357,17+207,50+285,30+315,24+305)/AVERAGE(1129,1207,835,959,924))/(AVERAGE(92+419,66+326,42+246,60+217,60+364)/AVERAGE(750,944,904,1222,1089)))</f>
        <v>1.2376139266864803</v>
      </c>
    </row>
    <row r="453" spans="1:11" s="3" customFormat="1" x14ac:dyDescent="0.25">
      <c r="A453" s="12" t="s">
        <v>824</v>
      </c>
      <c r="B453" s="70">
        <v>1</v>
      </c>
      <c r="C453" s="7" t="s">
        <v>1129</v>
      </c>
      <c r="D453" s="7" t="s">
        <v>660</v>
      </c>
      <c r="E453" s="7" t="s">
        <v>659</v>
      </c>
      <c r="F453" s="7" t="s">
        <v>551</v>
      </c>
      <c r="G453" s="7" t="s">
        <v>1021</v>
      </c>
      <c r="H453" s="7" t="s">
        <v>1021</v>
      </c>
      <c r="I453" s="7" t="s">
        <v>658</v>
      </c>
      <c r="J453" s="7" t="s">
        <v>396</v>
      </c>
      <c r="K453" s="10">
        <f>19/158</f>
        <v>0.12025316455696203</v>
      </c>
    </row>
    <row r="454" spans="1:11" s="3" customFormat="1" x14ac:dyDescent="0.25">
      <c r="A454" s="12" t="s">
        <v>824</v>
      </c>
      <c r="B454" s="70">
        <v>1</v>
      </c>
      <c r="C454" s="7" t="s">
        <v>1129</v>
      </c>
      <c r="D454" s="7" t="s">
        <v>1014</v>
      </c>
      <c r="E454" s="7" t="s">
        <v>659</v>
      </c>
      <c r="F454" s="7" t="s">
        <v>551</v>
      </c>
      <c r="G454" s="7" t="s">
        <v>1021</v>
      </c>
      <c r="H454" s="7" t="s">
        <v>1021</v>
      </c>
      <c r="I454" s="7" t="s">
        <v>658</v>
      </c>
      <c r="J454" s="7" t="s">
        <v>396</v>
      </c>
      <c r="K454" s="10">
        <f>7/114</f>
        <v>6.1403508771929821E-2</v>
      </c>
    </row>
    <row r="455" spans="1:11" s="3" customFormat="1" x14ac:dyDescent="0.25">
      <c r="A455" s="12" t="s">
        <v>824</v>
      </c>
      <c r="B455" s="70">
        <v>1</v>
      </c>
      <c r="C455" s="7" t="s">
        <v>1129</v>
      </c>
      <c r="D455" s="7" t="s">
        <v>570</v>
      </c>
      <c r="E455" s="7" t="s">
        <v>659</v>
      </c>
      <c r="F455" s="7" t="s">
        <v>551</v>
      </c>
      <c r="G455" s="7" t="s">
        <v>1021</v>
      </c>
      <c r="H455" s="7" t="s">
        <v>1021</v>
      </c>
      <c r="I455" s="7" t="s">
        <v>658</v>
      </c>
      <c r="J455" s="7" t="s">
        <v>396</v>
      </c>
      <c r="K455" s="10">
        <f>0/19</f>
        <v>0</v>
      </c>
    </row>
    <row r="456" spans="1:11" s="3" customFormat="1" x14ac:dyDescent="0.25">
      <c r="A456" s="12" t="s">
        <v>824</v>
      </c>
      <c r="B456" s="70">
        <v>1</v>
      </c>
      <c r="C456" s="7" t="s">
        <v>1129</v>
      </c>
      <c r="D456" s="7" t="s">
        <v>1050</v>
      </c>
      <c r="E456" s="7" t="s">
        <v>659</v>
      </c>
      <c r="F456" s="7" t="s">
        <v>551</v>
      </c>
      <c r="G456" s="7" t="s">
        <v>1021</v>
      </c>
      <c r="H456" s="7" t="s">
        <v>1021</v>
      </c>
      <c r="I456" s="7" t="s">
        <v>658</v>
      </c>
      <c r="J456" s="7" t="s">
        <v>396</v>
      </c>
      <c r="K456" s="10">
        <f>2/36</f>
        <v>5.5555555555555552E-2</v>
      </c>
    </row>
    <row r="457" spans="1:11" s="3" customFormat="1" x14ac:dyDescent="0.25">
      <c r="A457" s="12" t="s">
        <v>994</v>
      </c>
      <c r="B457" s="70">
        <v>1</v>
      </c>
      <c r="C457" s="7" t="s">
        <v>1129</v>
      </c>
      <c r="D457" s="7" t="s">
        <v>1017</v>
      </c>
      <c r="E457" s="7" t="s">
        <v>394</v>
      </c>
      <c r="F457" s="7" t="s">
        <v>551</v>
      </c>
      <c r="G457" s="7" t="s">
        <v>566</v>
      </c>
      <c r="H457" s="7" t="s">
        <v>1024</v>
      </c>
      <c r="I457" s="7" t="s">
        <v>1019</v>
      </c>
      <c r="J457" s="7" t="s">
        <v>396</v>
      </c>
      <c r="K457" s="10">
        <f>1/2</f>
        <v>0.5</v>
      </c>
    </row>
    <row r="458" spans="1:11" s="3" customFormat="1" x14ac:dyDescent="0.25">
      <c r="A458" s="12" t="s">
        <v>994</v>
      </c>
      <c r="B458" s="70">
        <v>1</v>
      </c>
      <c r="C458" s="7" t="s">
        <v>1129</v>
      </c>
      <c r="D458" s="7" t="s">
        <v>795</v>
      </c>
      <c r="E458" s="7" t="s">
        <v>394</v>
      </c>
      <c r="F458" s="7" t="s">
        <v>551</v>
      </c>
      <c r="G458" s="7" t="s">
        <v>566</v>
      </c>
      <c r="H458" s="7" t="s">
        <v>1024</v>
      </c>
      <c r="I458" s="7" t="s">
        <v>1019</v>
      </c>
      <c r="J458" s="7" t="s">
        <v>396</v>
      </c>
      <c r="K458" s="10">
        <f>4/5</f>
        <v>0.8</v>
      </c>
    </row>
    <row r="459" spans="1:11" s="3" customFormat="1" x14ac:dyDescent="0.25">
      <c r="A459" s="12" t="s">
        <v>994</v>
      </c>
      <c r="B459" s="70">
        <v>1</v>
      </c>
      <c r="C459" s="7" t="s">
        <v>1129</v>
      </c>
      <c r="D459" s="7" t="s">
        <v>795</v>
      </c>
      <c r="E459" s="7" t="s">
        <v>394</v>
      </c>
      <c r="F459" s="7" t="s">
        <v>551</v>
      </c>
      <c r="G459" s="7" t="s">
        <v>1021</v>
      </c>
      <c r="H459" s="7" t="s">
        <v>744</v>
      </c>
      <c r="I459" s="7" t="s">
        <v>1019</v>
      </c>
      <c r="J459" s="7" t="s">
        <v>396</v>
      </c>
      <c r="K459" s="10">
        <f>AVERAGE((0.58*8)/(0.42*2),(0.28*16)/(0.72*5))</f>
        <v>3.3841269841269841</v>
      </c>
    </row>
    <row r="460" spans="1:11" s="3" customFormat="1" x14ac:dyDescent="0.25">
      <c r="A460" s="12" t="s">
        <v>994</v>
      </c>
      <c r="B460" s="70">
        <v>1</v>
      </c>
      <c r="C460" s="7" t="s">
        <v>1129</v>
      </c>
      <c r="D460" s="7" t="s">
        <v>795</v>
      </c>
      <c r="E460" s="7" t="s">
        <v>394</v>
      </c>
      <c r="F460" s="7" t="s">
        <v>551</v>
      </c>
      <c r="G460" s="7" t="s">
        <v>401</v>
      </c>
      <c r="H460" s="7" t="s">
        <v>1007</v>
      </c>
      <c r="I460" s="7" t="s">
        <v>1019</v>
      </c>
      <c r="J460" s="7" t="s">
        <v>396</v>
      </c>
      <c r="K460" s="10">
        <f>AVERAGE((0.33*5)/(0.67*4),(0.53*6)/(0.47*10))</f>
        <v>0.64613369323594805</v>
      </c>
    </row>
    <row r="461" spans="1:11" s="3" customFormat="1" x14ac:dyDescent="0.25">
      <c r="A461" s="12" t="s">
        <v>995</v>
      </c>
      <c r="B461" s="70">
        <v>1</v>
      </c>
      <c r="C461" s="18" t="s">
        <v>185</v>
      </c>
      <c r="D461" s="7" t="s">
        <v>1004</v>
      </c>
      <c r="E461" s="7" t="s">
        <v>1018</v>
      </c>
      <c r="F461" s="7" t="s">
        <v>551</v>
      </c>
      <c r="G461" s="7" t="s">
        <v>401</v>
      </c>
      <c r="H461" s="7" t="s">
        <v>1007</v>
      </c>
      <c r="I461" s="7" t="s">
        <v>1006</v>
      </c>
      <c r="J461" s="7" t="s">
        <v>1041</v>
      </c>
      <c r="K461" s="10">
        <f>(74*0+10*0.05+6*0.15+2*0.25+1*0.4)/93</f>
        <v>2.4731182795698924E-2</v>
      </c>
    </row>
    <row r="462" spans="1:11" s="3" customFormat="1" x14ac:dyDescent="0.25">
      <c r="A462" s="12" t="s">
        <v>512</v>
      </c>
      <c r="B462" s="70">
        <v>1</v>
      </c>
      <c r="C462" s="18" t="s">
        <v>185</v>
      </c>
      <c r="D462" s="7" t="s">
        <v>1017</v>
      </c>
      <c r="E462" s="7" t="s">
        <v>1023</v>
      </c>
      <c r="F462" s="7" t="s">
        <v>373</v>
      </c>
      <c r="G462" s="7" t="s">
        <v>374</v>
      </c>
      <c r="H462" s="7" t="s">
        <v>374</v>
      </c>
      <c r="I462" s="7" t="s">
        <v>145</v>
      </c>
      <c r="J462" s="7" t="s">
        <v>506</v>
      </c>
      <c r="K462" s="10">
        <f>AVERAGE(0/6,2/2)</f>
        <v>0.5</v>
      </c>
    </row>
    <row r="463" spans="1:11" s="3" customFormat="1" x14ac:dyDescent="0.25">
      <c r="A463" s="12" t="s">
        <v>674</v>
      </c>
      <c r="B463" s="70">
        <v>1</v>
      </c>
      <c r="C463" s="18" t="s">
        <v>185</v>
      </c>
      <c r="D463" s="7" t="s">
        <v>126</v>
      </c>
      <c r="E463" s="7" t="s">
        <v>561</v>
      </c>
      <c r="F463" s="7" t="s">
        <v>551</v>
      </c>
      <c r="G463" s="7" t="s">
        <v>401</v>
      </c>
      <c r="H463" s="7" t="s">
        <v>1007</v>
      </c>
      <c r="I463" s="7" t="s">
        <v>1141</v>
      </c>
      <c r="J463" s="7" t="s">
        <v>675</v>
      </c>
      <c r="K463" s="10">
        <f>0.11/0.12</f>
        <v>0.91666666666666674</v>
      </c>
    </row>
    <row r="464" spans="1:11" s="3" customFormat="1" x14ac:dyDescent="0.25">
      <c r="A464" s="12" t="s">
        <v>674</v>
      </c>
      <c r="B464" s="70">
        <v>1</v>
      </c>
      <c r="C464" s="18" t="s">
        <v>185</v>
      </c>
      <c r="D464" s="7" t="s">
        <v>1025</v>
      </c>
      <c r="E464" s="7" t="s">
        <v>561</v>
      </c>
      <c r="F464" s="7" t="s">
        <v>551</v>
      </c>
      <c r="G464" s="7" t="s">
        <v>401</v>
      </c>
      <c r="H464" s="7" t="s">
        <v>1007</v>
      </c>
      <c r="I464" s="7" t="s">
        <v>1141</v>
      </c>
      <c r="J464" s="7" t="s">
        <v>675</v>
      </c>
      <c r="K464" s="10">
        <f>0.1/0.19</f>
        <v>0.52631578947368418</v>
      </c>
    </row>
    <row r="465" spans="1:11" s="3" customFormat="1" x14ac:dyDescent="0.25">
      <c r="A465" s="12" t="s">
        <v>674</v>
      </c>
      <c r="B465" s="70">
        <v>1</v>
      </c>
      <c r="C465" s="18" t="s">
        <v>185</v>
      </c>
      <c r="D465" s="7" t="s">
        <v>1020</v>
      </c>
      <c r="E465" s="7" t="s">
        <v>561</v>
      </c>
      <c r="F465" s="7" t="s">
        <v>551</v>
      </c>
      <c r="G465" s="7" t="s">
        <v>401</v>
      </c>
      <c r="H465" s="7" t="s">
        <v>1007</v>
      </c>
      <c r="I465" s="7" t="s">
        <v>1141</v>
      </c>
      <c r="J465" s="7" t="s">
        <v>675</v>
      </c>
      <c r="K465" s="10">
        <f>0/0.04</f>
        <v>0</v>
      </c>
    </row>
    <row r="466" spans="1:11" s="3" customFormat="1" x14ac:dyDescent="0.25">
      <c r="A466" s="12" t="s">
        <v>674</v>
      </c>
      <c r="B466" s="70">
        <v>1</v>
      </c>
      <c r="C466" s="18" t="s">
        <v>185</v>
      </c>
      <c r="D466" s="7" t="s">
        <v>1061</v>
      </c>
      <c r="E466" s="7" t="s">
        <v>561</v>
      </c>
      <c r="F466" s="7" t="s">
        <v>551</v>
      </c>
      <c r="G466" s="7" t="s">
        <v>401</v>
      </c>
      <c r="H466" s="7" t="s">
        <v>1007</v>
      </c>
      <c r="I466" s="7" t="s">
        <v>1141</v>
      </c>
      <c r="J466" s="7" t="s">
        <v>675</v>
      </c>
      <c r="K466" s="10">
        <f>0.58/0.54</f>
        <v>1.074074074074074</v>
      </c>
    </row>
    <row r="467" spans="1:11" s="3" customFormat="1" x14ac:dyDescent="0.25">
      <c r="A467" s="12" t="s">
        <v>674</v>
      </c>
      <c r="B467" s="70">
        <v>1</v>
      </c>
      <c r="C467" s="18" t="s">
        <v>185</v>
      </c>
      <c r="D467" s="7" t="s">
        <v>1014</v>
      </c>
      <c r="E467" s="7" t="s">
        <v>561</v>
      </c>
      <c r="F467" s="7" t="s">
        <v>551</v>
      </c>
      <c r="G467" s="7" t="s">
        <v>401</v>
      </c>
      <c r="H467" s="7" t="s">
        <v>1007</v>
      </c>
      <c r="I467" s="7" t="s">
        <v>1141</v>
      </c>
      <c r="J467" s="7" t="s">
        <v>675</v>
      </c>
      <c r="K467" s="10">
        <f>0.16/0.08</f>
        <v>2</v>
      </c>
    </row>
    <row r="468" spans="1:11" s="3" customFormat="1" x14ac:dyDescent="0.25">
      <c r="A468" s="12" t="s">
        <v>674</v>
      </c>
      <c r="B468" s="70">
        <v>1</v>
      </c>
      <c r="C468" s="18" t="s">
        <v>185</v>
      </c>
      <c r="D468" s="7" t="s">
        <v>1017</v>
      </c>
      <c r="E468" s="7" t="s">
        <v>561</v>
      </c>
      <c r="F468" s="7" t="s">
        <v>551</v>
      </c>
      <c r="G468" s="7" t="s">
        <v>401</v>
      </c>
      <c r="H468" s="7" t="s">
        <v>1007</v>
      </c>
      <c r="I468" s="7" t="s">
        <v>1141</v>
      </c>
      <c r="J468" s="7" t="s">
        <v>675</v>
      </c>
      <c r="K468" s="10">
        <f>0/0.02</f>
        <v>0</v>
      </c>
    </row>
    <row r="469" spans="1:11" s="3" customFormat="1" x14ac:dyDescent="0.25">
      <c r="A469" s="12" t="s">
        <v>753</v>
      </c>
      <c r="B469" s="70">
        <v>1</v>
      </c>
      <c r="C469" s="7" t="s">
        <v>1129</v>
      </c>
      <c r="D469" s="7" t="s">
        <v>1022</v>
      </c>
      <c r="E469" s="7" t="s">
        <v>1001</v>
      </c>
      <c r="F469" s="7" t="s">
        <v>551</v>
      </c>
      <c r="G469" s="7" t="s">
        <v>401</v>
      </c>
      <c r="H469" s="7" t="s">
        <v>1007</v>
      </c>
      <c r="I469" s="7" t="s">
        <v>1032</v>
      </c>
      <c r="J469" s="7" t="s">
        <v>441</v>
      </c>
      <c r="K469" s="10">
        <f>(53/100)/(43/100)</f>
        <v>1.2325581395348839</v>
      </c>
    </row>
    <row r="470" spans="1:11" s="3" customFormat="1" x14ac:dyDescent="0.25">
      <c r="A470" s="12" t="s">
        <v>412</v>
      </c>
      <c r="B470" s="70">
        <v>0</v>
      </c>
      <c r="C470" s="18" t="s">
        <v>414</v>
      </c>
      <c r="D470" s="7" t="s">
        <v>1000</v>
      </c>
      <c r="E470" s="7" t="s">
        <v>1001</v>
      </c>
      <c r="F470" s="7" t="s">
        <v>550</v>
      </c>
      <c r="G470" s="7" t="s">
        <v>422</v>
      </c>
      <c r="H470" s="7" t="s">
        <v>413</v>
      </c>
      <c r="I470" s="7" t="s">
        <v>1008</v>
      </c>
      <c r="J470" s="7" t="s">
        <v>396</v>
      </c>
      <c r="K470" s="10">
        <f>(0/12685)/(240/288660)</f>
        <v>0</v>
      </c>
    </row>
    <row r="471" spans="1:11" s="3" customFormat="1" x14ac:dyDescent="0.25">
      <c r="A471" s="12" t="s">
        <v>600</v>
      </c>
      <c r="B471" s="70">
        <v>0</v>
      </c>
      <c r="C471" s="18" t="s">
        <v>185</v>
      </c>
      <c r="D471" s="7" t="s">
        <v>568</v>
      </c>
      <c r="E471" s="7" t="s">
        <v>1005</v>
      </c>
      <c r="F471" s="7" t="s">
        <v>550</v>
      </c>
      <c r="G471" s="7" t="s">
        <v>400</v>
      </c>
      <c r="H471" s="19" t="s">
        <v>601</v>
      </c>
      <c r="I471" s="19" t="s">
        <v>602</v>
      </c>
      <c r="J471" s="19" t="s">
        <v>1039</v>
      </c>
      <c r="K471" s="10">
        <f>AVERAGE(0,0,0)/AVERAGE(12,3,18)</f>
        <v>0</v>
      </c>
    </row>
    <row r="472" spans="1:11" s="3" customFormat="1" x14ac:dyDescent="0.25">
      <c r="A472" s="12" t="s">
        <v>362</v>
      </c>
      <c r="B472" s="70">
        <v>1</v>
      </c>
      <c r="C472" s="7" t="s">
        <v>1129</v>
      </c>
      <c r="D472" s="12" t="s">
        <v>1000</v>
      </c>
      <c r="E472" s="12" t="s">
        <v>404</v>
      </c>
      <c r="F472" s="12" t="s">
        <v>437</v>
      </c>
      <c r="G472" s="12" t="s">
        <v>438</v>
      </c>
      <c r="H472" s="12" t="s">
        <v>438</v>
      </c>
      <c r="I472" s="12" t="s">
        <v>1008</v>
      </c>
      <c r="J472" s="12" t="s">
        <v>396</v>
      </c>
      <c r="K472" s="10">
        <f>(2.7/1226)/(7.3/1236)</f>
        <v>0.37287984089029924</v>
      </c>
    </row>
    <row r="473" spans="1:11" s="3" customFormat="1" x14ac:dyDescent="0.25">
      <c r="A473" s="12" t="s">
        <v>1140</v>
      </c>
      <c r="B473" s="70">
        <v>0</v>
      </c>
      <c r="C473" s="18" t="s">
        <v>185</v>
      </c>
      <c r="D473" s="7" t="s">
        <v>1017</v>
      </c>
      <c r="E473" s="7" t="s">
        <v>1023</v>
      </c>
      <c r="F473" s="7" t="s">
        <v>550</v>
      </c>
      <c r="G473" s="7" t="s">
        <v>1067</v>
      </c>
      <c r="H473" s="7" t="s">
        <v>218</v>
      </c>
      <c r="I473" s="7" t="s">
        <v>1141</v>
      </c>
      <c r="J473" s="7" t="s">
        <v>1042</v>
      </c>
      <c r="K473" s="10">
        <f>0.33/0.83</f>
        <v>0.39759036144578319</v>
      </c>
    </row>
    <row r="474" spans="1:11" s="3" customFormat="1" x14ac:dyDescent="0.25">
      <c r="A474" s="12" t="s">
        <v>825</v>
      </c>
      <c r="B474" s="70">
        <v>1</v>
      </c>
      <c r="C474" s="18" t="s">
        <v>185</v>
      </c>
      <c r="D474" s="7" t="s">
        <v>1004</v>
      </c>
      <c r="E474" s="7" t="s">
        <v>893</v>
      </c>
      <c r="F474" s="7" t="s">
        <v>280</v>
      </c>
      <c r="G474" s="7" t="s">
        <v>892</v>
      </c>
      <c r="H474" s="7" t="s">
        <v>892</v>
      </c>
      <c r="I474" s="7" t="s">
        <v>1006</v>
      </c>
      <c r="J474" s="7" t="s">
        <v>894</v>
      </c>
      <c r="K474" s="10">
        <f>(2/1.5)/(6/0.5)</f>
        <v>0.1111111111111111</v>
      </c>
    </row>
    <row r="475" spans="1:11" s="3" customFormat="1" x14ac:dyDescent="0.25">
      <c r="A475" s="12" t="s">
        <v>757</v>
      </c>
      <c r="B475" s="70">
        <v>0</v>
      </c>
      <c r="C475" s="7" t="s">
        <v>1129</v>
      </c>
      <c r="D475" s="7" t="s">
        <v>1022</v>
      </c>
      <c r="E475" s="7" t="s">
        <v>1001</v>
      </c>
      <c r="F475" s="7" t="s">
        <v>551</v>
      </c>
      <c r="G475" s="7" t="s">
        <v>1002</v>
      </c>
      <c r="H475" s="7" t="s">
        <v>1002</v>
      </c>
      <c r="I475" s="7" t="s">
        <v>1026</v>
      </c>
      <c r="J475" s="7" t="s">
        <v>396</v>
      </c>
      <c r="K475" s="10">
        <f>(3/(24+3))/(12/(12+3))</f>
        <v>0.13888888888888887</v>
      </c>
    </row>
    <row r="476" spans="1:11" s="21" customFormat="1" x14ac:dyDescent="0.25">
      <c r="A476" s="18" t="s">
        <v>522</v>
      </c>
      <c r="B476" s="70">
        <v>1</v>
      </c>
      <c r="C476" s="18" t="s">
        <v>185</v>
      </c>
      <c r="D476" s="19" t="s">
        <v>1014</v>
      </c>
      <c r="E476" s="19" t="s">
        <v>1023</v>
      </c>
      <c r="F476" s="19" t="s">
        <v>373</v>
      </c>
      <c r="G476" s="19" t="s">
        <v>374</v>
      </c>
      <c r="H476" s="19" t="s">
        <v>374</v>
      </c>
      <c r="I476" s="19" t="s">
        <v>1141</v>
      </c>
      <c r="J476" s="19" t="s">
        <v>1064</v>
      </c>
      <c r="K476" s="20">
        <f>3/4</f>
        <v>0.75</v>
      </c>
    </row>
    <row r="477" spans="1:11" s="21" customFormat="1" x14ac:dyDescent="0.25">
      <c r="A477" s="18" t="s">
        <v>807</v>
      </c>
      <c r="B477" s="70">
        <v>1</v>
      </c>
      <c r="C477" s="18" t="s">
        <v>185</v>
      </c>
      <c r="D477" s="19" t="s">
        <v>1025</v>
      </c>
      <c r="E477" s="19" t="s">
        <v>394</v>
      </c>
      <c r="F477" s="19" t="s">
        <v>373</v>
      </c>
      <c r="G477" s="19" t="s">
        <v>374</v>
      </c>
      <c r="H477" s="19" t="s">
        <v>374</v>
      </c>
      <c r="I477" s="19" t="s">
        <v>616</v>
      </c>
      <c r="J477" s="19" t="s">
        <v>1064</v>
      </c>
      <c r="K477" s="20">
        <f>0/3</f>
        <v>0</v>
      </c>
    </row>
    <row r="478" spans="1:11" s="21" customFormat="1" x14ac:dyDescent="0.25">
      <c r="A478" s="18" t="s">
        <v>524</v>
      </c>
      <c r="B478" s="70">
        <v>1</v>
      </c>
      <c r="C478" s="18" t="s">
        <v>185</v>
      </c>
      <c r="D478" s="19" t="s">
        <v>1014</v>
      </c>
      <c r="E478" s="19" t="s">
        <v>1043</v>
      </c>
      <c r="F478" s="19" t="s">
        <v>373</v>
      </c>
      <c r="G478" s="19" t="s">
        <v>374</v>
      </c>
      <c r="H478" s="19" t="s">
        <v>374</v>
      </c>
      <c r="I478" s="19" t="s">
        <v>616</v>
      </c>
      <c r="J478" s="19" t="s">
        <v>1064</v>
      </c>
      <c r="K478" s="20">
        <f>1/4</f>
        <v>0.25</v>
      </c>
    </row>
    <row r="479" spans="1:11" s="21" customFormat="1" x14ac:dyDescent="0.25">
      <c r="A479" s="18" t="s">
        <v>826</v>
      </c>
      <c r="B479" s="70">
        <v>1</v>
      </c>
      <c r="C479" s="18" t="s">
        <v>185</v>
      </c>
      <c r="D479" s="19" t="s">
        <v>896</v>
      </c>
      <c r="E479" s="19" t="s">
        <v>1005</v>
      </c>
      <c r="F479" s="19" t="s">
        <v>373</v>
      </c>
      <c r="G479" s="19" t="s">
        <v>374</v>
      </c>
      <c r="H479" s="19" t="s">
        <v>374</v>
      </c>
      <c r="I479" s="19" t="s">
        <v>616</v>
      </c>
      <c r="J479" s="19" t="s">
        <v>1064</v>
      </c>
      <c r="K479" s="20">
        <f>0/1</f>
        <v>0</v>
      </c>
    </row>
    <row r="480" spans="1:11" s="21" customFormat="1" x14ac:dyDescent="0.25">
      <c r="A480" s="18" t="s">
        <v>813</v>
      </c>
      <c r="B480" s="70">
        <v>1</v>
      </c>
      <c r="C480" s="18" t="s">
        <v>548</v>
      </c>
      <c r="D480" s="19" t="s">
        <v>1017</v>
      </c>
      <c r="E480" s="19" t="s">
        <v>1005</v>
      </c>
      <c r="F480" s="19" t="s">
        <v>551</v>
      </c>
      <c r="G480" s="19" t="s">
        <v>566</v>
      </c>
      <c r="H480" s="19" t="s">
        <v>814</v>
      </c>
      <c r="I480" s="19" t="s">
        <v>1141</v>
      </c>
      <c r="J480" s="7" t="s">
        <v>24</v>
      </c>
      <c r="K480" s="20">
        <f>AVERAGE(0,0)/AVERAGE(1.54,2.45,2.38)</f>
        <v>0</v>
      </c>
    </row>
    <row r="481" spans="1:11" s="21" customFormat="1" x14ac:dyDescent="0.25">
      <c r="A481" s="19" t="s">
        <v>290</v>
      </c>
      <c r="B481" s="70">
        <v>1</v>
      </c>
      <c r="C481" s="18" t="s">
        <v>548</v>
      </c>
      <c r="D481" s="19" t="s">
        <v>1017</v>
      </c>
      <c r="E481" s="19" t="s">
        <v>1005</v>
      </c>
      <c r="F481" s="19" t="s">
        <v>373</v>
      </c>
      <c r="G481" s="19" t="s">
        <v>291</v>
      </c>
      <c r="H481" s="19" t="s">
        <v>292</v>
      </c>
      <c r="I481" s="19" t="s">
        <v>1141</v>
      </c>
      <c r="J481" s="19" t="s">
        <v>293</v>
      </c>
      <c r="K481" s="20">
        <f>1-0.5865</f>
        <v>0.41349999999999998</v>
      </c>
    </row>
    <row r="482" spans="1:11" s="3" customFormat="1" x14ac:dyDescent="0.25">
      <c r="A482" s="12" t="s">
        <v>923</v>
      </c>
      <c r="B482" s="70">
        <v>0</v>
      </c>
      <c r="C482" s="18" t="s">
        <v>548</v>
      </c>
      <c r="D482" s="7" t="s">
        <v>1022</v>
      </c>
      <c r="E482" s="7" t="s">
        <v>1018</v>
      </c>
      <c r="F482" s="7" t="s">
        <v>551</v>
      </c>
      <c r="G482" s="7" t="s">
        <v>401</v>
      </c>
      <c r="H482" s="7" t="s">
        <v>1007</v>
      </c>
      <c r="I482" s="7" t="s">
        <v>1012</v>
      </c>
      <c r="J482" s="7" t="s">
        <v>1039</v>
      </c>
      <c r="K482" s="10">
        <f>AVERAGE(0,4,0,5,6)/AVERAGE(26,15,67,37,8)</f>
        <v>9.8039215686274508E-2</v>
      </c>
    </row>
    <row r="483" spans="1:11" s="3" customFormat="1" x14ac:dyDescent="0.25">
      <c r="A483" s="12" t="s">
        <v>996</v>
      </c>
      <c r="B483" s="70">
        <v>1</v>
      </c>
      <c r="C483" s="19" t="s">
        <v>414</v>
      </c>
      <c r="D483" s="7" t="s">
        <v>1010</v>
      </c>
      <c r="E483" s="7" t="s">
        <v>565</v>
      </c>
      <c r="F483" s="7" t="s">
        <v>551</v>
      </c>
      <c r="G483" s="7" t="s">
        <v>1002</v>
      </c>
      <c r="H483" s="7" t="s">
        <v>1002</v>
      </c>
      <c r="I483" s="7" t="s">
        <v>1008</v>
      </c>
      <c r="J483" s="7" t="s">
        <v>461</v>
      </c>
      <c r="K483" s="10">
        <f>AVERAGE(18/6,27/6,36/6)/AVERAGE(52/26,54/26,56/26)</f>
        <v>2.166666666666667</v>
      </c>
    </row>
    <row r="484" spans="1:11" s="3" customFormat="1" x14ac:dyDescent="0.25">
      <c r="A484" s="53" t="s">
        <v>704</v>
      </c>
      <c r="B484" s="70">
        <v>0</v>
      </c>
      <c r="C484" s="19" t="s">
        <v>548</v>
      </c>
      <c r="D484" s="19" t="s">
        <v>1016</v>
      </c>
      <c r="E484" s="19" t="s">
        <v>474</v>
      </c>
      <c r="F484" s="19" t="s">
        <v>550</v>
      </c>
      <c r="G484" s="19" t="s">
        <v>398</v>
      </c>
      <c r="H484" s="19" t="s">
        <v>705</v>
      </c>
      <c r="I484" s="7" t="s">
        <v>1008</v>
      </c>
      <c r="J484" s="19" t="s">
        <v>708</v>
      </c>
      <c r="K484" s="10">
        <f>8/AVERAGE(20,10.7,9.3)</f>
        <v>0.6</v>
      </c>
    </row>
    <row r="485" spans="1:11" s="3" customFormat="1" x14ac:dyDescent="0.25">
      <c r="A485" s="53" t="s">
        <v>704</v>
      </c>
      <c r="B485" s="70">
        <v>0</v>
      </c>
      <c r="C485" s="19" t="s">
        <v>548</v>
      </c>
      <c r="D485" s="19" t="s">
        <v>1016</v>
      </c>
      <c r="E485" s="19" t="s">
        <v>474</v>
      </c>
      <c r="F485" s="19" t="s">
        <v>550</v>
      </c>
      <c r="G485" s="19" t="s">
        <v>398</v>
      </c>
      <c r="H485" s="19" t="s">
        <v>706</v>
      </c>
      <c r="I485" s="7" t="s">
        <v>1008</v>
      </c>
      <c r="J485" s="19" t="s">
        <v>708</v>
      </c>
      <c r="K485" s="10">
        <f>8/AVERAGE(20,10.7,6.7)</f>
        <v>0.64171122994652408</v>
      </c>
    </row>
    <row r="486" spans="1:11" s="3" customFormat="1" x14ac:dyDescent="0.25">
      <c r="A486" s="53" t="s">
        <v>704</v>
      </c>
      <c r="B486" s="70">
        <v>0</v>
      </c>
      <c r="C486" s="19" t="s">
        <v>548</v>
      </c>
      <c r="D486" s="19" t="s">
        <v>1016</v>
      </c>
      <c r="E486" s="19" t="s">
        <v>474</v>
      </c>
      <c r="F486" s="19" t="s">
        <v>550</v>
      </c>
      <c r="G486" s="19" t="s">
        <v>398</v>
      </c>
      <c r="H486" s="19" t="s">
        <v>707</v>
      </c>
      <c r="I486" s="19" t="s">
        <v>1008</v>
      </c>
      <c r="J486" s="19" t="s">
        <v>708</v>
      </c>
      <c r="K486" s="10">
        <f>9.3/AVERAGE(20,10.7,8)</f>
        <v>0.72093023255813959</v>
      </c>
    </row>
    <row r="487" spans="1:11" s="3" customFormat="1" x14ac:dyDescent="0.25">
      <c r="A487" s="12" t="s">
        <v>997</v>
      </c>
      <c r="B487" s="70">
        <v>1</v>
      </c>
      <c r="C487" s="7" t="s">
        <v>1129</v>
      </c>
      <c r="D487" s="7" t="s">
        <v>567</v>
      </c>
      <c r="E487" s="7" t="s">
        <v>1018</v>
      </c>
      <c r="F487" s="7" t="s">
        <v>551</v>
      </c>
      <c r="G487" s="7" t="s">
        <v>1021</v>
      </c>
      <c r="H487" s="7" t="s">
        <v>744</v>
      </c>
      <c r="I487" s="7" t="s">
        <v>1033</v>
      </c>
      <c r="J487" s="7" t="s">
        <v>396</v>
      </c>
      <c r="K487" s="10">
        <v>2.125</v>
      </c>
    </row>
    <row r="488" spans="1:11" s="3" customFormat="1" x14ac:dyDescent="0.25">
      <c r="A488" s="12" t="s">
        <v>997</v>
      </c>
      <c r="B488" s="70">
        <v>1</v>
      </c>
      <c r="C488" s="7" t="s">
        <v>1129</v>
      </c>
      <c r="D488" s="7" t="s">
        <v>567</v>
      </c>
      <c r="E488" s="7" t="s">
        <v>1018</v>
      </c>
      <c r="F488" s="7" t="s">
        <v>551</v>
      </c>
      <c r="G488" s="7" t="s">
        <v>401</v>
      </c>
      <c r="H488" s="7" t="s">
        <v>1007</v>
      </c>
      <c r="I488" s="7" t="s">
        <v>1033</v>
      </c>
      <c r="J488" s="7" t="s">
        <v>396</v>
      </c>
      <c r="K488" s="10">
        <v>4.01</v>
      </c>
    </row>
    <row r="489" spans="1:11" s="3" customFormat="1" x14ac:dyDescent="0.25">
      <c r="A489" s="12" t="s">
        <v>997</v>
      </c>
      <c r="B489" s="70">
        <v>1</v>
      </c>
      <c r="C489" s="7" t="s">
        <v>1129</v>
      </c>
      <c r="D489" s="7" t="s">
        <v>1025</v>
      </c>
      <c r="E489" s="7" t="s">
        <v>1018</v>
      </c>
      <c r="F489" s="7" t="s">
        <v>551</v>
      </c>
      <c r="G489" s="7" t="s">
        <v>401</v>
      </c>
      <c r="H489" s="7" t="s">
        <v>1007</v>
      </c>
      <c r="I489" s="7" t="s">
        <v>1033</v>
      </c>
      <c r="J489" s="7" t="s">
        <v>396</v>
      </c>
      <c r="K489" s="10">
        <v>0.28000000000000003</v>
      </c>
    </row>
    <row r="490" spans="1:11" s="3" customFormat="1" x14ac:dyDescent="0.25">
      <c r="A490" s="12" t="s">
        <v>997</v>
      </c>
      <c r="B490" s="70">
        <v>1</v>
      </c>
      <c r="C490" s="7" t="s">
        <v>1129</v>
      </c>
      <c r="D490" s="7" t="s">
        <v>1014</v>
      </c>
      <c r="E490" s="7" t="s">
        <v>1018</v>
      </c>
      <c r="F490" s="7" t="s">
        <v>551</v>
      </c>
      <c r="G490" s="7" t="s">
        <v>401</v>
      </c>
      <c r="H490" s="7" t="s">
        <v>1007</v>
      </c>
      <c r="I490" s="7" t="s">
        <v>1033</v>
      </c>
      <c r="J490" s="7" t="s">
        <v>396</v>
      </c>
      <c r="K490" s="10">
        <v>9.0999999999999998E-2</v>
      </c>
    </row>
    <row r="491" spans="1:11" s="3" customFormat="1" x14ac:dyDescent="0.25">
      <c r="A491" s="12" t="s">
        <v>997</v>
      </c>
      <c r="B491" s="70">
        <v>1</v>
      </c>
      <c r="C491" s="7" t="s">
        <v>1129</v>
      </c>
      <c r="D491" s="7" t="s">
        <v>1014</v>
      </c>
      <c r="E491" s="7" t="s">
        <v>1018</v>
      </c>
      <c r="F491" s="7" t="s">
        <v>550</v>
      </c>
      <c r="G491" s="7" t="s">
        <v>400</v>
      </c>
      <c r="H491" s="19" t="s">
        <v>222</v>
      </c>
      <c r="I491" s="7" t="s">
        <v>1033</v>
      </c>
      <c r="J491" s="7" t="s">
        <v>396</v>
      </c>
      <c r="K491" s="10">
        <v>1.54</v>
      </c>
    </row>
    <row r="492" spans="1:11" s="3" customFormat="1" x14ac:dyDescent="0.25">
      <c r="A492" s="12" t="s">
        <v>997</v>
      </c>
      <c r="B492" s="70">
        <v>1</v>
      </c>
      <c r="C492" s="7" t="s">
        <v>1129</v>
      </c>
      <c r="D492" s="7" t="s">
        <v>1020</v>
      </c>
      <c r="E492" s="7" t="s">
        <v>1018</v>
      </c>
      <c r="F492" s="7" t="s">
        <v>551</v>
      </c>
      <c r="G492" s="7" t="s">
        <v>566</v>
      </c>
      <c r="H492" s="19" t="s">
        <v>314</v>
      </c>
      <c r="I492" s="7" t="s">
        <v>1033</v>
      </c>
      <c r="J492" s="7" t="s">
        <v>396</v>
      </c>
      <c r="K492" s="10">
        <v>0.99</v>
      </c>
    </row>
    <row r="493" spans="1:11" s="3" customFormat="1" x14ac:dyDescent="0.25">
      <c r="A493" s="12" t="s">
        <v>997</v>
      </c>
      <c r="B493" s="70">
        <v>1</v>
      </c>
      <c r="C493" s="7" t="s">
        <v>1129</v>
      </c>
      <c r="D493" s="7" t="s">
        <v>1020</v>
      </c>
      <c r="E493" s="7" t="s">
        <v>1018</v>
      </c>
      <c r="F493" s="7" t="s">
        <v>551</v>
      </c>
      <c r="G493" s="7" t="s">
        <v>566</v>
      </c>
      <c r="H493" s="7" t="s">
        <v>519</v>
      </c>
      <c r="I493" s="7" t="s">
        <v>1033</v>
      </c>
      <c r="J493" s="7" t="s">
        <v>396</v>
      </c>
      <c r="K493" s="10">
        <v>1.39</v>
      </c>
    </row>
    <row r="494" spans="1:11" s="3" customFormat="1" x14ac:dyDescent="0.25">
      <c r="A494" s="12" t="s">
        <v>997</v>
      </c>
      <c r="B494" s="70">
        <v>1</v>
      </c>
      <c r="C494" s="7" t="s">
        <v>1129</v>
      </c>
      <c r="D494" s="7" t="s">
        <v>1020</v>
      </c>
      <c r="E494" s="7" t="s">
        <v>1018</v>
      </c>
      <c r="F494" s="7" t="s">
        <v>551</v>
      </c>
      <c r="G494" s="7" t="s">
        <v>401</v>
      </c>
      <c r="H494" s="7" t="s">
        <v>1007</v>
      </c>
      <c r="I494" s="7" t="s">
        <v>1033</v>
      </c>
      <c r="J494" s="7" t="s">
        <v>396</v>
      </c>
      <c r="K494" s="10">
        <v>0.3</v>
      </c>
    </row>
    <row r="495" spans="1:11" s="3" customFormat="1" x14ac:dyDescent="0.25">
      <c r="A495" s="48" t="s">
        <v>998</v>
      </c>
      <c r="B495" s="70">
        <v>1</v>
      </c>
      <c r="C495" s="12" t="s">
        <v>185</v>
      </c>
      <c r="D495" s="7" t="s">
        <v>556</v>
      </c>
      <c r="E495" s="7" t="s">
        <v>1133</v>
      </c>
      <c r="F495" s="7" t="s">
        <v>550</v>
      </c>
      <c r="G495" s="7" t="s">
        <v>278</v>
      </c>
      <c r="H495" s="7" t="s">
        <v>328</v>
      </c>
      <c r="I495" s="7" t="s">
        <v>1003</v>
      </c>
      <c r="J495" s="7" t="s">
        <v>1044</v>
      </c>
      <c r="K495" s="10">
        <f>AVERAGE(AVERAGE(3,4,1),AVERAGE(9,6))/AVERAGE(15,9,21,29)</f>
        <v>0.27477477477477474</v>
      </c>
    </row>
    <row r="496" spans="1:11" s="3" customFormat="1" x14ac:dyDescent="0.25">
      <c r="A496" s="4" t="s">
        <v>998</v>
      </c>
      <c r="B496" s="70">
        <v>1</v>
      </c>
      <c r="C496" s="12" t="s">
        <v>185</v>
      </c>
      <c r="D496" s="7" t="s">
        <v>556</v>
      </c>
      <c r="E496" s="7" t="s">
        <v>1133</v>
      </c>
      <c r="F496" s="7" t="s">
        <v>551</v>
      </c>
      <c r="G496" s="7" t="s">
        <v>1002</v>
      </c>
      <c r="H496" s="7" t="s">
        <v>1002</v>
      </c>
      <c r="I496" s="7" t="s">
        <v>1003</v>
      </c>
      <c r="J496" s="4" t="s">
        <v>804</v>
      </c>
      <c r="K496" s="50">
        <f>AVERAGE(34,2)/AVERAGE(18,4)</f>
        <v>1.6363636363636365</v>
      </c>
    </row>
    <row r="497" spans="1:11" s="3" customFormat="1" x14ac:dyDescent="0.25">
      <c r="A497" s="12" t="s">
        <v>32</v>
      </c>
      <c r="B497" s="70">
        <v>1</v>
      </c>
      <c r="C497" s="12" t="s">
        <v>185</v>
      </c>
      <c r="D497" s="7" t="s">
        <v>1016</v>
      </c>
      <c r="E497" s="7" t="s">
        <v>1133</v>
      </c>
      <c r="F497" s="7" t="s">
        <v>550</v>
      </c>
      <c r="G497" s="7" t="s">
        <v>278</v>
      </c>
      <c r="H497" s="7" t="s">
        <v>328</v>
      </c>
      <c r="I497" s="7" t="s">
        <v>1003</v>
      </c>
      <c r="J497" s="7" t="s">
        <v>506</v>
      </c>
      <c r="K497" s="10">
        <f>(13/13)/(13/13)</f>
        <v>1</v>
      </c>
    </row>
    <row r="498" spans="1:11" s="3" customFormat="1" x14ac:dyDescent="0.25">
      <c r="A498" s="12" t="s">
        <v>32</v>
      </c>
      <c r="B498" s="70">
        <v>1</v>
      </c>
      <c r="C498" s="12" t="s">
        <v>185</v>
      </c>
      <c r="D498" s="7" t="s">
        <v>556</v>
      </c>
      <c r="E498" s="7" t="s">
        <v>1133</v>
      </c>
      <c r="F498" s="7" t="s">
        <v>550</v>
      </c>
      <c r="G498" s="7" t="s">
        <v>278</v>
      </c>
      <c r="H498" s="7" t="s">
        <v>328</v>
      </c>
      <c r="I498" s="7" t="s">
        <v>1003</v>
      </c>
      <c r="J498" s="7" t="s">
        <v>506</v>
      </c>
      <c r="K498" s="10">
        <f>((4+1)/19)/(19/19)</f>
        <v>0.26315789473684209</v>
      </c>
    </row>
    <row r="499" spans="1:11" s="3" customFormat="1" x14ac:dyDescent="0.25">
      <c r="A499" s="12" t="s">
        <v>32</v>
      </c>
      <c r="B499" s="70">
        <v>1</v>
      </c>
      <c r="C499" s="12" t="s">
        <v>185</v>
      </c>
      <c r="D499" s="7" t="s">
        <v>556</v>
      </c>
      <c r="E499" s="7" t="s">
        <v>606</v>
      </c>
      <c r="F499" s="7" t="s">
        <v>550</v>
      </c>
      <c r="G499" s="7" t="s">
        <v>278</v>
      </c>
      <c r="H499" s="7" t="s">
        <v>328</v>
      </c>
      <c r="I499" s="7" t="s">
        <v>1003</v>
      </c>
      <c r="J499" s="7" t="s">
        <v>506</v>
      </c>
      <c r="K499" s="10">
        <f>2/5</f>
        <v>0.4</v>
      </c>
    </row>
    <row r="500" spans="1:11" s="3" customFormat="1" x14ac:dyDescent="0.25">
      <c r="A500" s="12" t="s">
        <v>32</v>
      </c>
      <c r="B500" s="70">
        <v>1</v>
      </c>
      <c r="C500" s="12" t="s">
        <v>185</v>
      </c>
      <c r="D500" s="7" t="s">
        <v>1010</v>
      </c>
      <c r="E500" s="7" t="s">
        <v>606</v>
      </c>
      <c r="F500" s="7" t="s">
        <v>550</v>
      </c>
      <c r="G500" s="7" t="s">
        <v>278</v>
      </c>
      <c r="H500" s="7" t="s">
        <v>328</v>
      </c>
      <c r="I500" s="7" t="s">
        <v>1003</v>
      </c>
      <c r="J500" s="7" t="s">
        <v>506</v>
      </c>
      <c r="K500" s="10">
        <f>0/2</f>
        <v>0</v>
      </c>
    </row>
    <row r="501" spans="1:11" s="3" customFormat="1" x14ac:dyDescent="0.25">
      <c r="A501" s="12" t="s">
        <v>35</v>
      </c>
      <c r="B501" s="70">
        <v>1</v>
      </c>
      <c r="C501" s="7" t="s">
        <v>1129</v>
      </c>
      <c r="D501" s="7" t="s">
        <v>570</v>
      </c>
      <c r="E501" s="7" t="s">
        <v>474</v>
      </c>
      <c r="F501" s="7" t="s">
        <v>280</v>
      </c>
      <c r="G501" s="7" t="s">
        <v>483</v>
      </c>
      <c r="H501" s="7" t="s">
        <v>36</v>
      </c>
      <c r="I501" s="7" t="s">
        <v>1027</v>
      </c>
      <c r="J501" s="7" t="s">
        <v>37</v>
      </c>
      <c r="K501" s="10">
        <f>AVERAGE(32.1,48.3)/AVERAGE(39.7,51.3,30)</f>
        <v>0.99669421487603305</v>
      </c>
    </row>
    <row r="502" spans="1:11" s="3" customFormat="1" x14ac:dyDescent="0.25">
      <c r="A502" s="12" t="s">
        <v>35</v>
      </c>
      <c r="B502" s="70">
        <v>1</v>
      </c>
      <c r="C502" s="7" t="s">
        <v>1129</v>
      </c>
      <c r="D502" s="7" t="s">
        <v>570</v>
      </c>
      <c r="E502" s="7" t="s">
        <v>474</v>
      </c>
      <c r="F502" s="7" t="s">
        <v>280</v>
      </c>
      <c r="G502" s="7" t="s">
        <v>483</v>
      </c>
      <c r="H502" s="7" t="s">
        <v>38</v>
      </c>
      <c r="I502" s="7" t="s">
        <v>1027</v>
      </c>
      <c r="J502" s="7" t="s">
        <v>37</v>
      </c>
      <c r="K502" s="10">
        <f>AVERAGE(39.7,51.3,32.1,30)/48.3</f>
        <v>0.79244306418219468</v>
      </c>
    </row>
    <row r="503" spans="1:11" s="3" customFormat="1" x14ac:dyDescent="0.25">
      <c r="A503" s="12" t="s">
        <v>999</v>
      </c>
      <c r="B503" s="70">
        <v>1</v>
      </c>
      <c r="C503" s="7" t="s">
        <v>1129</v>
      </c>
      <c r="D503" s="7" t="s">
        <v>568</v>
      </c>
      <c r="E503" s="7" t="s">
        <v>1005</v>
      </c>
      <c r="F503" s="7" t="s">
        <v>550</v>
      </c>
      <c r="G503" s="7" t="s">
        <v>1067</v>
      </c>
      <c r="H503" s="7" t="s">
        <v>321</v>
      </c>
      <c r="I503" s="7" t="s">
        <v>569</v>
      </c>
      <c r="J503" s="7" t="s">
        <v>793</v>
      </c>
      <c r="K503" s="10">
        <f>((0+0)/(10+9))/AVERAGE(2/14,1/9,1/10,1/14)</f>
        <v>0</v>
      </c>
    </row>
    <row r="504" spans="1:11" s="3" customFormat="1" x14ac:dyDescent="0.25">
      <c r="A504" s="12" t="s">
        <v>999</v>
      </c>
      <c r="B504" s="70">
        <v>1</v>
      </c>
      <c r="C504" s="7" t="s">
        <v>1129</v>
      </c>
      <c r="D504" s="7" t="s">
        <v>568</v>
      </c>
      <c r="E504" s="7" t="s">
        <v>561</v>
      </c>
      <c r="F504" s="7" t="s">
        <v>550</v>
      </c>
      <c r="G504" s="7" t="s">
        <v>1067</v>
      </c>
      <c r="H504" s="7" t="s">
        <v>321</v>
      </c>
      <c r="I504" s="7" t="s">
        <v>569</v>
      </c>
      <c r="J504" s="7" t="s">
        <v>793</v>
      </c>
      <c r="K504" s="10">
        <f>((0+0)/(10+13))/AVERAGE(4/68,1/13,1/10,1/68)</f>
        <v>0</v>
      </c>
    </row>
    <row r="505" spans="1:11" s="3" customFormat="1" x14ac:dyDescent="0.25">
      <c r="A505" s="12" t="s">
        <v>709</v>
      </c>
      <c r="B505" s="70">
        <v>0</v>
      </c>
      <c r="C505" s="7" t="s">
        <v>185</v>
      </c>
      <c r="D505" s="7" t="s">
        <v>1000</v>
      </c>
      <c r="E505" s="7" t="s">
        <v>712</v>
      </c>
      <c r="F505" s="14" t="s">
        <v>550</v>
      </c>
      <c r="G505" s="11" t="s">
        <v>398</v>
      </c>
      <c r="H505" s="7" t="s">
        <v>331</v>
      </c>
      <c r="I505" s="7" t="s">
        <v>1003</v>
      </c>
      <c r="J505" s="7" t="s">
        <v>382</v>
      </c>
      <c r="K505" s="10">
        <f>AVERAGE(126,108,86.4,126,96)/AVERAGE(82.8,92.4,90,64.8,61.2)</f>
        <v>1.3865030674846626</v>
      </c>
    </row>
    <row r="506" spans="1:11" s="3" customFormat="1" x14ac:dyDescent="0.25">
      <c r="A506" s="12" t="s">
        <v>709</v>
      </c>
      <c r="B506" s="70">
        <v>0</v>
      </c>
      <c r="C506" s="7" t="s">
        <v>185</v>
      </c>
      <c r="D506" s="7" t="s">
        <v>1000</v>
      </c>
      <c r="E506" s="7" t="s">
        <v>713</v>
      </c>
      <c r="F506" s="14" t="s">
        <v>550</v>
      </c>
      <c r="G506" s="11" t="s">
        <v>398</v>
      </c>
      <c r="H506" s="7" t="s">
        <v>331</v>
      </c>
      <c r="I506" s="7" t="s">
        <v>1003</v>
      </c>
      <c r="J506" s="7" t="s">
        <v>382</v>
      </c>
      <c r="K506" s="10">
        <f>AVERAGE(2.8,2.5,3.1,2.2,3.9)/AVERAGE(7.1,8.5,3.6,2.1,2.2)</f>
        <v>0.61702127659574468</v>
      </c>
    </row>
    <row r="507" spans="1:11" s="3" customFormat="1" x14ac:dyDescent="0.25">
      <c r="A507" s="12" t="s">
        <v>714</v>
      </c>
      <c r="B507" s="70">
        <v>0</v>
      </c>
      <c r="C507" s="7" t="s">
        <v>185</v>
      </c>
      <c r="D507" s="7" t="s">
        <v>1016</v>
      </c>
      <c r="E507" s="7" t="s">
        <v>474</v>
      </c>
      <c r="F507" s="7" t="s">
        <v>280</v>
      </c>
      <c r="G507" s="7" t="s">
        <v>402</v>
      </c>
      <c r="H507" s="7" t="s">
        <v>1095</v>
      </c>
      <c r="I507" s="7" t="s">
        <v>1008</v>
      </c>
      <c r="J507" s="7" t="s">
        <v>697</v>
      </c>
      <c r="K507" s="10">
        <f>AVERAGE(2/49,1.1/9.4,0/24.1,0/24,1/21.8,0.3/45.6,0.5/25.1,0.5/22.1)</f>
        <v>3.1604107905255668E-2</v>
      </c>
    </row>
    <row r="508" spans="1:11" s="3" customFormat="1" x14ac:dyDescent="0.25">
      <c r="A508" s="12" t="s">
        <v>1094</v>
      </c>
      <c r="B508" s="70">
        <v>1</v>
      </c>
      <c r="C508" s="12" t="s">
        <v>548</v>
      </c>
      <c r="D508" s="7" t="s">
        <v>1016</v>
      </c>
      <c r="E508" s="7" t="s">
        <v>474</v>
      </c>
      <c r="F508" s="7" t="s">
        <v>280</v>
      </c>
      <c r="G508" s="7" t="s">
        <v>402</v>
      </c>
      <c r="H508" s="7" t="s">
        <v>1095</v>
      </c>
      <c r="I508" s="7" t="s">
        <v>1008</v>
      </c>
      <c r="J508" s="7" t="s">
        <v>1038</v>
      </c>
      <c r="K508" s="10">
        <f>AVERAGE(4.9/26.1,10.3/21.6,2.8/14.8,3.4/16)</f>
        <v>0.26657012616064341</v>
      </c>
    </row>
    <row r="509" spans="1:11" s="3" customFormat="1" x14ac:dyDescent="0.25">
      <c r="A509" s="12" t="s">
        <v>1102</v>
      </c>
      <c r="B509" s="70">
        <v>1</v>
      </c>
      <c r="C509" s="7" t="s">
        <v>1129</v>
      </c>
      <c r="D509" s="7" t="s">
        <v>1010</v>
      </c>
      <c r="E509" s="7" t="s">
        <v>1001</v>
      </c>
      <c r="F509" s="7" t="s">
        <v>280</v>
      </c>
      <c r="G509" s="7" t="s">
        <v>1103</v>
      </c>
      <c r="H509" s="7" t="s">
        <v>1104</v>
      </c>
      <c r="I509" s="7" t="s">
        <v>1026</v>
      </c>
      <c r="J509" s="7" t="s">
        <v>396</v>
      </c>
      <c r="K509" s="10">
        <f>(1/18255)/(3182/129032)</f>
        <v>2.2213419396733304E-3</v>
      </c>
    </row>
    <row r="510" spans="1:11" s="3" customFormat="1" x14ac:dyDescent="0.25">
      <c r="A510" s="7"/>
      <c r="B510" s="7"/>
      <c r="C510" s="7"/>
      <c r="D510" s="7"/>
      <c r="E510" s="7"/>
      <c r="F510" s="7"/>
      <c r="G510" s="7"/>
      <c r="H510" s="7"/>
      <c r="I510" s="7"/>
      <c r="J510" s="7"/>
      <c r="K510" s="7"/>
    </row>
    <row r="511" spans="1:11" s="3" customFormat="1" x14ac:dyDescent="0.25">
      <c r="A511" s="7"/>
      <c r="B511" s="7"/>
      <c r="C511" s="7"/>
      <c r="D511" s="36"/>
      <c r="E511" s="36"/>
      <c r="F511" s="7"/>
      <c r="G511" s="7"/>
      <c r="H511" s="7"/>
      <c r="I511" s="7"/>
      <c r="J511" s="7"/>
      <c r="K511" s="7"/>
    </row>
    <row r="512" spans="1:11" s="3" customFormat="1" x14ac:dyDescent="0.25">
      <c r="A512" s="7"/>
      <c r="B512" s="36"/>
      <c r="C512" s="36"/>
      <c r="D512" s="36"/>
      <c r="E512" s="36"/>
      <c r="F512" s="7"/>
      <c r="G512" s="7"/>
      <c r="H512" s="7"/>
      <c r="I512" s="7"/>
      <c r="J512" s="7"/>
      <c r="K512" s="7"/>
    </row>
    <row r="513" spans="1:11" s="3" customFormat="1" x14ac:dyDescent="0.25">
      <c r="A513" s="7"/>
      <c r="B513" s="36"/>
      <c r="C513" s="36"/>
      <c r="D513" s="53"/>
      <c r="E513" s="19"/>
      <c r="F513" s="7"/>
      <c r="G513" s="7"/>
      <c r="H513" s="7"/>
      <c r="I513" s="7"/>
      <c r="J513" s="7"/>
      <c r="K513" s="7"/>
    </row>
    <row r="514" spans="1:11" s="3" customFormat="1" x14ac:dyDescent="0.25">
      <c r="A514" s="7"/>
      <c r="B514" s="36"/>
      <c r="C514" s="36"/>
      <c r="D514" s="36"/>
      <c r="E514" s="36"/>
      <c r="F514" s="7"/>
      <c r="G514" s="7"/>
      <c r="H514" s="7"/>
      <c r="I514" s="7"/>
      <c r="J514" s="7"/>
      <c r="K514" s="7"/>
    </row>
    <row r="515" spans="1:11" s="3" customFormat="1" x14ac:dyDescent="0.25">
      <c r="A515" s="7"/>
      <c r="B515" s="12"/>
      <c r="C515" s="36"/>
      <c r="D515" s="36"/>
      <c r="E515" s="36"/>
      <c r="F515" s="7"/>
      <c r="G515" s="7"/>
      <c r="H515" s="7"/>
      <c r="I515" s="7"/>
      <c r="J515" s="7"/>
      <c r="K515" s="10"/>
    </row>
    <row r="516" spans="1:11" s="3" customFormat="1" x14ac:dyDescent="0.25">
      <c r="A516" s="7"/>
      <c r="B516" s="12"/>
      <c r="C516" s="36"/>
      <c r="D516" s="36"/>
      <c r="E516" s="36"/>
      <c r="F516" s="7"/>
      <c r="G516" s="7"/>
      <c r="H516" s="7"/>
      <c r="I516" s="7"/>
      <c r="J516" s="7"/>
      <c r="K516" s="10"/>
    </row>
    <row r="517" spans="1:11" x14ac:dyDescent="0.25">
      <c r="A517" s="7"/>
      <c r="B517" s="18"/>
      <c r="C517" s="36"/>
      <c r="D517" s="36"/>
      <c r="E517" s="36"/>
      <c r="F517" s="7"/>
      <c r="G517" s="7"/>
      <c r="I517" s="7"/>
      <c r="J517" s="7"/>
      <c r="K517" s="10"/>
    </row>
    <row r="518" spans="1:11" x14ac:dyDescent="0.25">
      <c r="A518" s="7"/>
      <c r="B518" s="36"/>
      <c r="C518" s="70"/>
      <c r="D518" s="36"/>
      <c r="E518" s="36"/>
      <c r="F518" s="7"/>
      <c r="G518" s="7"/>
      <c r="I518" s="7"/>
      <c r="J518" s="7"/>
      <c r="K518" s="10"/>
    </row>
    <row r="519" spans="1:11" x14ac:dyDescent="0.25">
      <c r="A519" s="7"/>
      <c r="B519" s="36"/>
      <c r="C519" s="70"/>
      <c r="D519" s="36"/>
      <c r="E519" s="36"/>
      <c r="F519" s="7"/>
      <c r="G519" s="7"/>
      <c r="I519" s="7"/>
      <c r="J519" s="7"/>
      <c r="K519" s="10"/>
    </row>
    <row r="520" spans="1:11" x14ac:dyDescent="0.25">
      <c r="A520" s="7"/>
      <c r="B520" s="36"/>
      <c r="C520" s="70"/>
      <c r="D520" s="36"/>
      <c r="E520" s="36"/>
      <c r="F520" s="7"/>
      <c r="G520" s="7"/>
      <c r="I520" s="7"/>
      <c r="J520" s="7"/>
      <c r="K520" s="10"/>
    </row>
    <row r="521" spans="1:11" x14ac:dyDescent="0.25">
      <c r="A521" s="7"/>
      <c r="B521" s="36"/>
      <c r="C521" s="70"/>
      <c r="D521" s="36"/>
      <c r="E521" s="36"/>
      <c r="F521" s="7"/>
      <c r="G521" s="7"/>
      <c r="I521" s="7"/>
      <c r="J521" s="7"/>
      <c r="K521" s="10"/>
    </row>
    <row r="522" spans="1:11" x14ac:dyDescent="0.25">
      <c r="A522" s="7"/>
      <c r="B522" s="36"/>
      <c r="C522" s="70"/>
      <c r="D522" s="70"/>
      <c r="E522" s="36"/>
      <c r="F522" s="7"/>
      <c r="G522" s="7"/>
      <c r="I522" s="7"/>
      <c r="J522" s="7"/>
      <c r="K522" s="10"/>
    </row>
    <row r="523" spans="1:11" x14ac:dyDescent="0.25">
      <c r="A523" s="7"/>
      <c r="B523" s="53"/>
      <c r="C523" s="70"/>
      <c r="D523" s="70"/>
      <c r="E523" s="36"/>
      <c r="F523" s="7"/>
      <c r="G523" s="7"/>
      <c r="I523" s="7"/>
      <c r="J523" s="7"/>
      <c r="K523" s="10"/>
    </row>
    <row r="524" spans="1:11" x14ac:dyDescent="0.25">
      <c r="A524" s="7"/>
      <c r="B524" s="36"/>
      <c r="C524" s="70"/>
      <c r="D524" s="70"/>
      <c r="E524" s="36"/>
      <c r="F524" s="7"/>
      <c r="G524" s="7"/>
      <c r="I524" s="7"/>
      <c r="J524" s="7"/>
      <c r="K524" s="10"/>
    </row>
    <row r="525" spans="1:11" x14ac:dyDescent="0.25">
      <c r="A525" s="7"/>
      <c r="B525" s="36"/>
      <c r="C525" s="70"/>
      <c r="D525" s="70"/>
      <c r="E525" s="36"/>
      <c r="F525" s="7"/>
      <c r="G525" s="7"/>
      <c r="I525" s="7"/>
      <c r="J525" s="7"/>
      <c r="K525" s="10"/>
    </row>
    <row r="526" spans="1:11" x14ac:dyDescent="0.25">
      <c r="A526" s="7"/>
      <c r="B526" s="36"/>
      <c r="C526" s="70"/>
      <c r="D526" s="70"/>
      <c r="E526" s="36"/>
      <c r="F526" s="7"/>
      <c r="G526" s="7"/>
      <c r="I526" s="7"/>
      <c r="J526" s="7"/>
      <c r="K526" s="10"/>
    </row>
    <row r="527" spans="1:11" x14ac:dyDescent="0.25">
      <c r="A527" s="7"/>
      <c r="B527" s="36"/>
      <c r="C527" s="70"/>
      <c r="D527" s="70"/>
      <c r="E527" s="36"/>
      <c r="F527" s="7"/>
      <c r="G527" s="7"/>
      <c r="I527" s="7"/>
      <c r="J527" s="7"/>
      <c r="K527" s="10"/>
    </row>
    <row r="528" spans="1:11" x14ac:dyDescent="0.25">
      <c r="A528" s="7"/>
      <c r="B528" s="36"/>
      <c r="C528" s="70"/>
      <c r="D528" s="70"/>
      <c r="E528" s="36"/>
      <c r="F528" s="7"/>
      <c r="G528" s="7"/>
      <c r="I528" s="7"/>
      <c r="J528" s="7"/>
      <c r="K528" s="10"/>
    </row>
    <row r="529" spans="1:11" x14ac:dyDescent="0.25">
      <c r="A529" s="7"/>
      <c r="B529" s="53"/>
      <c r="C529" s="70"/>
      <c r="D529" s="70"/>
      <c r="E529" s="36"/>
      <c r="F529" s="7"/>
      <c r="G529" s="7"/>
      <c r="I529" s="7"/>
      <c r="J529" s="7"/>
      <c r="K529" s="10"/>
    </row>
    <row r="530" spans="1:11" x14ac:dyDescent="0.25">
      <c r="A530" s="7"/>
      <c r="B530" s="36"/>
      <c r="C530" s="70"/>
      <c r="D530" s="70"/>
      <c r="E530" s="36"/>
      <c r="F530" s="7"/>
      <c r="G530" s="7"/>
      <c r="I530" s="7"/>
      <c r="J530" s="7"/>
      <c r="K530" s="10"/>
    </row>
    <row r="531" spans="1:11" x14ac:dyDescent="0.25">
      <c r="A531" s="7"/>
      <c r="B531" s="36"/>
      <c r="C531" s="70"/>
      <c r="D531" s="70"/>
      <c r="E531" s="36"/>
      <c r="F531" s="7"/>
      <c r="G531" s="7"/>
      <c r="I531" s="7"/>
      <c r="J531" s="7"/>
      <c r="K531" s="10"/>
    </row>
    <row r="532" spans="1:11" x14ac:dyDescent="0.25">
      <c r="A532" s="7"/>
      <c r="B532" s="36"/>
      <c r="C532" s="70"/>
      <c r="D532" s="70"/>
      <c r="E532" s="36"/>
      <c r="F532" s="7"/>
      <c r="G532" s="7"/>
      <c r="I532" s="7"/>
      <c r="J532" s="7"/>
      <c r="K532" s="10"/>
    </row>
    <row r="533" spans="1:11" x14ac:dyDescent="0.25">
      <c r="A533" s="7"/>
      <c r="B533" s="70"/>
      <c r="C533" s="70"/>
      <c r="D533" s="70"/>
      <c r="E533" s="36"/>
      <c r="F533" s="7"/>
      <c r="G533" s="7"/>
      <c r="I533" s="7"/>
      <c r="J533" s="7"/>
      <c r="K533" s="10"/>
    </row>
    <row r="534" spans="1:11" x14ac:dyDescent="0.25">
      <c r="A534" s="7"/>
      <c r="B534" s="70"/>
      <c r="C534" s="70"/>
      <c r="D534" s="70"/>
      <c r="E534" s="36"/>
      <c r="F534" s="7"/>
      <c r="G534" s="7"/>
      <c r="I534" s="7"/>
      <c r="J534" s="7"/>
      <c r="K534" s="10"/>
    </row>
    <row r="535" spans="1:11" x14ac:dyDescent="0.25">
      <c r="A535" s="7"/>
      <c r="B535" s="70"/>
      <c r="C535" s="70"/>
      <c r="D535" s="70"/>
      <c r="E535" s="36"/>
      <c r="F535" s="7"/>
      <c r="G535" s="7"/>
      <c r="I535" s="7"/>
      <c r="J535" s="7"/>
      <c r="K535" s="10"/>
    </row>
    <row r="536" spans="1:11" x14ac:dyDescent="0.25">
      <c r="A536" s="7"/>
      <c r="B536" s="70"/>
      <c r="C536" s="70"/>
      <c r="D536" s="21"/>
      <c r="E536" s="36"/>
      <c r="F536" s="7"/>
      <c r="G536" s="7"/>
      <c r="I536" s="7"/>
      <c r="J536" s="7"/>
      <c r="K536" s="10"/>
    </row>
    <row r="537" spans="1:11" x14ac:dyDescent="0.25">
      <c r="A537" s="7"/>
      <c r="B537" s="70"/>
      <c r="C537" s="70"/>
      <c r="D537" s="21"/>
      <c r="E537" s="36"/>
      <c r="F537" s="7"/>
      <c r="G537" s="7"/>
      <c r="I537" s="7"/>
      <c r="J537" s="7"/>
      <c r="K537" s="10"/>
    </row>
    <row r="538" spans="1:11" x14ac:dyDescent="0.25">
      <c r="A538" s="7"/>
      <c r="B538" s="70"/>
      <c r="C538" s="70"/>
      <c r="D538" s="70"/>
      <c r="E538" s="36"/>
      <c r="F538" s="7"/>
      <c r="G538" s="7"/>
      <c r="I538" s="7"/>
      <c r="J538" s="7"/>
      <c r="K538" s="10"/>
    </row>
    <row r="539" spans="1:11" x14ac:dyDescent="0.25">
      <c r="A539" s="7"/>
      <c r="B539" s="70"/>
      <c r="C539" s="70"/>
      <c r="D539" s="70"/>
      <c r="E539" s="36"/>
      <c r="F539" s="7"/>
      <c r="G539" s="7"/>
      <c r="I539" s="7"/>
      <c r="J539" s="7"/>
      <c r="K539" s="10"/>
    </row>
    <row r="540" spans="1:11" x14ac:dyDescent="0.25">
      <c r="A540" s="7"/>
      <c r="B540" s="70"/>
      <c r="C540" s="70"/>
      <c r="D540" s="70"/>
      <c r="E540" s="36"/>
      <c r="F540" s="7"/>
      <c r="G540" s="7"/>
      <c r="I540" s="7"/>
      <c r="J540" s="7"/>
      <c r="K540" s="10"/>
    </row>
    <row r="541" spans="1:11" x14ac:dyDescent="0.25">
      <c r="A541" s="7"/>
      <c r="B541" s="70"/>
      <c r="C541" s="70"/>
      <c r="D541" s="70"/>
      <c r="E541" s="36"/>
      <c r="F541" s="7"/>
      <c r="G541" s="7"/>
      <c r="I541" s="7"/>
      <c r="J541" s="7"/>
      <c r="K541" s="10"/>
    </row>
    <row r="542" spans="1:11" x14ac:dyDescent="0.25">
      <c r="A542" s="7"/>
      <c r="B542" s="70"/>
      <c r="C542" s="70"/>
      <c r="D542" s="70"/>
      <c r="E542" s="36"/>
      <c r="F542" s="7"/>
      <c r="G542" s="7"/>
      <c r="I542" s="7"/>
      <c r="J542" s="7"/>
      <c r="K542" s="10"/>
    </row>
    <row r="543" spans="1:11" x14ac:dyDescent="0.25">
      <c r="A543" s="7"/>
      <c r="B543" s="70"/>
      <c r="D543" s="70"/>
      <c r="E543" s="36"/>
      <c r="F543" s="7"/>
      <c r="G543" s="7"/>
      <c r="I543" s="7"/>
      <c r="J543" s="7"/>
      <c r="K543" s="10"/>
    </row>
    <row r="544" spans="1:11" x14ac:dyDescent="0.25">
      <c r="A544" s="7"/>
      <c r="B544" s="70"/>
      <c r="D544" s="70"/>
      <c r="E544" s="36"/>
      <c r="F544" s="7"/>
      <c r="G544" s="7"/>
      <c r="I544" s="7"/>
      <c r="J544" s="7"/>
      <c r="K544" s="10"/>
    </row>
    <row r="545" spans="1:11" x14ac:dyDescent="0.25">
      <c r="A545" s="7"/>
      <c r="B545" s="70"/>
      <c r="D545" s="70"/>
      <c r="E545" s="36"/>
      <c r="F545" s="7"/>
      <c r="G545" s="7"/>
      <c r="I545" s="7"/>
      <c r="J545" s="7"/>
      <c r="K545" s="10"/>
    </row>
    <row r="546" spans="1:11" x14ac:dyDescent="0.25">
      <c r="A546" s="7"/>
      <c r="B546" s="70"/>
      <c r="D546" s="70"/>
      <c r="E546" s="36"/>
      <c r="F546" s="7"/>
      <c r="G546" s="7"/>
      <c r="I546" s="7"/>
      <c r="J546" s="7"/>
      <c r="K546" s="10"/>
    </row>
    <row r="547" spans="1:11" x14ac:dyDescent="0.25">
      <c r="A547" s="7"/>
      <c r="B547" s="70"/>
      <c r="D547" s="70"/>
      <c r="E547" s="36"/>
      <c r="F547" s="7"/>
      <c r="G547" s="7"/>
      <c r="I547" s="7"/>
      <c r="J547" s="7"/>
      <c r="K547" s="10"/>
    </row>
    <row r="548" spans="1:11" x14ac:dyDescent="0.25">
      <c r="A548" s="7"/>
      <c r="B548" s="70"/>
      <c r="D548" s="70"/>
      <c r="E548" s="36"/>
      <c r="F548" s="7"/>
      <c r="G548" s="7"/>
      <c r="I548" s="7"/>
      <c r="J548" s="7"/>
      <c r="K548" s="10"/>
    </row>
    <row r="549" spans="1:11" x14ac:dyDescent="0.25">
      <c r="A549" s="7"/>
      <c r="B549" s="70"/>
      <c r="D549" s="70"/>
      <c r="E549" s="36"/>
      <c r="F549" s="7"/>
      <c r="G549" s="7"/>
      <c r="I549" s="7"/>
      <c r="J549" s="7"/>
      <c r="K549" s="10"/>
    </row>
    <row r="550" spans="1:11" x14ac:dyDescent="0.25">
      <c r="A550" s="7"/>
      <c r="B550" s="70"/>
      <c r="D550" s="70"/>
      <c r="E550" s="36"/>
      <c r="F550" s="7"/>
      <c r="G550" s="7"/>
      <c r="I550" s="7"/>
      <c r="J550" s="7"/>
      <c r="K550" s="10"/>
    </row>
    <row r="551" spans="1:11" x14ac:dyDescent="0.25">
      <c r="A551" s="7"/>
      <c r="B551" s="70"/>
      <c r="D551" s="70"/>
      <c r="E551" s="36"/>
      <c r="F551" s="7"/>
      <c r="G551" s="7"/>
      <c r="I551" s="7"/>
      <c r="J551" s="7"/>
      <c r="K551" s="10"/>
    </row>
    <row r="552" spans="1:11" x14ac:dyDescent="0.25">
      <c r="A552" s="7"/>
      <c r="B552" s="70"/>
      <c r="D552" s="70"/>
      <c r="E552" s="36"/>
      <c r="F552" s="7"/>
      <c r="G552" s="7"/>
      <c r="I552" s="7"/>
      <c r="J552" s="7"/>
      <c r="K552" s="10"/>
    </row>
    <row r="553" spans="1:11" x14ac:dyDescent="0.25">
      <c r="A553" s="7"/>
      <c r="B553" s="70"/>
      <c r="D553" s="70"/>
      <c r="E553" s="36"/>
      <c r="F553" s="7"/>
      <c r="G553" s="7"/>
      <c r="I553" s="7"/>
      <c r="J553" s="7"/>
      <c r="K553" s="10"/>
    </row>
    <row r="554" spans="1:11" x14ac:dyDescent="0.25">
      <c r="A554" s="7"/>
      <c r="B554" s="70"/>
      <c r="D554" s="70"/>
      <c r="E554" s="36"/>
      <c r="F554" s="7"/>
      <c r="G554" s="7"/>
      <c r="I554" s="7"/>
      <c r="J554" s="7"/>
      <c r="K554" s="10"/>
    </row>
    <row r="555" spans="1:11" x14ac:dyDescent="0.25">
      <c r="A555" s="7"/>
      <c r="B555" s="70"/>
      <c r="D555" s="70"/>
      <c r="E555" s="36"/>
      <c r="F555" s="7"/>
      <c r="G555" s="7"/>
      <c r="I555" s="7"/>
      <c r="J555" s="7"/>
      <c r="K555" s="10"/>
    </row>
    <row r="556" spans="1:11" x14ac:dyDescent="0.25">
      <c r="A556" s="7"/>
      <c r="B556" s="70"/>
      <c r="D556" s="70"/>
      <c r="E556" s="36"/>
      <c r="F556" s="7"/>
      <c r="G556" s="7"/>
      <c r="I556" s="7"/>
      <c r="J556" s="7"/>
      <c r="K556" s="10"/>
    </row>
    <row r="557" spans="1:11" x14ac:dyDescent="0.25">
      <c r="A557" s="7"/>
      <c r="B557" s="70"/>
      <c r="D557" s="70"/>
      <c r="E557" s="36"/>
      <c r="F557" s="7"/>
      <c r="G557" s="7"/>
      <c r="I557" s="7"/>
      <c r="J557" s="7"/>
      <c r="K557" s="10"/>
    </row>
    <row r="558" spans="1:11" x14ac:dyDescent="0.25">
      <c r="A558" s="7"/>
      <c r="B558" s="70"/>
      <c r="D558" s="70"/>
      <c r="E558" s="36"/>
      <c r="F558" s="7"/>
      <c r="G558" s="7"/>
      <c r="I558" s="7"/>
      <c r="J558" s="7"/>
      <c r="K558" s="10"/>
    </row>
    <row r="559" spans="1:11" x14ac:dyDescent="0.25">
      <c r="A559" s="7"/>
      <c r="B559" s="70"/>
      <c r="D559" s="70"/>
      <c r="E559" s="36"/>
      <c r="F559" s="7"/>
      <c r="G559" s="7"/>
      <c r="I559" s="7"/>
      <c r="J559" s="7"/>
      <c r="K559" s="10"/>
    </row>
    <row r="560" spans="1:11" x14ac:dyDescent="0.25">
      <c r="A560" s="7"/>
      <c r="B560" s="70"/>
      <c r="D560" s="70"/>
      <c r="E560" s="36"/>
      <c r="F560" s="7"/>
      <c r="G560" s="7"/>
      <c r="I560" s="7"/>
      <c r="J560" s="7"/>
      <c r="K560" s="10"/>
    </row>
    <row r="561" spans="1:11" x14ac:dyDescent="0.25">
      <c r="A561" s="7"/>
      <c r="B561" s="70"/>
      <c r="D561" s="70"/>
      <c r="E561" s="36"/>
      <c r="F561" s="7"/>
      <c r="G561" s="7"/>
      <c r="I561" s="7"/>
      <c r="J561" s="7"/>
      <c r="K561" s="10"/>
    </row>
    <row r="562" spans="1:11" x14ac:dyDescent="0.25">
      <c r="A562" s="7"/>
      <c r="B562" s="70"/>
      <c r="D562" s="70"/>
      <c r="E562" s="36"/>
      <c r="F562" s="7"/>
      <c r="G562" s="7"/>
      <c r="I562" s="7"/>
      <c r="J562" s="7"/>
      <c r="K562" s="10"/>
    </row>
    <row r="563" spans="1:11" x14ac:dyDescent="0.25">
      <c r="A563" s="7"/>
      <c r="B563" s="70"/>
      <c r="D563" s="70"/>
      <c r="E563" s="36"/>
      <c r="F563" s="7"/>
      <c r="G563" s="7"/>
      <c r="I563" s="7"/>
      <c r="J563" s="7"/>
      <c r="K563" s="10"/>
    </row>
    <row r="564" spans="1:11" x14ac:dyDescent="0.25">
      <c r="A564" s="7"/>
      <c r="B564" s="70"/>
      <c r="D564" s="70"/>
      <c r="E564" s="36"/>
      <c r="F564" s="7"/>
      <c r="G564" s="7"/>
      <c r="I564" s="7"/>
      <c r="J564" s="7"/>
      <c r="K564" s="10"/>
    </row>
    <row r="565" spans="1:11" x14ac:dyDescent="0.25">
      <c r="A565" s="7"/>
      <c r="B565" s="70"/>
      <c r="D565" s="70"/>
      <c r="E565" s="36"/>
      <c r="F565" s="7"/>
      <c r="G565" s="7"/>
      <c r="I565" s="7"/>
      <c r="J565" s="7"/>
      <c r="K565" s="10"/>
    </row>
    <row r="566" spans="1:11" x14ac:dyDescent="0.25">
      <c r="A566" s="7"/>
      <c r="B566" s="70"/>
      <c r="D566" s="70"/>
      <c r="E566" s="36"/>
      <c r="F566" s="7"/>
      <c r="G566" s="7"/>
      <c r="I566" s="7"/>
      <c r="J566" s="7"/>
      <c r="K566" s="10"/>
    </row>
    <row r="567" spans="1:11" x14ac:dyDescent="0.25">
      <c r="A567" s="7"/>
      <c r="B567" s="70"/>
      <c r="D567" s="70"/>
      <c r="E567" s="36"/>
      <c r="F567" s="7"/>
      <c r="G567" s="7"/>
      <c r="I567" s="7"/>
      <c r="J567" s="7"/>
      <c r="K567" s="10"/>
    </row>
    <row r="568" spans="1:11" x14ac:dyDescent="0.25">
      <c r="A568" s="7"/>
      <c r="B568" s="70"/>
      <c r="D568" s="70"/>
      <c r="E568" s="36"/>
      <c r="F568" s="7"/>
      <c r="G568" s="7"/>
      <c r="I568" s="7"/>
      <c r="J568" s="7"/>
      <c r="K568" s="10"/>
    </row>
    <row r="569" spans="1:11" x14ac:dyDescent="0.25">
      <c r="A569" s="7"/>
      <c r="B569" s="70"/>
      <c r="D569" s="70"/>
      <c r="E569" s="36"/>
      <c r="F569" s="7"/>
      <c r="G569" s="7"/>
      <c r="I569" s="7"/>
      <c r="J569" s="7"/>
      <c r="K569" s="10"/>
    </row>
    <row r="570" spans="1:11" x14ac:dyDescent="0.25">
      <c r="A570" s="7"/>
      <c r="B570" s="70"/>
      <c r="D570" s="70"/>
      <c r="E570" s="36"/>
      <c r="F570" s="7"/>
      <c r="G570" s="7"/>
      <c r="I570" s="7"/>
      <c r="J570" s="7"/>
      <c r="K570" s="10"/>
    </row>
    <row r="571" spans="1:11" x14ac:dyDescent="0.25">
      <c r="A571" s="7"/>
      <c r="B571" s="70"/>
      <c r="D571" s="70"/>
      <c r="E571" s="36"/>
      <c r="F571" s="7"/>
      <c r="G571" s="7"/>
      <c r="I571" s="7"/>
      <c r="J571" s="7"/>
      <c r="K571" s="10"/>
    </row>
    <row r="572" spans="1:11" x14ac:dyDescent="0.25">
      <c r="A572" s="7"/>
      <c r="B572" s="70"/>
      <c r="D572" s="70"/>
      <c r="E572" s="36"/>
      <c r="F572" s="7"/>
      <c r="G572" s="7"/>
      <c r="I572" s="7"/>
      <c r="J572" s="7"/>
      <c r="K572" s="10"/>
    </row>
    <row r="573" spans="1:11" x14ac:dyDescent="0.25">
      <c r="A573" s="7"/>
      <c r="B573" s="70"/>
      <c r="D573" s="70"/>
      <c r="E573" s="70"/>
      <c r="F573" s="7"/>
      <c r="G573" s="7"/>
      <c r="I573" s="7"/>
      <c r="J573" s="7"/>
      <c r="K573" s="10"/>
    </row>
    <row r="574" spans="1:11" x14ac:dyDescent="0.25">
      <c r="A574" s="7"/>
      <c r="B574" s="70"/>
      <c r="D574" s="70"/>
      <c r="E574" s="70"/>
      <c r="F574" s="7"/>
      <c r="G574" s="7"/>
      <c r="I574" s="7"/>
      <c r="J574" s="7"/>
      <c r="K574" s="10"/>
    </row>
    <row r="575" spans="1:11" x14ac:dyDescent="0.25">
      <c r="A575" s="7"/>
      <c r="B575" s="70"/>
      <c r="D575" s="70"/>
      <c r="E575" s="70"/>
      <c r="F575" s="7"/>
      <c r="G575" s="7"/>
      <c r="I575" s="7"/>
      <c r="J575" s="7"/>
      <c r="K575" s="10"/>
    </row>
    <row r="576" spans="1:11" x14ac:dyDescent="0.25">
      <c r="A576" s="7"/>
      <c r="B576" s="70"/>
      <c r="D576" s="70"/>
      <c r="E576" s="70"/>
      <c r="F576" s="7"/>
      <c r="G576" s="7"/>
      <c r="I576" s="7"/>
      <c r="J576" s="7"/>
      <c r="K576" s="10"/>
    </row>
    <row r="577" spans="1:11" x14ac:dyDescent="0.25">
      <c r="A577" s="7"/>
      <c r="B577" s="70"/>
      <c r="D577" s="70"/>
      <c r="E577" s="70"/>
      <c r="F577" s="7"/>
      <c r="G577" s="7"/>
      <c r="I577" s="7"/>
      <c r="J577" s="7"/>
      <c r="K577" s="10"/>
    </row>
    <row r="578" spans="1:11" x14ac:dyDescent="0.25">
      <c r="A578" s="7"/>
      <c r="B578" s="70"/>
      <c r="D578" s="70"/>
      <c r="E578" s="70"/>
      <c r="F578" s="7"/>
      <c r="G578" s="7"/>
      <c r="I578" s="7"/>
      <c r="J578" s="7"/>
      <c r="K578" s="10"/>
    </row>
    <row r="579" spans="1:11" x14ac:dyDescent="0.25">
      <c r="A579" s="7"/>
      <c r="B579" s="70"/>
      <c r="D579" s="70"/>
      <c r="E579" s="70"/>
      <c r="F579" s="7"/>
      <c r="G579" s="7"/>
      <c r="I579" s="7"/>
      <c r="J579" s="7"/>
      <c r="K579" s="10"/>
    </row>
    <row r="580" spans="1:11" x14ac:dyDescent="0.25">
      <c r="A580" s="7"/>
      <c r="B580" s="70"/>
      <c r="D580" s="70"/>
      <c r="E580" s="70"/>
      <c r="F580" s="7"/>
      <c r="G580" s="7"/>
      <c r="I580" s="7"/>
      <c r="J580" s="7"/>
      <c r="K580" s="10"/>
    </row>
    <row r="581" spans="1:11" x14ac:dyDescent="0.25">
      <c r="A581" s="7"/>
      <c r="B581" s="70"/>
      <c r="D581" s="70"/>
      <c r="E581" s="70"/>
      <c r="F581" s="7"/>
      <c r="G581" s="7"/>
      <c r="I581" s="7"/>
      <c r="J581" s="7"/>
      <c r="K581" s="10"/>
    </row>
    <row r="582" spans="1:11" x14ac:dyDescent="0.25">
      <c r="A582" s="7"/>
      <c r="B582" s="70"/>
      <c r="D582" s="70"/>
      <c r="E582" s="70"/>
      <c r="F582" s="7"/>
      <c r="G582" s="7"/>
      <c r="I582" s="7"/>
      <c r="J582" s="7"/>
      <c r="K582" s="10"/>
    </row>
    <row r="583" spans="1:11" x14ac:dyDescent="0.25">
      <c r="A583" s="7"/>
      <c r="B583" s="70"/>
      <c r="D583" s="70"/>
      <c r="E583" s="70"/>
      <c r="F583" s="7"/>
      <c r="G583" s="7"/>
      <c r="I583" s="7"/>
      <c r="J583" s="7"/>
      <c r="K583" s="10"/>
    </row>
    <row r="584" spans="1:11" x14ac:dyDescent="0.25">
      <c r="A584" s="7"/>
      <c r="B584" s="21"/>
      <c r="D584" s="70"/>
      <c r="E584" s="70"/>
      <c r="F584" s="7"/>
      <c r="G584" s="7"/>
      <c r="I584" s="7"/>
      <c r="J584" s="7"/>
      <c r="K584" s="10"/>
    </row>
    <row r="585" spans="1:11" x14ac:dyDescent="0.25">
      <c r="A585" s="7"/>
      <c r="B585" s="21"/>
      <c r="D585" s="70"/>
      <c r="E585" s="70"/>
      <c r="F585" s="7"/>
      <c r="G585" s="7"/>
      <c r="I585" s="7"/>
      <c r="J585" s="7"/>
      <c r="K585" s="10"/>
    </row>
    <row r="586" spans="1:11" x14ac:dyDescent="0.25">
      <c r="A586" s="7"/>
      <c r="B586" s="70"/>
      <c r="D586" s="70"/>
      <c r="E586" s="70"/>
      <c r="F586" s="7"/>
      <c r="G586" s="7"/>
      <c r="I586" s="7"/>
      <c r="J586" s="7"/>
      <c r="K586" s="10"/>
    </row>
    <row r="587" spans="1:11" x14ac:dyDescent="0.25">
      <c r="A587" s="7"/>
      <c r="B587" s="70"/>
      <c r="D587" s="70"/>
      <c r="E587" s="70"/>
      <c r="F587" s="7"/>
      <c r="G587" s="7"/>
      <c r="I587" s="7"/>
      <c r="J587" s="7"/>
      <c r="K587" s="10"/>
    </row>
    <row r="588" spans="1:11" x14ac:dyDescent="0.25">
      <c r="A588" s="7"/>
      <c r="B588" s="70"/>
      <c r="D588" s="70"/>
      <c r="E588" s="70"/>
      <c r="F588" s="7"/>
      <c r="G588" s="7"/>
      <c r="I588" s="7"/>
      <c r="J588" s="7"/>
      <c r="K588" s="10"/>
    </row>
    <row r="589" spans="1:11" x14ac:dyDescent="0.25">
      <c r="A589" s="7"/>
      <c r="B589" s="70"/>
      <c r="D589" s="70"/>
      <c r="E589" s="70"/>
      <c r="F589" s="7"/>
      <c r="G589" s="7"/>
      <c r="I589" s="7"/>
      <c r="J589" s="7"/>
      <c r="K589" s="10"/>
    </row>
    <row r="590" spans="1:11" x14ac:dyDescent="0.25">
      <c r="A590" s="7"/>
      <c r="B590" s="70"/>
      <c r="D590" s="70"/>
      <c r="E590" s="70"/>
      <c r="F590" s="7"/>
      <c r="G590" s="7"/>
      <c r="I590" s="7"/>
      <c r="J590" s="7"/>
      <c r="K590" s="10"/>
    </row>
    <row r="591" spans="1:11" x14ac:dyDescent="0.25">
      <c r="A591" s="7"/>
      <c r="B591" s="70"/>
      <c r="D591" s="70"/>
      <c r="E591" s="70"/>
      <c r="F591" s="7"/>
      <c r="G591" s="7"/>
      <c r="I591" s="7"/>
      <c r="J591" s="7"/>
      <c r="K591" s="10"/>
    </row>
    <row r="592" spans="1:11" x14ac:dyDescent="0.25">
      <c r="A592" s="7"/>
      <c r="B592" s="70"/>
      <c r="D592" s="70"/>
      <c r="E592" s="70"/>
      <c r="F592" s="7"/>
      <c r="G592" s="7"/>
      <c r="I592" s="7"/>
      <c r="J592" s="7"/>
      <c r="K592" s="10"/>
    </row>
    <row r="593" spans="1:11" x14ac:dyDescent="0.25">
      <c r="A593" s="7"/>
      <c r="B593" s="70"/>
      <c r="D593" s="70"/>
      <c r="E593" s="70"/>
      <c r="F593" s="7"/>
      <c r="G593" s="7"/>
      <c r="I593" s="7"/>
      <c r="J593" s="7"/>
      <c r="K593" s="10"/>
    </row>
    <row r="594" spans="1:11" x14ac:dyDescent="0.25">
      <c r="A594" s="7"/>
      <c r="B594" s="70"/>
      <c r="D594" s="70"/>
      <c r="E594" s="70"/>
      <c r="F594" s="7"/>
      <c r="G594" s="7"/>
      <c r="I594" s="7"/>
      <c r="J594" s="7"/>
      <c r="K594" s="10"/>
    </row>
    <row r="595" spans="1:11" x14ac:dyDescent="0.25">
      <c r="A595" s="7"/>
      <c r="B595" s="70"/>
      <c r="D595" s="70"/>
      <c r="E595" s="70"/>
      <c r="F595" s="7"/>
      <c r="G595" s="7"/>
      <c r="I595" s="7"/>
      <c r="J595" s="7"/>
      <c r="K595" s="10"/>
    </row>
    <row r="596" spans="1:11" x14ac:dyDescent="0.25">
      <c r="A596" s="7"/>
      <c r="B596" s="70"/>
      <c r="D596" s="70"/>
      <c r="E596" s="70"/>
      <c r="F596" s="7"/>
      <c r="G596" s="7"/>
      <c r="I596" s="7"/>
      <c r="J596" s="7"/>
      <c r="K596" s="10"/>
    </row>
    <row r="597" spans="1:11" x14ac:dyDescent="0.25">
      <c r="A597" s="7"/>
      <c r="B597" s="70"/>
      <c r="D597" s="70"/>
      <c r="E597" s="70"/>
      <c r="F597" s="7"/>
      <c r="G597" s="7"/>
      <c r="I597" s="7"/>
      <c r="J597" s="7"/>
      <c r="K597" s="10"/>
    </row>
    <row r="598" spans="1:11" x14ac:dyDescent="0.25">
      <c r="A598" s="7"/>
      <c r="B598" s="70"/>
      <c r="D598" s="70"/>
      <c r="E598" s="70"/>
      <c r="F598" s="7"/>
      <c r="G598" s="7"/>
      <c r="I598" s="7"/>
      <c r="J598" s="7"/>
      <c r="K598" s="10"/>
    </row>
    <row r="599" spans="1:11" x14ac:dyDescent="0.25">
      <c r="A599" s="7"/>
      <c r="B599" s="70"/>
      <c r="D599" s="70"/>
      <c r="E599" s="70"/>
      <c r="F599" s="7"/>
      <c r="G599" s="7"/>
      <c r="I599" s="7"/>
      <c r="J599" s="7"/>
      <c r="K599" s="10"/>
    </row>
    <row r="600" spans="1:11" x14ac:dyDescent="0.25">
      <c r="B600" s="70"/>
      <c r="D600" s="70"/>
      <c r="E600" s="70"/>
      <c r="F600" s="7"/>
      <c r="K600" s="10"/>
    </row>
    <row r="601" spans="1:11" x14ac:dyDescent="0.25">
      <c r="B601" s="70"/>
      <c r="D601" s="70"/>
      <c r="E601" s="70"/>
      <c r="K601" s="10"/>
    </row>
    <row r="602" spans="1:11" x14ac:dyDescent="0.25">
      <c r="B602" s="70"/>
      <c r="D602" s="70"/>
      <c r="E602" s="70"/>
      <c r="K602" s="10"/>
    </row>
    <row r="603" spans="1:11" x14ac:dyDescent="0.25">
      <c r="B603" s="70"/>
      <c r="D603" s="70"/>
      <c r="E603" s="70"/>
      <c r="K603" s="10"/>
    </row>
    <row r="604" spans="1:11" x14ac:dyDescent="0.25">
      <c r="B604" s="70"/>
      <c r="D604" s="70"/>
      <c r="E604" s="70"/>
      <c r="K604" s="10"/>
    </row>
    <row r="605" spans="1:11" x14ac:dyDescent="0.25">
      <c r="B605" s="70"/>
      <c r="D605" s="70"/>
      <c r="E605" s="70"/>
      <c r="K605" s="10"/>
    </row>
    <row r="606" spans="1:11" x14ac:dyDescent="0.25">
      <c r="B606" s="70"/>
      <c r="D606" s="70"/>
      <c r="E606" s="70"/>
      <c r="K606" s="10"/>
    </row>
    <row r="607" spans="1:11" x14ac:dyDescent="0.25">
      <c r="B607" s="70"/>
      <c r="D607" s="70"/>
      <c r="E607" s="70"/>
      <c r="K607" s="10"/>
    </row>
    <row r="608" spans="1:11" x14ac:dyDescent="0.25">
      <c r="B608" s="70"/>
      <c r="D608" s="70"/>
      <c r="E608" s="70"/>
      <c r="K608" s="10"/>
    </row>
    <row r="609" spans="4:11" x14ac:dyDescent="0.25">
      <c r="D609" s="70"/>
      <c r="E609" s="70"/>
      <c r="K609" s="10"/>
    </row>
    <row r="610" spans="4:11" x14ac:dyDescent="0.25">
      <c r="D610" s="70"/>
      <c r="E610" s="70"/>
      <c r="K610" s="10"/>
    </row>
    <row r="611" spans="4:11" x14ac:dyDescent="0.25">
      <c r="D611" s="70"/>
      <c r="E611" s="70"/>
      <c r="K611" s="10"/>
    </row>
    <row r="612" spans="4:11" x14ac:dyDescent="0.25">
      <c r="D612" s="70"/>
      <c r="E612" s="70"/>
      <c r="K612" s="10"/>
    </row>
    <row r="613" spans="4:11" x14ac:dyDescent="0.25">
      <c r="D613" s="70"/>
      <c r="E613" s="70"/>
      <c r="K613" s="10"/>
    </row>
    <row r="614" spans="4:11" x14ac:dyDescent="0.25">
      <c r="D614" s="70"/>
      <c r="E614" s="70"/>
      <c r="K614" s="10"/>
    </row>
    <row r="615" spans="4:11" x14ac:dyDescent="0.25">
      <c r="D615" s="70"/>
      <c r="E615" s="70"/>
      <c r="K615" s="10"/>
    </row>
    <row r="616" spans="4:11" x14ac:dyDescent="0.25">
      <c r="D616" s="70"/>
      <c r="E616" s="70"/>
      <c r="K616" s="10"/>
    </row>
    <row r="617" spans="4:11" x14ac:dyDescent="0.25">
      <c r="D617" s="70"/>
      <c r="E617" s="70"/>
      <c r="K617" s="10"/>
    </row>
    <row r="618" spans="4:11" x14ac:dyDescent="0.25">
      <c r="D618" s="70"/>
      <c r="E618" s="70"/>
      <c r="K618" s="10"/>
    </row>
    <row r="619" spans="4:11" x14ac:dyDescent="0.25">
      <c r="D619" s="70"/>
      <c r="E619" s="70"/>
      <c r="K619" s="10"/>
    </row>
    <row r="620" spans="4:11" x14ac:dyDescent="0.25">
      <c r="D620" s="70"/>
      <c r="E620" s="70"/>
      <c r="K620" s="10"/>
    </row>
    <row r="621" spans="4:11" x14ac:dyDescent="0.25">
      <c r="D621" s="70"/>
      <c r="E621" s="70"/>
      <c r="K621" s="10"/>
    </row>
    <row r="622" spans="4:11" x14ac:dyDescent="0.25">
      <c r="D622" s="70"/>
      <c r="E622" s="70"/>
      <c r="K622" s="10"/>
    </row>
    <row r="623" spans="4:11" x14ac:dyDescent="0.25">
      <c r="D623" s="70"/>
      <c r="E623" s="70"/>
      <c r="K623" s="10"/>
    </row>
    <row r="624" spans="4:11" x14ac:dyDescent="0.25">
      <c r="D624" s="70"/>
      <c r="E624" s="70"/>
      <c r="K624" s="10"/>
    </row>
    <row r="625" spans="4:11" x14ac:dyDescent="0.25">
      <c r="D625" s="70"/>
      <c r="E625" s="70"/>
      <c r="K625" s="10"/>
    </row>
    <row r="626" spans="4:11" x14ac:dyDescent="0.25">
      <c r="D626" s="70"/>
      <c r="E626" s="70"/>
      <c r="K626" s="10"/>
    </row>
    <row r="627" spans="4:11" x14ac:dyDescent="0.25">
      <c r="D627" s="70"/>
      <c r="E627" s="70"/>
      <c r="K627" s="10"/>
    </row>
    <row r="628" spans="4:11" x14ac:dyDescent="0.25">
      <c r="D628" s="70"/>
      <c r="E628" s="70"/>
      <c r="K628" s="10"/>
    </row>
    <row r="629" spans="4:11" x14ac:dyDescent="0.25">
      <c r="D629" s="70"/>
      <c r="E629" s="70"/>
      <c r="K629" s="10"/>
    </row>
    <row r="630" spans="4:11" x14ac:dyDescent="0.25">
      <c r="D630" s="70"/>
      <c r="E630" s="70"/>
      <c r="K630" s="10"/>
    </row>
    <row r="631" spans="4:11" x14ac:dyDescent="0.25">
      <c r="D631" s="70"/>
      <c r="E631" s="70"/>
      <c r="K631" s="10"/>
    </row>
    <row r="632" spans="4:11" x14ac:dyDescent="0.25">
      <c r="D632" s="70"/>
      <c r="E632" s="70"/>
      <c r="K632" s="10"/>
    </row>
    <row r="633" spans="4:11" x14ac:dyDescent="0.25">
      <c r="D633" s="70"/>
      <c r="E633" s="70"/>
      <c r="K633" s="10"/>
    </row>
    <row r="634" spans="4:11" x14ac:dyDescent="0.25">
      <c r="D634" s="70"/>
      <c r="E634" s="70"/>
      <c r="K634" s="10"/>
    </row>
    <row r="635" spans="4:11" x14ac:dyDescent="0.25">
      <c r="D635" s="70"/>
      <c r="E635" s="70"/>
      <c r="K635" s="10"/>
    </row>
    <row r="636" spans="4:11" x14ac:dyDescent="0.25">
      <c r="D636" s="70"/>
      <c r="E636" s="70"/>
      <c r="K636" s="10"/>
    </row>
    <row r="637" spans="4:11" x14ac:dyDescent="0.25">
      <c r="D637" s="70"/>
      <c r="E637" s="70"/>
      <c r="K637" s="10"/>
    </row>
    <row r="638" spans="4:11" x14ac:dyDescent="0.25">
      <c r="D638" s="70"/>
      <c r="E638" s="70"/>
      <c r="K638" s="10"/>
    </row>
    <row r="639" spans="4:11" x14ac:dyDescent="0.25">
      <c r="D639" s="70"/>
      <c r="E639" s="70"/>
      <c r="K639" s="10"/>
    </row>
    <row r="640" spans="4:11" x14ac:dyDescent="0.25">
      <c r="D640" s="70"/>
      <c r="E640" s="70"/>
      <c r="K640" s="10"/>
    </row>
    <row r="641" spans="4:11" x14ac:dyDescent="0.25">
      <c r="D641" s="70"/>
      <c r="E641" s="70"/>
      <c r="K641" s="10"/>
    </row>
    <row r="642" spans="4:11" x14ac:dyDescent="0.25">
      <c r="D642" s="70"/>
      <c r="E642" s="70"/>
      <c r="K642" s="10"/>
    </row>
    <row r="643" spans="4:11" x14ac:dyDescent="0.25">
      <c r="D643" s="70"/>
      <c r="E643" s="70"/>
    </row>
    <row r="644" spans="4:11" x14ac:dyDescent="0.25">
      <c r="D644" s="70"/>
      <c r="E644" s="70"/>
    </row>
    <row r="645" spans="4:11" x14ac:dyDescent="0.25">
      <c r="D645" s="70"/>
      <c r="E645" s="70"/>
    </row>
    <row r="646" spans="4:11" x14ac:dyDescent="0.25">
      <c r="D646" s="70"/>
      <c r="E646" s="70"/>
    </row>
    <row r="647" spans="4:11" x14ac:dyDescent="0.25">
      <c r="D647" s="70"/>
      <c r="E647" s="70"/>
    </row>
    <row r="648" spans="4:11" x14ac:dyDescent="0.25">
      <c r="D648" s="70"/>
      <c r="E648" s="70"/>
    </row>
    <row r="649" spans="4:11" x14ac:dyDescent="0.25">
      <c r="D649" s="70"/>
      <c r="E649" s="70"/>
    </row>
    <row r="650" spans="4:11" x14ac:dyDescent="0.25">
      <c r="D650" s="70"/>
      <c r="E650" s="70"/>
    </row>
    <row r="651" spans="4:11" x14ac:dyDescent="0.25">
      <c r="D651" s="70"/>
      <c r="E651" s="70"/>
    </row>
    <row r="652" spans="4:11" x14ac:dyDescent="0.25">
      <c r="D652" s="70"/>
      <c r="E652" s="70"/>
    </row>
    <row r="653" spans="4:11" x14ac:dyDescent="0.25">
      <c r="D653" s="70"/>
      <c r="E653" s="70"/>
    </row>
    <row r="654" spans="4:11" x14ac:dyDescent="0.25">
      <c r="D654" s="70"/>
      <c r="E654" s="70"/>
    </row>
    <row r="655" spans="4:11" x14ac:dyDescent="0.25">
      <c r="D655" s="70"/>
      <c r="E655" s="70"/>
    </row>
    <row r="656" spans="4:11" x14ac:dyDescent="0.25">
      <c r="D656" s="70"/>
      <c r="E656" s="70"/>
    </row>
    <row r="657" spans="4:5" x14ac:dyDescent="0.25">
      <c r="D657" s="70"/>
      <c r="E657" s="70"/>
    </row>
    <row r="658" spans="4:5" x14ac:dyDescent="0.25">
      <c r="D658" s="70"/>
      <c r="E658" s="70"/>
    </row>
    <row r="659" spans="4:5" x14ac:dyDescent="0.25">
      <c r="D659" s="70"/>
      <c r="E659" s="70"/>
    </row>
    <row r="660" spans="4:5" x14ac:dyDescent="0.25">
      <c r="D660" s="70"/>
      <c r="E660" s="70"/>
    </row>
    <row r="661" spans="4:5" x14ac:dyDescent="0.25">
      <c r="D661" s="70"/>
      <c r="E661" s="70"/>
    </row>
    <row r="662" spans="4:5" x14ac:dyDescent="0.25">
      <c r="D662" s="70"/>
      <c r="E662" s="70"/>
    </row>
    <row r="663" spans="4:5" x14ac:dyDescent="0.25">
      <c r="D663" s="70"/>
      <c r="E663" s="70"/>
    </row>
    <row r="664" spans="4:5" x14ac:dyDescent="0.25">
      <c r="D664" s="70"/>
      <c r="E664" s="70"/>
    </row>
    <row r="665" spans="4:5" x14ac:dyDescent="0.25">
      <c r="D665" s="70"/>
      <c r="E665" s="70"/>
    </row>
    <row r="666" spans="4:5" x14ac:dyDescent="0.25">
      <c r="D666" s="70"/>
      <c r="E666" s="70"/>
    </row>
    <row r="667" spans="4:5" x14ac:dyDescent="0.25">
      <c r="D667" s="70"/>
      <c r="E667" s="70"/>
    </row>
    <row r="668" spans="4:5" x14ac:dyDescent="0.25">
      <c r="D668" s="70"/>
      <c r="E668" s="70"/>
    </row>
    <row r="669" spans="4:5" x14ac:dyDescent="0.25">
      <c r="D669" s="70"/>
      <c r="E669" s="70"/>
    </row>
    <row r="670" spans="4:5" x14ac:dyDescent="0.25">
      <c r="D670" s="70"/>
      <c r="E670" s="70"/>
    </row>
    <row r="671" spans="4:5" x14ac:dyDescent="0.25">
      <c r="D671" s="70"/>
      <c r="E671" s="70"/>
    </row>
    <row r="672" spans="4:5" x14ac:dyDescent="0.25">
      <c r="D672" s="70"/>
      <c r="E672" s="70"/>
    </row>
    <row r="673" spans="4:5" x14ac:dyDescent="0.25">
      <c r="D673" s="70"/>
      <c r="E673" s="70"/>
    </row>
    <row r="674" spans="4:5" x14ac:dyDescent="0.25">
      <c r="D674" s="70"/>
      <c r="E674" s="70"/>
    </row>
    <row r="675" spans="4:5" x14ac:dyDescent="0.25">
      <c r="D675" s="70"/>
      <c r="E675" s="70"/>
    </row>
    <row r="676" spans="4:5" x14ac:dyDescent="0.25">
      <c r="D676" s="70"/>
      <c r="E676" s="70"/>
    </row>
    <row r="677" spans="4:5" x14ac:dyDescent="0.25">
      <c r="D677" s="70"/>
      <c r="E677" s="70"/>
    </row>
    <row r="678" spans="4:5" x14ac:dyDescent="0.25">
      <c r="D678" s="70"/>
      <c r="E678" s="70"/>
    </row>
    <row r="679" spans="4:5" x14ac:dyDescent="0.25">
      <c r="D679" s="70"/>
    </row>
    <row r="680" spans="4:5" x14ac:dyDescent="0.25">
      <c r="D680" s="70"/>
    </row>
    <row r="681" spans="4:5" x14ac:dyDescent="0.25">
      <c r="D681" s="70"/>
    </row>
    <row r="682" spans="4:5" x14ac:dyDescent="0.25">
      <c r="D682" s="70"/>
    </row>
    <row r="683" spans="4:5" x14ac:dyDescent="0.25">
      <c r="D683" s="70"/>
    </row>
    <row r="684" spans="4:5" x14ac:dyDescent="0.25">
      <c r="D684" s="70"/>
    </row>
    <row r="685" spans="4:5" x14ac:dyDescent="0.25">
      <c r="D685" s="70"/>
    </row>
    <row r="686" spans="4:5" x14ac:dyDescent="0.25">
      <c r="D686" s="70"/>
    </row>
    <row r="687" spans="4:5" x14ac:dyDescent="0.25">
      <c r="D687" s="70"/>
    </row>
    <row r="688" spans="4:5" x14ac:dyDescent="0.25">
      <c r="D688" s="70"/>
    </row>
    <row r="689" spans="4:4" x14ac:dyDescent="0.25">
      <c r="D689" s="70"/>
    </row>
    <row r="690" spans="4:4" x14ac:dyDescent="0.25">
      <c r="D690" s="70"/>
    </row>
    <row r="691" spans="4:4" x14ac:dyDescent="0.25">
      <c r="D691" s="70"/>
    </row>
    <row r="692" spans="4:4" x14ac:dyDescent="0.25">
      <c r="D692" s="70"/>
    </row>
    <row r="693" spans="4:4" x14ac:dyDescent="0.25">
      <c r="D693" s="70"/>
    </row>
    <row r="694" spans="4:4" x14ac:dyDescent="0.25">
      <c r="D694" s="70"/>
    </row>
    <row r="695" spans="4:4" x14ac:dyDescent="0.25">
      <c r="D695" s="70"/>
    </row>
    <row r="696" spans="4:4" x14ac:dyDescent="0.25">
      <c r="D696" s="70"/>
    </row>
    <row r="697" spans="4:4" x14ac:dyDescent="0.25">
      <c r="D697" s="70"/>
    </row>
    <row r="698" spans="4:4" x14ac:dyDescent="0.25">
      <c r="D698" s="70"/>
    </row>
    <row r="699" spans="4:4" x14ac:dyDescent="0.25">
      <c r="D699" s="70"/>
    </row>
    <row r="700" spans="4:4" x14ac:dyDescent="0.25">
      <c r="D700" s="70"/>
    </row>
    <row r="701" spans="4:4" x14ac:dyDescent="0.25">
      <c r="D701" s="70"/>
    </row>
    <row r="702" spans="4:4" x14ac:dyDescent="0.25">
      <c r="D702" s="70"/>
    </row>
    <row r="703" spans="4:4" x14ac:dyDescent="0.25">
      <c r="D703" s="70"/>
    </row>
  </sheetData>
  <autoFilter ref="A1:K509" xr:uid="{36E84AA7-ED44-4039-9918-6528FFC3AD67}"/>
  <phoneticPr fontId="3" type="noConversion"/>
  <pageMargins left="0.75" right="0.75" top="1" bottom="1" header="0.5" footer="0.5"/>
  <pageSetup orientation="portrait" horizontalDpi="1200" verticalDpi="1200" r:id="rId1"/>
  <headerFooter alignWithMargins="0"/>
  <ignoredErrors>
    <ignoredError sqref="K10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42EF-D53F-474C-87A7-FB6E24832A53}">
  <dimension ref="A1:C357"/>
  <sheetViews>
    <sheetView zoomScale="85" workbookViewId="0">
      <pane ySplit="1" topLeftCell="A264" activePane="bottomLeft" state="frozen"/>
      <selection pane="bottomLeft" activeCell="B108" sqref="B108"/>
    </sheetView>
  </sheetViews>
  <sheetFormatPr defaultColWidth="8.77734375" defaultRowHeight="13.2" x14ac:dyDescent="0.25"/>
  <cols>
    <col min="1" max="1" width="8.77734375" style="3"/>
    <col min="2" max="2" width="13.6640625" style="3" customWidth="1"/>
    <col min="3" max="16384" width="8.77734375" style="3"/>
  </cols>
  <sheetData>
    <row r="1" spans="1:2" x14ac:dyDescent="0.25">
      <c r="A1" s="22" t="s">
        <v>307</v>
      </c>
      <c r="B1" s="22"/>
    </row>
    <row r="2" spans="1:2" s="36" customFormat="1" ht="13.2" customHeight="1" x14ac:dyDescent="0.25">
      <c r="A2" s="36">
        <v>0</v>
      </c>
      <c r="B2" s="63" t="s">
        <v>1145</v>
      </c>
    </row>
    <row r="3" spans="1:2" s="36" customFormat="1" ht="13.2" customHeight="1" x14ac:dyDescent="0.25">
      <c r="A3" s="36">
        <v>0</v>
      </c>
      <c r="B3" s="63" t="s">
        <v>1126</v>
      </c>
    </row>
    <row r="4" spans="1:2" s="36" customFormat="1" ht="13.2" customHeight="1" x14ac:dyDescent="0.25">
      <c r="A4" s="36">
        <v>1</v>
      </c>
      <c r="B4" s="63" t="s">
        <v>1166</v>
      </c>
    </row>
    <row r="5" spans="1:2" s="36" customFormat="1" ht="13.2" customHeight="1" x14ac:dyDescent="0.25">
      <c r="A5" s="36">
        <v>1</v>
      </c>
      <c r="B5" s="63" t="s">
        <v>62</v>
      </c>
    </row>
    <row r="6" spans="1:2" s="36" customFormat="1" ht="13.2" customHeight="1" x14ac:dyDescent="0.25">
      <c r="A6" s="36">
        <v>1</v>
      </c>
      <c r="B6" s="63" t="s">
        <v>161</v>
      </c>
    </row>
    <row r="7" spans="1:2" s="36" customFormat="1" ht="13.2" customHeight="1" x14ac:dyDescent="0.25">
      <c r="A7" s="36">
        <v>1</v>
      </c>
      <c r="B7" s="21" t="s">
        <v>276</v>
      </c>
    </row>
    <row r="8" spans="1:2" s="36" customFormat="1" ht="13.2" customHeight="1" x14ac:dyDescent="0.25">
      <c r="A8" s="36">
        <v>0</v>
      </c>
      <c r="B8" s="4" t="s">
        <v>710</v>
      </c>
    </row>
    <row r="9" spans="1:2" s="36" customFormat="1" ht="13.2" customHeight="1" x14ac:dyDescent="0.25">
      <c r="A9" s="36">
        <v>1</v>
      </c>
      <c r="B9" s="63" t="s">
        <v>164</v>
      </c>
    </row>
    <row r="10" spans="1:2" s="36" customFormat="1" ht="13.2" customHeight="1" x14ac:dyDescent="0.25">
      <c r="A10" s="36">
        <v>1</v>
      </c>
      <c r="B10" s="63" t="s">
        <v>64</v>
      </c>
    </row>
    <row r="11" spans="1:2" s="21" customFormat="1" x14ac:dyDescent="0.25">
      <c r="A11" s="36">
        <v>1</v>
      </c>
      <c r="B11" s="63" t="s">
        <v>503</v>
      </c>
    </row>
    <row r="12" spans="1:2" s="21" customFormat="1" x14ac:dyDescent="0.25">
      <c r="A12" s="36">
        <v>1</v>
      </c>
      <c r="B12" s="63" t="s">
        <v>154</v>
      </c>
    </row>
    <row r="13" spans="1:2" s="21" customFormat="1" x14ac:dyDescent="0.25">
      <c r="A13" s="36">
        <v>1</v>
      </c>
      <c r="B13" s="63" t="s">
        <v>1149</v>
      </c>
    </row>
    <row r="14" spans="1:2" s="21" customFormat="1" x14ac:dyDescent="0.25">
      <c r="A14" s="36">
        <v>1</v>
      </c>
      <c r="B14" s="63" t="s">
        <v>891</v>
      </c>
    </row>
    <row r="15" spans="1:2" s="21" customFormat="1" x14ac:dyDescent="0.25">
      <c r="A15" s="36">
        <v>1</v>
      </c>
      <c r="B15" s="63" t="s">
        <v>501</v>
      </c>
    </row>
    <row r="16" spans="1:2" s="21" customFormat="1" x14ac:dyDescent="0.25">
      <c r="A16" s="36">
        <v>1</v>
      </c>
      <c r="B16" s="63" t="s">
        <v>284</v>
      </c>
    </row>
    <row r="17" spans="1:2" s="21" customFormat="1" x14ac:dyDescent="0.25">
      <c r="A17" s="36">
        <v>0</v>
      </c>
      <c r="B17" s="63" t="s">
        <v>94</v>
      </c>
    </row>
    <row r="18" spans="1:2" s="21" customFormat="1" x14ac:dyDescent="0.25">
      <c r="A18" s="36">
        <v>0</v>
      </c>
      <c r="B18" s="63" t="s">
        <v>1086</v>
      </c>
    </row>
    <row r="19" spans="1:2" s="21" customFormat="1" x14ac:dyDescent="0.25">
      <c r="A19" s="36">
        <v>0</v>
      </c>
      <c r="B19" s="63" t="s">
        <v>147</v>
      </c>
    </row>
    <row r="20" spans="1:2" s="21" customFormat="1" x14ac:dyDescent="0.25">
      <c r="A20" s="36">
        <v>1</v>
      </c>
      <c r="B20" s="63" t="s">
        <v>266</v>
      </c>
    </row>
    <row r="21" spans="1:2" s="21" customFormat="1" ht="12.75" customHeight="1" x14ac:dyDescent="0.25">
      <c r="A21" s="36">
        <v>0</v>
      </c>
      <c r="B21" s="63" t="s">
        <v>267</v>
      </c>
    </row>
    <row r="22" spans="1:2" s="21" customFormat="1" x14ac:dyDescent="0.25">
      <c r="A22" s="36">
        <v>0</v>
      </c>
      <c r="B22" s="63" t="s">
        <v>159</v>
      </c>
    </row>
    <row r="23" spans="1:2" s="21" customFormat="1" x14ac:dyDescent="0.25">
      <c r="A23" s="36">
        <v>1</v>
      </c>
      <c r="B23" s="63" t="s">
        <v>614</v>
      </c>
    </row>
    <row r="24" spans="1:2" s="21" customFormat="1" x14ac:dyDescent="0.25">
      <c r="A24" s="36">
        <v>1</v>
      </c>
      <c r="B24" s="63" t="s">
        <v>1090</v>
      </c>
    </row>
    <row r="25" spans="1:2" s="21" customFormat="1" x14ac:dyDescent="0.25">
      <c r="A25" s="36">
        <v>0</v>
      </c>
      <c r="B25" s="63" t="s">
        <v>149</v>
      </c>
    </row>
    <row r="26" spans="1:2" s="21" customFormat="1" x14ac:dyDescent="0.25">
      <c r="A26" s="36">
        <v>1</v>
      </c>
      <c r="B26" s="63" t="s">
        <v>275</v>
      </c>
    </row>
    <row r="27" spans="1:2" s="21" customFormat="1" x14ac:dyDescent="0.25">
      <c r="A27" s="36">
        <v>1</v>
      </c>
      <c r="B27" s="63" t="s">
        <v>758</v>
      </c>
    </row>
    <row r="28" spans="1:2" s="21" customFormat="1" x14ac:dyDescent="0.25">
      <c r="A28" s="36">
        <v>1</v>
      </c>
      <c r="B28" s="63" t="s">
        <v>858</v>
      </c>
    </row>
    <row r="29" spans="1:2" s="21" customFormat="1" x14ac:dyDescent="0.25">
      <c r="A29" s="36">
        <v>1</v>
      </c>
      <c r="B29" s="63" t="s">
        <v>1091</v>
      </c>
    </row>
    <row r="30" spans="1:2" s="21" customFormat="1" x14ac:dyDescent="0.25">
      <c r="A30" s="36">
        <v>1</v>
      </c>
      <c r="B30" s="63" t="s">
        <v>762</v>
      </c>
    </row>
    <row r="31" spans="1:2" s="21" customFormat="1" x14ac:dyDescent="0.25">
      <c r="A31" s="36">
        <v>1</v>
      </c>
      <c r="B31" s="63" t="s">
        <v>1106</v>
      </c>
    </row>
    <row r="32" spans="1:2" s="21" customFormat="1" x14ac:dyDescent="0.25">
      <c r="A32" s="36">
        <v>1</v>
      </c>
      <c r="B32" s="63" t="s">
        <v>18</v>
      </c>
    </row>
    <row r="33" spans="1:2" s="21" customFormat="1" x14ac:dyDescent="0.25">
      <c r="A33" s="36">
        <v>1</v>
      </c>
      <c r="B33" s="63" t="s">
        <v>165</v>
      </c>
    </row>
    <row r="34" spans="1:2" s="21" customFormat="1" x14ac:dyDescent="0.25">
      <c r="A34" s="36">
        <v>1</v>
      </c>
      <c r="B34" s="65" t="s">
        <v>1092</v>
      </c>
    </row>
    <row r="35" spans="1:2" s="21" customFormat="1" x14ac:dyDescent="0.25">
      <c r="A35" s="36">
        <v>0</v>
      </c>
      <c r="B35" s="63" t="s">
        <v>68</v>
      </c>
    </row>
    <row r="36" spans="1:2" s="21" customFormat="1" x14ac:dyDescent="0.25">
      <c r="A36" s="36">
        <v>1</v>
      </c>
      <c r="B36" s="63" t="s">
        <v>376</v>
      </c>
    </row>
    <row r="37" spans="1:2" s="21" customFormat="1" x14ac:dyDescent="0.25">
      <c r="A37" s="36">
        <v>1</v>
      </c>
      <c r="B37" s="66" t="s">
        <v>339</v>
      </c>
    </row>
    <row r="38" spans="1:2" s="21" customFormat="1" x14ac:dyDescent="0.25">
      <c r="A38" s="36">
        <v>1</v>
      </c>
      <c r="B38" s="66" t="s">
        <v>248</v>
      </c>
    </row>
    <row r="39" spans="1:2" s="21" customFormat="1" x14ac:dyDescent="0.25">
      <c r="A39" s="36">
        <v>1</v>
      </c>
      <c r="B39" s="66" t="s">
        <v>340</v>
      </c>
    </row>
    <row r="40" spans="1:2" s="21" customFormat="1" x14ac:dyDescent="0.25">
      <c r="A40" s="36">
        <v>1</v>
      </c>
      <c r="B40" s="63" t="s">
        <v>1054</v>
      </c>
    </row>
    <row r="41" spans="1:2" s="21" customFormat="1" x14ac:dyDescent="0.25">
      <c r="A41" s="36">
        <v>1</v>
      </c>
      <c r="B41" s="63" t="s">
        <v>903</v>
      </c>
    </row>
    <row r="42" spans="1:2" s="21" customFormat="1" x14ac:dyDescent="0.25">
      <c r="A42" s="36">
        <v>1</v>
      </c>
      <c r="B42" s="63" t="s">
        <v>797</v>
      </c>
    </row>
    <row r="43" spans="1:2" s="21" customFormat="1" x14ac:dyDescent="0.25">
      <c r="A43" s="36">
        <v>1</v>
      </c>
      <c r="B43" s="63" t="s">
        <v>1146</v>
      </c>
    </row>
    <row r="44" spans="1:2" s="21" customFormat="1" x14ac:dyDescent="0.25">
      <c r="A44" s="36">
        <v>1</v>
      </c>
      <c r="B44" s="63" t="s">
        <v>341</v>
      </c>
    </row>
    <row r="45" spans="1:2" s="21" customFormat="1" x14ac:dyDescent="0.25">
      <c r="A45" s="36">
        <v>0</v>
      </c>
      <c r="B45" s="63" t="s">
        <v>1171</v>
      </c>
    </row>
    <row r="46" spans="1:2" s="21" customFormat="1" x14ac:dyDescent="0.25">
      <c r="A46" s="36">
        <v>1</v>
      </c>
      <c r="B46" s="63" t="s">
        <v>784</v>
      </c>
    </row>
    <row r="47" spans="1:2" s="21" customFormat="1" x14ac:dyDescent="0.25">
      <c r="A47" s="36">
        <v>1</v>
      </c>
      <c r="B47" s="63" t="s">
        <v>1158</v>
      </c>
    </row>
    <row r="48" spans="1:2" s="21" customFormat="1" x14ac:dyDescent="0.25">
      <c r="A48" s="36">
        <v>1</v>
      </c>
      <c r="B48" s="66" t="s">
        <v>342</v>
      </c>
    </row>
    <row r="49" spans="1:2" s="21" customFormat="1" x14ac:dyDescent="0.25">
      <c r="A49" s="36">
        <v>0</v>
      </c>
      <c r="B49" s="66" t="s">
        <v>619</v>
      </c>
    </row>
    <row r="50" spans="1:2" s="21" customFormat="1" ht="12.45" customHeight="1" x14ac:dyDescent="0.25">
      <c r="A50" s="36">
        <v>0</v>
      </c>
      <c r="B50" s="66" t="s">
        <v>716</v>
      </c>
    </row>
    <row r="51" spans="1:2" s="21" customFormat="1" ht="12.45" customHeight="1" x14ac:dyDescent="0.25">
      <c r="A51" s="36">
        <v>0</v>
      </c>
      <c r="B51" s="4" t="s">
        <v>624</v>
      </c>
    </row>
    <row r="52" spans="1:2" s="21" customFormat="1" ht="12.45" customHeight="1" x14ac:dyDescent="0.25">
      <c r="A52" s="36">
        <v>0</v>
      </c>
      <c r="B52" s="63" t="s">
        <v>1153</v>
      </c>
    </row>
    <row r="53" spans="1:2" s="21" customFormat="1" ht="12.45" customHeight="1" x14ac:dyDescent="0.25">
      <c r="A53" s="36">
        <v>1</v>
      </c>
      <c r="B53" s="63" t="s">
        <v>1155</v>
      </c>
    </row>
    <row r="54" spans="1:2" s="21" customFormat="1" ht="12.45" customHeight="1" x14ac:dyDescent="0.25">
      <c r="A54" s="36">
        <v>1</v>
      </c>
      <c r="B54" s="63" t="s">
        <v>175</v>
      </c>
    </row>
    <row r="55" spans="1:2" s="21" customFormat="1" x14ac:dyDescent="0.25">
      <c r="A55" s="36">
        <v>0</v>
      </c>
      <c r="B55" s="63" t="s">
        <v>233</v>
      </c>
    </row>
    <row r="56" spans="1:2" s="21" customFormat="1" x14ac:dyDescent="0.25">
      <c r="A56" s="36">
        <v>1</v>
      </c>
      <c r="B56" s="63" t="s">
        <v>968</v>
      </c>
    </row>
    <row r="57" spans="1:2" s="21" customFormat="1" x14ac:dyDescent="0.25">
      <c r="A57" s="36">
        <v>1</v>
      </c>
      <c r="B57" s="63" t="s">
        <v>348</v>
      </c>
    </row>
    <row r="58" spans="1:2" s="21" customFormat="1" x14ac:dyDescent="0.25">
      <c r="A58" s="36">
        <v>1</v>
      </c>
      <c r="B58" s="63" t="s">
        <v>469</v>
      </c>
    </row>
    <row r="59" spans="1:2" s="21" customFormat="1" x14ac:dyDescent="0.25">
      <c r="A59" s="36">
        <v>1</v>
      </c>
      <c r="B59" s="66" t="s">
        <v>538</v>
      </c>
    </row>
    <row r="60" spans="1:2" s="21" customFormat="1" x14ac:dyDescent="0.25">
      <c r="A60" s="36">
        <v>1</v>
      </c>
      <c r="B60" s="66" t="s">
        <v>454</v>
      </c>
    </row>
    <row r="61" spans="1:2" s="21" customFormat="1" ht="12.45" customHeight="1" x14ac:dyDescent="0.25">
      <c r="A61" s="36">
        <v>0</v>
      </c>
      <c r="B61" s="63" t="s">
        <v>489</v>
      </c>
    </row>
    <row r="62" spans="1:2" s="21" customFormat="1" x14ac:dyDescent="0.25">
      <c r="A62" s="36">
        <v>1</v>
      </c>
      <c r="B62" s="66" t="s">
        <v>1108</v>
      </c>
    </row>
    <row r="63" spans="1:2" s="21" customFormat="1" ht="12.45" customHeight="1" x14ac:dyDescent="0.25">
      <c r="A63" s="36">
        <v>0</v>
      </c>
      <c r="B63" s="63" t="s">
        <v>113</v>
      </c>
    </row>
    <row r="64" spans="1:2" s="21" customFormat="1" x14ac:dyDescent="0.25">
      <c r="A64" s="36">
        <v>1</v>
      </c>
      <c r="B64" s="66" t="s">
        <v>539</v>
      </c>
    </row>
    <row r="65" spans="1:2" s="21" customFormat="1" x14ac:dyDescent="0.25">
      <c r="A65" s="36">
        <v>1</v>
      </c>
      <c r="B65" s="63" t="s">
        <v>760</v>
      </c>
    </row>
    <row r="66" spans="1:2" s="63" customFormat="1" x14ac:dyDescent="0.25">
      <c r="A66" s="70">
        <v>1</v>
      </c>
      <c r="B66" s="63" t="s">
        <v>1109</v>
      </c>
    </row>
    <row r="67" spans="1:2" s="21" customFormat="1" x14ac:dyDescent="0.25">
      <c r="A67" s="70">
        <v>1</v>
      </c>
      <c r="B67" s="63" t="s">
        <v>485</v>
      </c>
    </row>
    <row r="68" spans="1:2" s="21" customFormat="1" x14ac:dyDescent="0.25">
      <c r="A68" s="70">
        <v>1</v>
      </c>
      <c r="B68" s="66" t="s">
        <v>543</v>
      </c>
    </row>
    <row r="69" spans="1:2" s="21" customFormat="1" x14ac:dyDescent="0.25">
      <c r="A69" s="70">
        <v>1</v>
      </c>
      <c r="B69" s="63" t="s">
        <v>736</v>
      </c>
    </row>
    <row r="70" spans="1:2" s="21" customFormat="1" x14ac:dyDescent="0.25">
      <c r="A70" s="70">
        <v>0</v>
      </c>
      <c r="B70" s="63" t="s">
        <v>928</v>
      </c>
    </row>
    <row r="71" spans="1:2" s="21" customFormat="1" x14ac:dyDescent="0.25">
      <c r="A71" s="70">
        <v>1</v>
      </c>
      <c r="B71" s="63" t="s">
        <v>283</v>
      </c>
    </row>
    <row r="72" spans="1:2" s="21" customFormat="1" x14ac:dyDescent="0.25">
      <c r="A72" s="70">
        <v>1</v>
      </c>
      <c r="B72" s="63" t="s">
        <v>737</v>
      </c>
    </row>
    <row r="73" spans="1:2" s="21" customFormat="1" x14ac:dyDescent="0.25">
      <c r="A73" s="70">
        <v>0</v>
      </c>
      <c r="B73" s="4" t="s">
        <v>626</v>
      </c>
    </row>
    <row r="74" spans="1:2" s="21" customFormat="1" x14ac:dyDescent="0.25">
      <c r="A74" s="70">
        <v>1</v>
      </c>
      <c r="B74" s="63" t="s">
        <v>1087</v>
      </c>
    </row>
    <row r="75" spans="1:2" s="21" customFormat="1" x14ac:dyDescent="0.25">
      <c r="A75" s="70">
        <v>0</v>
      </c>
      <c r="B75" s="63" t="s">
        <v>607</v>
      </c>
    </row>
    <row r="76" spans="1:2" s="21" customFormat="1" x14ac:dyDescent="0.25">
      <c r="A76" s="70">
        <v>1</v>
      </c>
      <c r="B76" s="63" t="s">
        <v>542</v>
      </c>
    </row>
    <row r="77" spans="1:2" s="21" customFormat="1" x14ac:dyDescent="0.25">
      <c r="A77" s="70">
        <v>1</v>
      </c>
      <c r="B77" s="63" t="s">
        <v>106</v>
      </c>
    </row>
    <row r="78" spans="1:2" s="21" customFormat="1" x14ac:dyDescent="0.25">
      <c r="A78" s="70">
        <v>1</v>
      </c>
      <c r="B78" s="63" t="s">
        <v>1121</v>
      </c>
    </row>
    <row r="79" spans="1:2" s="21" customFormat="1" x14ac:dyDescent="0.25">
      <c r="A79" s="70">
        <v>0</v>
      </c>
      <c r="B79" s="63" t="s">
        <v>355</v>
      </c>
    </row>
    <row r="80" spans="1:2" s="21" customFormat="1" x14ac:dyDescent="0.25">
      <c r="A80" s="70">
        <v>1</v>
      </c>
      <c r="B80" s="63" t="s">
        <v>470</v>
      </c>
    </row>
    <row r="81" spans="1:2" s="21" customFormat="1" x14ac:dyDescent="0.25">
      <c r="A81" s="70">
        <v>1</v>
      </c>
      <c r="B81" s="63" t="s">
        <v>476</v>
      </c>
    </row>
    <row r="82" spans="1:2" s="21" customFormat="1" x14ac:dyDescent="0.25">
      <c r="A82" s="70">
        <v>1</v>
      </c>
      <c r="B82" s="66" t="s">
        <v>1122</v>
      </c>
    </row>
    <row r="83" spans="1:2" s="21" customFormat="1" x14ac:dyDescent="0.25">
      <c r="A83" s="70">
        <v>1</v>
      </c>
      <c r="B83" s="63" t="s">
        <v>151</v>
      </c>
    </row>
    <row r="84" spans="1:2" s="21" customFormat="1" x14ac:dyDescent="0.25">
      <c r="A84" s="70">
        <v>1</v>
      </c>
      <c r="B84" s="63" t="s">
        <v>224</v>
      </c>
    </row>
    <row r="85" spans="1:2" s="21" customFormat="1" x14ac:dyDescent="0.25">
      <c r="A85" s="70">
        <v>1</v>
      </c>
      <c r="B85" s="66" t="s">
        <v>971</v>
      </c>
    </row>
    <row r="86" spans="1:2" s="21" customFormat="1" ht="12.75" customHeight="1" x14ac:dyDescent="0.25">
      <c r="A86" s="70">
        <v>0</v>
      </c>
      <c r="B86" s="63" t="s">
        <v>231</v>
      </c>
    </row>
    <row r="87" spans="1:2" s="21" customFormat="1" x14ac:dyDescent="0.25">
      <c r="A87" s="70">
        <v>1</v>
      </c>
      <c r="B87" s="63" t="s">
        <v>107</v>
      </c>
    </row>
    <row r="88" spans="1:2" s="21" customFormat="1" x14ac:dyDescent="0.25">
      <c r="A88" s="70">
        <v>1</v>
      </c>
      <c r="B88" s="63" t="s">
        <v>685</v>
      </c>
    </row>
    <row r="89" spans="1:2" s="21" customFormat="1" x14ac:dyDescent="0.25">
      <c r="A89" s="70">
        <v>1</v>
      </c>
      <c r="B89" s="63" t="s">
        <v>392</v>
      </c>
    </row>
    <row r="90" spans="1:2" s="21" customFormat="1" x14ac:dyDescent="0.25">
      <c r="A90" s="70">
        <v>1</v>
      </c>
      <c r="B90" s="63" t="s">
        <v>516</v>
      </c>
    </row>
    <row r="91" spans="1:2" s="21" customFormat="1" x14ac:dyDescent="0.25">
      <c r="A91" s="70">
        <v>1</v>
      </c>
      <c r="B91" s="63" t="s">
        <v>255</v>
      </c>
    </row>
    <row r="92" spans="1:2" s="21" customFormat="1" x14ac:dyDescent="0.25">
      <c r="A92" s="70">
        <v>1</v>
      </c>
      <c r="B92" s="63" t="s">
        <v>665</v>
      </c>
    </row>
    <row r="93" spans="1:2" s="21" customFormat="1" x14ac:dyDescent="0.25">
      <c r="A93" s="70">
        <v>0</v>
      </c>
      <c r="B93" s="63" t="s">
        <v>118</v>
      </c>
    </row>
    <row r="94" spans="1:2" s="21" customFormat="1" x14ac:dyDescent="0.25">
      <c r="A94" s="70">
        <v>1</v>
      </c>
      <c r="B94" s="63" t="s">
        <v>116</v>
      </c>
    </row>
    <row r="95" spans="1:2" s="21" customFormat="1" x14ac:dyDescent="0.25">
      <c r="A95" s="70">
        <v>1</v>
      </c>
      <c r="B95" s="63" t="s">
        <v>718</v>
      </c>
    </row>
    <row r="96" spans="1:2" s="21" customFormat="1" x14ac:dyDescent="0.25">
      <c r="A96" s="70">
        <v>0</v>
      </c>
      <c r="B96" s="8" t="s">
        <v>579</v>
      </c>
    </row>
    <row r="97" spans="1:2" s="21" customFormat="1" x14ac:dyDescent="0.25">
      <c r="A97" s="70">
        <v>1</v>
      </c>
      <c r="B97" s="63" t="s">
        <v>766</v>
      </c>
    </row>
    <row r="98" spans="1:2" s="21" customFormat="1" x14ac:dyDescent="0.25">
      <c r="A98" s="70">
        <v>0</v>
      </c>
      <c r="B98" s="63" t="s">
        <v>458</v>
      </c>
    </row>
    <row r="99" spans="1:2" s="21" customFormat="1" x14ac:dyDescent="0.25">
      <c r="A99" s="70">
        <v>1</v>
      </c>
      <c r="B99" s="63" t="s">
        <v>572</v>
      </c>
    </row>
    <row r="100" spans="1:2" s="21" customFormat="1" x14ac:dyDescent="0.25">
      <c r="A100" s="70">
        <v>1</v>
      </c>
      <c r="B100" s="63" t="s">
        <v>21</v>
      </c>
    </row>
    <row r="101" spans="1:2" s="21" customFormat="1" x14ac:dyDescent="0.25">
      <c r="A101" s="70">
        <v>1</v>
      </c>
      <c r="B101" s="63" t="s">
        <v>770</v>
      </c>
    </row>
    <row r="102" spans="1:2" s="21" customFormat="1" x14ac:dyDescent="0.25">
      <c r="A102" s="70">
        <v>1</v>
      </c>
      <c r="B102" s="63" t="s">
        <v>1132</v>
      </c>
    </row>
    <row r="103" spans="1:2" s="21" customFormat="1" x14ac:dyDescent="0.25">
      <c r="A103" s="70">
        <v>1</v>
      </c>
      <c r="B103" s="63" t="s">
        <v>1172</v>
      </c>
    </row>
    <row r="104" spans="1:2" s="21" customFormat="1" x14ac:dyDescent="0.25">
      <c r="A104" s="70">
        <v>1</v>
      </c>
      <c r="B104" s="63" t="s">
        <v>121</v>
      </c>
    </row>
    <row r="105" spans="1:2" s="21" customFormat="1" x14ac:dyDescent="0.25">
      <c r="A105" s="70">
        <v>1</v>
      </c>
      <c r="B105" s="63" t="s">
        <v>93</v>
      </c>
    </row>
    <row r="106" spans="1:2" s="21" customFormat="1" x14ac:dyDescent="0.25">
      <c r="A106" s="70">
        <v>1</v>
      </c>
      <c r="B106" s="63" t="s">
        <v>817</v>
      </c>
    </row>
    <row r="107" spans="1:2" s="21" customFormat="1" x14ac:dyDescent="0.25">
      <c r="A107" s="70">
        <v>1</v>
      </c>
      <c r="B107" s="63" t="s">
        <v>390</v>
      </c>
    </row>
    <row r="108" spans="1:2" s="21" customFormat="1" x14ac:dyDescent="0.25">
      <c r="A108" s="70">
        <v>1</v>
      </c>
      <c r="B108" s="21" t="s">
        <v>1055</v>
      </c>
    </row>
    <row r="109" spans="1:2" s="21" customFormat="1" x14ac:dyDescent="0.25">
      <c r="A109" s="70">
        <v>1</v>
      </c>
      <c r="B109" s="66" t="s">
        <v>166</v>
      </c>
    </row>
    <row r="110" spans="1:2" s="21" customFormat="1" x14ac:dyDescent="0.25">
      <c r="A110" s="70">
        <v>1</v>
      </c>
      <c r="B110" s="63" t="s">
        <v>251</v>
      </c>
    </row>
    <row r="111" spans="1:2" s="21" customFormat="1" x14ac:dyDescent="0.25">
      <c r="A111" s="70">
        <v>1</v>
      </c>
      <c r="B111" s="63" t="s">
        <v>648</v>
      </c>
    </row>
    <row r="112" spans="1:2" s="21" customFormat="1" x14ac:dyDescent="0.25">
      <c r="A112" s="70">
        <v>0</v>
      </c>
      <c r="B112" s="63" t="s">
        <v>603</v>
      </c>
    </row>
    <row r="113" spans="1:2" s="21" customFormat="1" x14ac:dyDescent="0.25">
      <c r="A113" s="70">
        <v>1</v>
      </c>
      <c r="B113" s="66" t="s">
        <v>494</v>
      </c>
    </row>
    <row r="114" spans="1:2" s="21" customFormat="1" x14ac:dyDescent="0.25">
      <c r="A114" s="70">
        <v>1</v>
      </c>
      <c r="B114" s="66" t="s">
        <v>499</v>
      </c>
    </row>
    <row r="115" spans="1:2" s="21" customFormat="1" x14ac:dyDescent="0.25">
      <c r="A115" s="70">
        <v>1</v>
      </c>
      <c r="B115" s="63" t="s">
        <v>862</v>
      </c>
    </row>
    <row r="116" spans="1:2" s="21" customFormat="1" x14ac:dyDescent="0.25">
      <c r="A116" s="70">
        <v>0</v>
      </c>
      <c r="B116" s="63" t="s">
        <v>1119</v>
      </c>
    </row>
    <row r="117" spans="1:2" s="21" customFormat="1" x14ac:dyDescent="0.25">
      <c r="A117" s="70">
        <v>1</v>
      </c>
      <c r="B117" s="66" t="s">
        <v>970</v>
      </c>
    </row>
    <row r="118" spans="1:2" s="21" customFormat="1" ht="13.05" customHeight="1" x14ac:dyDescent="0.25">
      <c r="A118" s="70">
        <v>0</v>
      </c>
      <c r="B118" s="4" t="s">
        <v>580</v>
      </c>
    </row>
    <row r="119" spans="1:2" s="21" customFormat="1" x14ac:dyDescent="0.25">
      <c r="A119" s="70">
        <v>1</v>
      </c>
      <c r="B119" s="63" t="s">
        <v>769</v>
      </c>
    </row>
    <row r="120" spans="1:2" s="21" customFormat="1" x14ac:dyDescent="0.25">
      <c r="A120" s="70">
        <v>1</v>
      </c>
      <c r="B120" s="63" t="s">
        <v>254</v>
      </c>
    </row>
    <row r="121" spans="1:2" s="21" customFormat="1" x14ac:dyDescent="0.25">
      <c r="A121" s="70">
        <v>1</v>
      </c>
      <c r="B121" s="63" t="s">
        <v>1107</v>
      </c>
    </row>
    <row r="122" spans="1:2" s="21" customFormat="1" x14ac:dyDescent="0.25">
      <c r="A122" s="70">
        <v>1</v>
      </c>
      <c r="B122" s="63" t="s">
        <v>651</v>
      </c>
    </row>
    <row r="123" spans="1:2" s="21" customFormat="1" x14ac:dyDescent="0.25">
      <c r="A123" s="70">
        <v>1</v>
      </c>
      <c r="B123" s="63" t="s">
        <v>258</v>
      </c>
    </row>
    <row r="124" spans="1:2" s="21" customFormat="1" x14ac:dyDescent="0.25">
      <c r="A124" s="70">
        <v>0</v>
      </c>
      <c r="B124" s="63" t="s">
        <v>833</v>
      </c>
    </row>
    <row r="125" spans="1:2" s="21" customFormat="1" x14ac:dyDescent="0.25">
      <c r="A125" s="70">
        <v>1</v>
      </c>
      <c r="B125" s="63" t="s">
        <v>70</v>
      </c>
    </row>
    <row r="126" spans="1:2" s="21" customFormat="1" x14ac:dyDescent="0.25">
      <c r="A126" s="70">
        <v>1</v>
      </c>
      <c r="B126" s="63" t="s">
        <v>17</v>
      </c>
    </row>
    <row r="127" spans="1:2" s="21" customFormat="1" x14ac:dyDescent="0.25">
      <c r="A127" s="70">
        <v>1</v>
      </c>
      <c r="B127" s="63" t="s">
        <v>83</v>
      </c>
    </row>
    <row r="128" spans="1:2" s="21" customFormat="1" x14ac:dyDescent="0.25">
      <c r="A128" s="70">
        <v>1</v>
      </c>
      <c r="B128" s="63" t="s">
        <v>597</v>
      </c>
    </row>
    <row r="129" spans="1:2" s="21" customFormat="1" x14ac:dyDescent="0.25">
      <c r="A129" s="70">
        <v>1</v>
      </c>
      <c r="B129" s="63" t="s">
        <v>227</v>
      </c>
    </row>
    <row r="130" spans="1:2" s="21" customFormat="1" x14ac:dyDescent="0.25">
      <c r="A130" s="70">
        <v>1</v>
      </c>
      <c r="B130" s="63" t="s">
        <v>205</v>
      </c>
    </row>
    <row r="131" spans="1:2" s="21" customFormat="1" x14ac:dyDescent="0.25">
      <c r="A131" s="70">
        <v>1</v>
      </c>
      <c r="B131" s="63" t="s">
        <v>972</v>
      </c>
    </row>
    <row r="132" spans="1:2" s="21" customFormat="1" x14ac:dyDescent="0.25">
      <c r="A132" s="70">
        <v>1</v>
      </c>
      <c r="B132" s="63" t="s">
        <v>96</v>
      </c>
    </row>
    <row r="133" spans="1:2" s="21" customFormat="1" x14ac:dyDescent="0.25">
      <c r="A133" s="70">
        <v>1</v>
      </c>
      <c r="B133" s="63" t="s">
        <v>961</v>
      </c>
    </row>
    <row r="134" spans="1:2" s="21" customFormat="1" x14ac:dyDescent="0.25">
      <c r="A134" s="70">
        <v>1</v>
      </c>
      <c r="B134" s="63" t="s">
        <v>801</v>
      </c>
    </row>
    <row r="135" spans="1:2" s="21" customFormat="1" x14ac:dyDescent="0.25">
      <c r="A135" s="70">
        <v>1</v>
      </c>
      <c r="B135" s="63" t="s">
        <v>1116</v>
      </c>
    </row>
    <row r="136" spans="1:2" s="21" customFormat="1" x14ac:dyDescent="0.25">
      <c r="A136" s="70">
        <v>1</v>
      </c>
      <c r="B136" s="63" t="s">
        <v>1070</v>
      </c>
    </row>
    <row r="137" spans="1:2" s="21" customFormat="1" x14ac:dyDescent="0.25">
      <c r="A137" s="70">
        <v>0</v>
      </c>
      <c r="B137" s="67" t="s">
        <v>764</v>
      </c>
    </row>
    <row r="138" spans="1:2" s="21" customFormat="1" x14ac:dyDescent="0.25">
      <c r="A138" s="70">
        <v>1</v>
      </c>
      <c r="B138" s="63" t="s">
        <v>652</v>
      </c>
    </row>
    <row r="139" spans="1:2" s="21" customFormat="1" x14ac:dyDescent="0.25">
      <c r="A139" s="70">
        <v>0</v>
      </c>
      <c r="B139" s="63" t="s">
        <v>974</v>
      </c>
    </row>
    <row r="140" spans="1:2" s="21" customFormat="1" x14ac:dyDescent="0.25">
      <c r="A140" s="70">
        <v>0</v>
      </c>
      <c r="B140" s="63" t="s">
        <v>1127</v>
      </c>
    </row>
    <row r="141" spans="1:2" s="21" customFormat="1" x14ac:dyDescent="0.25">
      <c r="A141" s="70">
        <v>1</v>
      </c>
      <c r="B141" s="63" t="s">
        <v>1062</v>
      </c>
    </row>
    <row r="142" spans="1:2" s="21" customFormat="1" x14ac:dyDescent="0.25">
      <c r="A142" s="70">
        <v>1</v>
      </c>
      <c r="B142" s="63" t="s">
        <v>302</v>
      </c>
    </row>
    <row r="143" spans="1:2" s="21" customFormat="1" x14ac:dyDescent="0.25">
      <c r="A143" s="70">
        <v>1</v>
      </c>
      <c r="B143" s="1" t="s">
        <v>868</v>
      </c>
    </row>
    <row r="144" spans="1:2" s="21" customFormat="1" x14ac:dyDescent="0.25">
      <c r="A144" s="70">
        <v>1</v>
      </c>
      <c r="B144" s="1" t="s">
        <v>865</v>
      </c>
    </row>
    <row r="145" spans="1:2" s="21" customFormat="1" x14ac:dyDescent="0.25">
      <c r="A145" s="70">
        <v>1</v>
      </c>
      <c r="B145" s="63" t="s">
        <v>427</v>
      </c>
    </row>
    <row r="146" spans="1:2" s="21" customFormat="1" x14ac:dyDescent="0.25">
      <c r="A146" s="70">
        <v>1</v>
      </c>
      <c r="B146" s="63" t="s">
        <v>782</v>
      </c>
    </row>
    <row r="147" spans="1:2" s="21" customFormat="1" x14ac:dyDescent="0.25">
      <c r="A147" s="70">
        <v>0</v>
      </c>
      <c r="B147" s="63" t="s">
        <v>1085</v>
      </c>
    </row>
    <row r="148" spans="1:2" s="21" customFormat="1" x14ac:dyDescent="0.25">
      <c r="A148" s="70">
        <v>1</v>
      </c>
      <c r="B148" s="63" t="s">
        <v>343</v>
      </c>
    </row>
    <row r="149" spans="1:2" s="21" customFormat="1" x14ac:dyDescent="0.25">
      <c r="A149" s="70">
        <v>0</v>
      </c>
      <c r="B149" s="63" t="s">
        <v>836</v>
      </c>
    </row>
    <row r="150" spans="1:2" s="21" customFormat="1" x14ac:dyDescent="0.25">
      <c r="A150" s="70">
        <v>1</v>
      </c>
      <c r="B150" s="63" t="s">
        <v>71</v>
      </c>
    </row>
    <row r="151" spans="1:2" s="21" customFormat="1" x14ac:dyDescent="0.25">
      <c r="A151" s="70">
        <v>0</v>
      </c>
      <c r="B151" s="63" t="s">
        <v>839</v>
      </c>
    </row>
    <row r="152" spans="1:2" s="21" customFormat="1" x14ac:dyDescent="0.25">
      <c r="A152" s="70">
        <v>1</v>
      </c>
      <c r="B152" s="63" t="s">
        <v>304</v>
      </c>
    </row>
    <row r="153" spans="1:2" s="21" customFormat="1" ht="12.75" customHeight="1" x14ac:dyDescent="0.25">
      <c r="A153" s="70">
        <v>0</v>
      </c>
      <c r="B153" s="66" t="s">
        <v>929</v>
      </c>
    </row>
    <row r="154" spans="1:2" s="21" customFormat="1" ht="13.2" customHeight="1" x14ac:dyDescent="0.25">
      <c r="A154" s="70">
        <v>0</v>
      </c>
      <c r="B154" s="63" t="s">
        <v>834</v>
      </c>
    </row>
    <row r="155" spans="1:2" s="21" customFormat="1" x14ac:dyDescent="0.25">
      <c r="A155" s="70">
        <v>1</v>
      </c>
      <c r="B155" s="63" t="s">
        <v>767</v>
      </c>
    </row>
    <row r="156" spans="1:2" s="21" customFormat="1" x14ac:dyDescent="0.25">
      <c r="A156" s="70">
        <v>1</v>
      </c>
      <c r="B156" s="66" t="s">
        <v>500</v>
      </c>
    </row>
    <row r="157" spans="1:2" s="21" customFormat="1" x14ac:dyDescent="0.25">
      <c r="A157" s="70">
        <v>1</v>
      </c>
      <c r="B157" s="63" t="s">
        <v>898</v>
      </c>
    </row>
    <row r="158" spans="1:2" s="21" customFormat="1" x14ac:dyDescent="0.25">
      <c r="A158" s="70">
        <v>1</v>
      </c>
      <c r="B158" s="63" t="s">
        <v>668</v>
      </c>
    </row>
    <row r="159" spans="1:2" s="21" customFormat="1" x14ac:dyDescent="0.25">
      <c r="A159" s="70">
        <v>1</v>
      </c>
      <c r="B159" s="63" t="s">
        <v>872</v>
      </c>
    </row>
    <row r="160" spans="1:2" s="21" customFormat="1" x14ac:dyDescent="0.25">
      <c r="A160" s="70">
        <v>1</v>
      </c>
      <c r="B160" s="63" t="s">
        <v>1131</v>
      </c>
    </row>
    <row r="161" spans="1:2" s="21" customFormat="1" x14ac:dyDescent="0.25">
      <c r="A161" s="70">
        <v>1</v>
      </c>
      <c r="B161" s="66" t="s">
        <v>1072</v>
      </c>
    </row>
    <row r="162" spans="1:2" s="21" customFormat="1" x14ac:dyDescent="0.25">
      <c r="A162" s="70">
        <v>1</v>
      </c>
      <c r="B162" s="63" t="s">
        <v>465</v>
      </c>
    </row>
    <row r="163" spans="1:2" s="21" customFormat="1" x14ac:dyDescent="0.25">
      <c r="A163" s="70">
        <v>1</v>
      </c>
      <c r="B163" s="63" t="s">
        <v>612</v>
      </c>
    </row>
    <row r="164" spans="1:2" s="21" customFormat="1" x14ac:dyDescent="0.25">
      <c r="A164" s="70">
        <v>1</v>
      </c>
      <c r="B164" s="63" t="s">
        <v>369</v>
      </c>
    </row>
    <row r="165" spans="1:2" s="21" customFormat="1" ht="13.05" customHeight="1" x14ac:dyDescent="0.25">
      <c r="A165" s="70">
        <v>0</v>
      </c>
      <c r="B165" s="4" t="s">
        <v>585</v>
      </c>
    </row>
    <row r="166" spans="1:2" s="21" customFormat="1" x14ac:dyDescent="0.25">
      <c r="A166" s="70">
        <v>1</v>
      </c>
      <c r="B166" s="63" t="s">
        <v>684</v>
      </c>
    </row>
    <row r="167" spans="1:2" s="21" customFormat="1" x14ac:dyDescent="0.25">
      <c r="A167" s="70">
        <v>0</v>
      </c>
      <c r="B167" s="63" t="s">
        <v>65</v>
      </c>
    </row>
    <row r="168" spans="1:2" s="21" customFormat="1" x14ac:dyDescent="0.25">
      <c r="A168" s="70">
        <v>1</v>
      </c>
      <c r="B168" s="63" t="s">
        <v>468</v>
      </c>
    </row>
    <row r="169" spans="1:2" s="21" customFormat="1" x14ac:dyDescent="0.25">
      <c r="A169" s="70">
        <v>0</v>
      </c>
      <c r="B169" s="66" t="s">
        <v>78</v>
      </c>
    </row>
    <row r="170" spans="1:2" s="21" customFormat="1" x14ac:dyDescent="0.25">
      <c r="A170" s="70">
        <v>1</v>
      </c>
      <c r="B170" s="63" t="s">
        <v>88</v>
      </c>
    </row>
    <row r="171" spans="1:2" s="21" customFormat="1" x14ac:dyDescent="0.25">
      <c r="A171" s="70">
        <v>1</v>
      </c>
      <c r="B171" s="63" t="s">
        <v>653</v>
      </c>
    </row>
    <row r="172" spans="1:2" s="21" customFormat="1" x14ac:dyDescent="0.25">
      <c r="A172" s="70">
        <v>1</v>
      </c>
      <c r="B172" s="63" t="s">
        <v>1078</v>
      </c>
    </row>
    <row r="173" spans="1:2" s="21" customFormat="1" x14ac:dyDescent="0.25">
      <c r="A173" s="70">
        <v>1</v>
      </c>
      <c r="B173" s="63" t="s">
        <v>305</v>
      </c>
    </row>
    <row r="174" spans="1:2" s="21" customFormat="1" x14ac:dyDescent="0.25">
      <c r="A174" s="70">
        <v>1</v>
      </c>
      <c r="B174" s="63" t="s">
        <v>167</v>
      </c>
    </row>
    <row r="175" spans="1:2" s="21" customFormat="1" x14ac:dyDescent="0.25">
      <c r="A175" s="70">
        <v>1</v>
      </c>
      <c r="B175" s="63" t="s">
        <v>577</v>
      </c>
    </row>
    <row r="176" spans="1:2" s="21" customFormat="1" x14ac:dyDescent="0.25">
      <c r="A176" s="70">
        <v>0</v>
      </c>
      <c r="B176" s="63" t="s">
        <v>754</v>
      </c>
    </row>
    <row r="177" spans="1:2" s="21" customFormat="1" x14ac:dyDescent="0.25">
      <c r="A177" s="70">
        <v>1</v>
      </c>
      <c r="B177" s="63" t="s">
        <v>1080</v>
      </c>
    </row>
    <row r="178" spans="1:2" s="21" customFormat="1" x14ac:dyDescent="0.25">
      <c r="A178" s="70">
        <v>1</v>
      </c>
      <c r="B178" s="66" t="s">
        <v>798</v>
      </c>
    </row>
    <row r="179" spans="1:2" s="21" customFormat="1" x14ac:dyDescent="0.25">
      <c r="A179" s="70">
        <v>1</v>
      </c>
      <c r="B179" s="63" t="s">
        <v>931</v>
      </c>
    </row>
    <row r="180" spans="1:2" s="21" customFormat="1" x14ac:dyDescent="0.25">
      <c r="A180" s="70">
        <v>0</v>
      </c>
      <c r="B180" s="63" t="s">
        <v>678</v>
      </c>
    </row>
    <row r="181" spans="1:2" s="21" customFormat="1" x14ac:dyDescent="0.25">
      <c r="A181" s="70">
        <v>1</v>
      </c>
      <c r="B181" s="63" t="s">
        <v>108</v>
      </c>
    </row>
    <row r="182" spans="1:2" s="21" customFormat="1" x14ac:dyDescent="0.25">
      <c r="A182" s="70">
        <v>1</v>
      </c>
      <c r="B182" s="66" t="s">
        <v>977</v>
      </c>
    </row>
    <row r="183" spans="1:2" s="21" customFormat="1" x14ac:dyDescent="0.25">
      <c r="A183" s="70">
        <v>1</v>
      </c>
      <c r="B183" s="63" t="s">
        <v>1082</v>
      </c>
    </row>
    <row r="184" spans="1:2" s="21" customFormat="1" x14ac:dyDescent="0.25">
      <c r="A184" s="70">
        <v>0</v>
      </c>
      <c r="B184" s="63" t="s">
        <v>271</v>
      </c>
    </row>
    <row r="185" spans="1:2" s="21" customFormat="1" x14ac:dyDescent="0.25">
      <c r="A185" s="70">
        <v>1</v>
      </c>
      <c r="B185" s="63" t="s">
        <v>655</v>
      </c>
    </row>
    <row r="186" spans="1:2" s="21" customFormat="1" x14ac:dyDescent="0.25">
      <c r="A186" s="70">
        <v>1</v>
      </c>
      <c r="B186" s="63" t="s">
        <v>72</v>
      </c>
    </row>
    <row r="187" spans="1:2" s="21" customFormat="1" x14ac:dyDescent="0.25">
      <c r="A187" s="70">
        <v>1</v>
      </c>
      <c r="B187" s="63" t="s">
        <v>863</v>
      </c>
    </row>
    <row r="188" spans="1:2" s="21" customFormat="1" x14ac:dyDescent="0.25">
      <c r="A188" s="70">
        <v>1</v>
      </c>
      <c r="B188" s="63" t="s">
        <v>349</v>
      </c>
    </row>
    <row r="189" spans="1:2" s="21" customFormat="1" x14ac:dyDescent="0.25">
      <c r="A189" s="70">
        <v>1</v>
      </c>
      <c r="B189" s="63" t="s">
        <v>109</v>
      </c>
    </row>
    <row r="190" spans="1:2" s="21" customFormat="1" x14ac:dyDescent="0.25">
      <c r="A190" s="70">
        <v>1</v>
      </c>
      <c r="B190" s="63" t="s">
        <v>810</v>
      </c>
    </row>
    <row r="191" spans="1:2" s="21" customFormat="1" x14ac:dyDescent="0.25">
      <c r="A191" s="70">
        <v>1</v>
      </c>
      <c r="B191" s="63" t="s">
        <v>835</v>
      </c>
    </row>
    <row r="192" spans="1:2" s="21" customFormat="1" x14ac:dyDescent="0.25">
      <c r="A192" s="70">
        <v>0</v>
      </c>
      <c r="B192" s="63" t="s">
        <v>138</v>
      </c>
    </row>
    <row r="193" spans="1:2" s="21" customFormat="1" ht="13.05" customHeight="1" x14ac:dyDescent="0.25">
      <c r="A193" s="70">
        <v>0</v>
      </c>
      <c r="B193" s="4" t="s">
        <v>587</v>
      </c>
    </row>
    <row r="194" spans="1:2" s="21" customFormat="1" x14ac:dyDescent="0.25">
      <c r="A194" s="70">
        <v>0</v>
      </c>
      <c r="B194" s="63" t="s">
        <v>525</v>
      </c>
    </row>
    <row r="195" spans="1:2" s="21" customFormat="1" x14ac:dyDescent="0.25">
      <c r="A195" s="70">
        <v>1</v>
      </c>
      <c r="B195" s="63" t="s">
        <v>932</v>
      </c>
    </row>
    <row r="196" spans="1:2" s="21" customFormat="1" x14ac:dyDescent="0.25">
      <c r="A196" s="70">
        <v>1</v>
      </c>
      <c r="B196" s="63" t="s">
        <v>933</v>
      </c>
    </row>
    <row r="197" spans="1:2" s="21" customFormat="1" x14ac:dyDescent="0.25">
      <c r="A197" s="70">
        <v>1</v>
      </c>
      <c r="B197" s="66" t="s">
        <v>949</v>
      </c>
    </row>
    <row r="198" spans="1:2" s="21" customFormat="1" x14ac:dyDescent="0.25">
      <c r="A198" s="70">
        <v>1</v>
      </c>
      <c r="B198" s="63" t="s">
        <v>1115</v>
      </c>
    </row>
    <row r="199" spans="1:2" s="21" customFormat="1" x14ac:dyDescent="0.25">
      <c r="A199" s="70">
        <v>1</v>
      </c>
      <c r="B199" s="63" t="s">
        <v>180</v>
      </c>
    </row>
    <row r="200" spans="1:2" s="21" customFormat="1" x14ac:dyDescent="0.25">
      <c r="A200" s="70">
        <v>1</v>
      </c>
      <c r="B200" s="63" t="s">
        <v>530</v>
      </c>
    </row>
    <row r="201" spans="1:2" s="21" customFormat="1" x14ac:dyDescent="0.25">
      <c r="A201" s="70">
        <v>1</v>
      </c>
      <c r="B201" s="63" t="s">
        <v>350</v>
      </c>
    </row>
    <row r="202" spans="1:2" s="21" customFormat="1" x14ac:dyDescent="0.25">
      <c r="A202" s="70">
        <v>1</v>
      </c>
      <c r="B202" s="66" t="s">
        <v>509</v>
      </c>
    </row>
    <row r="203" spans="1:2" s="21" customFormat="1" x14ac:dyDescent="0.25">
      <c r="A203" s="70">
        <v>1</v>
      </c>
      <c r="B203" s="21" t="s">
        <v>287</v>
      </c>
    </row>
    <row r="204" spans="1:2" s="21" customFormat="1" x14ac:dyDescent="0.25">
      <c r="A204" s="70">
        <v>1</v>
      </c>
      <c r="B204" s="66" t="s">
        <v>176</v>
      </c>
    </row>
    <row r="205" spans="1:2" s="21" customFormat="1" x14ac:dyDescent="0.25">
      <c r="A205" s="70">
        <v>1</v>
      </c>
      <c r="B205" s="63" t="s">
        <v>533</v>
      </c>
    </row>
    <row r="206" spans="1:2" s="21" customFormat="1" ht="12.75" customHeight="1" x14ac:dyDescent="0.25">
      <c r="A206" s="21">
        <v>0</v>
      </c>
      <c r="B206" s="63" t="s">
        <v>1073</v>
      </c>
    </row>
    <row r="207" spans="1:2" s="21" customFormat="1" x14ac:dyDescent="0.25">
      <c r="A207" s="70">
        <v>1</v>
      </c>
      <c r="B207" s="63" t="s">
        <v>1075</v>
      </c>
    </row>
    <row r="208" spans="1:2" s="21" customFormat="1" x14ac:dyDescent="0.25">
      <c r="A208" s="70">
        <v>1</v>
      </c>
      <c r="B208" s="63" t="s">
        <v>733</v>
      </c>
    </row>
    <row r="209" spans="1:2" s="21" customFormat="1" x14ac:dyDescent="0.25">
      <c r="A209" s="70">
        <v>1</v>
      </c>
      <c r="B209" s="63" t="s">
        <v>643</v>
      </c>
    </row>
    <row r="210" spans="1:2" s="21" customFormat="1" x14ac:dyDescent="0.25">
      <c r="A210" s="70">
        <v>1</v>
      </c>
      <c r="B210" s="63" t="s">
        <v>203</v>
      </c>
    </row>
    <row r="211" spans="1:2" s="21" customFormat="1" x14ac:dyDescent="0.25">
      <c r="A211" s="70">
        <v>1</v>
      </c>
      <c r="B211" s="63" t="s">
        <v>947</v>
      </c>
    </row>
    <row r="212" spans="1:2" s="21" customFormat="1" x14ac:dyDescent="0.25">
      <c r="A212" s="70">
        <v>1</v>
      </c>
      <c r="B212" s="63" t="s">
        <v>142</v>
      </c>
    </row>
    <row r="213" spans="1:2" s="21" customFormat="1" x14ac:dyDescent="0.25">
      <c r="A213" s="70">
        <v>1</v>
      </c>
      <c r="B213" s="63" t="s">
        <v>671</v>
      </c>
    </row>
    <row r="214" spans="1:2" s="21" customFormat="1" x14ac:dyDescent="0.25">
      <c r="A214" s="70">
        <v>1</v>
      </c>
      <c r="B214" s="66" t="s">
        <v>179</v>
      </c>
    </row>
    <row r="215" spans="1:2" s="21" customFormat="1" x14ac:dyDescent="0.25">
      <c r="A215" s="70">
        <v>0</v>
      </c>
      <c r="B215" s="63" t="s">
        <v>244</v>
      </c>
    </row>
    <row r="216" spans="1:2" s="21" customFormat="1" x14ac:dyDescent="0.25">
      <c r="A216" s="70">
        <v>0</v>
      </c>
      <c r="B216" s="63" t="s">
        <v>247</v>
      </c>
    </row>
    <row r="217" spans="1:2" s="21" customFormat="1" x14ac:dyDescent="0.25">
      <c r="A217" s="70">
        <v>1</v>
      </c>
      <c r="B217" s="63" t="s">
        <v>301</v>
      </c>
    </row>
    <row r="218" spans="1:2" s="21" customFormat="1" x14ac:dyDescent="0.25">
      <c r="A218" s="70">
        <v>1</v>
      </c>
      <c r="B218" s="63" t="s">
        <v>700</v>
      </c>
    </row>
    <row r="219" spans="1:2" s="21" customFormat="1" x14ac:dyDescent="0.25">
      <c r="A219" s="70">
        <v>1</v>
      </c>
      <c r="B219" s="63" t="s">
        <v>960</v>
      </c>
    </row>
    <row r="220" spans="1:2" s="21" customFormat="1" x14ac:dyDescent="0.25">
      <c r="A220" s="70">
        <v>1</v>
      </c>
      <c r="B220" s="63" t="s">
        <v>511</v>
      </c>
    </row>
    <row r="221" spans="1:2" s="21" customFormat="1" x14ac:dyDescent="0.25">
      <c r="A221" s="70">
        <v>1</v>
      </c>
      <c r="B221" s="63" t="s">
        <v>604</v>
      </c>
    </row>
    <row r="222" spans="1:2" s="21" customFormat="1" x14ac:dyDescent="0.25">
      <c r="A222" s="70">
        <v>1</v>
      </c>
      <c r="B222" s="63" t="s">
        <v>605</v>
      </c>
    </row>
    <row r="223" spans="1:2" s="21" customFormat="1" x14ac:dyDescent="0.25">
      <c r="A223" s="70">
        <v>1</v>
      </c>
      <c r="B223" s="63" t="s">
        <v>289</v>
      </c>
    </row>
    <row r="224" spans="1:2" s="21" customFormat="1" x14ac:dyDescent="0.25">
      <c r="A224" s="70">
        <v>0</v>
      </c>
      <c r="B224" s="63" t="s">
        <v>144</v>
      </c>
    </row>
    <row r="225" spans="1:2" s="21" customFormat="1" x14ac:dyDescent="0.25">
      <c r="A225" s="70">
        <v>1</v>
      </c>
      <c r="B225" s="63" t="s">
        <v>571</v>
      </c>
    </row>
    <row r="226" spans="1:2" s="21" customFormat="1" x14ac:dyDescent="0.25">
      <c r="A226" s="70">
        <v>1</v>
      </c>
      <c r="B226" s="63" t="s">
        <v>12</v>
      </c>
    </row>
    <row r="227" spans="1:2" s="21" customFormat="1" x14ac:dyDescent="0.25">
      <c r="A227" s="70">
        <v>1</v>
      </c>
      <c r="B227" s="63" t="s">
        <v>702</v>
      </c>
    </row>
    <row r="228" spans="1:2" s="21" customFormat="1" x14ac:dyDescent="0.25">
      <c r="A228" s="70">
        <v>1</v>
      </c>
      <c r="B228" s="63" t="s">
        <v>738</v>
      </c>
    </row>
    <row r="229" spans="1:2" s="21" customFormat="1" x14ac:dyDescent="0.25">
      <c r="A229" s="70">
        <v>0</v>
      </c>
      <c r="B229" s="63" t="s">
        <v>155</v>
      </c>
    </row>
    <row r="230" spans="1:2" s="21" customFormat="1" x14ac:dyDescent="0.25">
      <c r="A230" s="70">
        <v>1</v>
      </c>
      <c r="B230" s="63" t="s">
        <v>168</v>
      </c>
    </row>
    <row r="231" spans="1:2" s="21" customFormat="1" x14ac:dyDescent="0.25">
      <c r="A231" s="70">
        <v>1</v>
      </c>
      <c r="B231" s="63" t="s">
        <v>141</v>
      </c>
    </row>
    <row r="232" spans="1:2" s="21" customFormat="1" x14ac:dyDescent="0.25">
      <c r="A232" s="70">
        <v>1</v>
      </c>
      <c r="B232" s="63" t="s">
        <v>299</v>
      </c>
    </row>
    <row r="233" spans="1:2" s="21" customFormat="1" x14ac:dyDescent="0.25">
      <c r="A233" s="70">
        <v>1</v>
      </c>
      <c r="B233" s="63" t="s">
        <v>300</v>
      </c>
    </row>
    <row r="234" spans="1:2" s="21" customFormat="1" x14ac:dyDescent="0.25">
      <c r="A234" s="70">
        <v>1</v>
      </c>
      <c r="B234" s="63" t="s">
        <v>521</v>
      </c>
    </row>
    <row r="235" spans="1:2" s="21" customFormat="1" x14ac:dyDescent="0.25">
      <c r="A235" s="70">
        <v>0</v>
      </c>
      <c r="B235" s="63" t="s">
        <v>786</v>
      </c>
    </row>
    <row r="236" spans="1:2" s="21" customFormat="1" x14ac:dyDescent="0.25">
      <c r="A236" s="70">
        <v>0</v>
      </c>
      <c r="B236" s="63" t="s">
        <v>899</v>
      </c>
    </row>
    <row r="237" spans="1:2" s="21" customFormat="1" x14ac:dyDescent="0.25">
      <c r="A237" s="70">
        <v>1</v>
      </c>
      <c r="B237" s="63" t="s">
        <v>657</v>
      </c>
    </row>
    <row r="238" spans="1:2" s="21" customFormat="1" x14ac:dyDescent="0.25">
      <c r="A238" s="70">
        <v>0</v>
      </c>
      <c r="B238" s="63" t="s">
        <v>1057</v>
      </c>
    </row>
    <row r="239" spans="1:2" s="21" customFormat="1" x14ac:dyDescent="0.25">
      <c r="A239" s="70">
        <v>1</v>
      </c>
      <c r="B239" s="63" t="s">
        <v>1110</v>
      </c>
    </row>
    <row r="240" spans="1:2" s="21" customFormat="1" x14ac:dyDescent="0.25">
      <c r="A240" s="70">
        <v>1</v>
      </c>
      <c r="B240" s="63" t="s">
        <v>1169</v>
      </c>
    </row>
    <row r="241" spans="1:2" s="21" customFormat="1" x14ac:dyDescent="0.25">
      <c r="A241" s="70">
        <v>1</v>
      </c>
      <c r="B241" s="63" t="s">
        <v>425</v>
      </c>
    </row>
    <row r="242" spans="1:2" s="21" customFormat="1" x14ac:dyDescent="0.25">
      <c r="A242" s="70">
        <v>1</v>
      </c>
      <c r="B242" s="63" t="s">
        <v>3</v>
      </c>
    </row>
    <row r="243" spans="1:2" s="21" customFormat="1" x14ac:dyDescent="0.25">
      <c r="A243" s="70">
        <v>1</v>
      </c>
      <c r="B243" s="63" t="s">
        <v>827</v>
      </c>
    </row>
    <row r="244" spans="1:2" s="21" customFormat="1" x14ac:dyDescent="0.25">
      <c r="A244" s="70">
        <v>1</v>
      </c>
      <c r="B244" s="63" t="s">
        <v>5</v>
      </c>
    </row>
    <row r="245" spans="1:2" s="21" customFormat="1" x14ac:dyDescent="0.25">
      <c r="A245" s="70">
        <v>1</v>
      </c>
      <c r="B245" s="63" t="s">
        <v>1143</v>
      </c>
    </row>
    <row r="246" spans="1:2" s="21" customFormat="1" x14ac:dyDescent="0.25">
      <c r="A246" s="70">
        <v>1</v>
      </c>
      <c r="B246" s="63" t="s">
        <v>803</v>
      </c>
    </row>
    <row r="247" spans="1:2" s="21" customFormat="1" x14ac:dyDescent="0.25">
      <c r="A247" s="70">
        <v>1</v>
      </c>
      <c r="B247" s="63" t="s">
        <v>286</v>
      </c>
    </row>
    <row r="248" spans="1:2" s="21" customFormat="1" x14ac:dyDescent="0.25">
      <c r="A248" s="70">
        <v>1</v>
      </c>
      <c r="B248" s="63" t="s">
        <v>573</v>
      </c>
    </row>
    <row r="249" spans="1:2" s="21" customFormat="1" x14ac:dyDescent="0.25">
      <c r="A249" s="70">
        <v>1</v>
      </c>
      <c r="B249" s="63" t="s">
        <v>611</v>
      </c>
    </row>
    <row r="250" spans="1:2" s="21" customFormat="1" x14ac:dyDescent="0.25">
      <c r="A250" s="70">
        <v>1</v>
      </c>
      <c r="B250" s="63" t="s">
        <v>721</v>
      </c>
    </row>
    <row r="251" spans="1:2" s="21" customFormat="1" x14ac:dyDescent="0.25">
      <c r="A251" s="70">
        <v>1</v>
      </c>
      <c r="B251" s="66" t="s">
        <v>298</v>
      </c>
    </row>
    <row r="252" spans="1:2" s="21" customFormat="1" x14ac:dyDescent="0.25">
      <c r="A252" s="70">
        <v>0</v>
      </c>
      <c r="B252" s="66" t="s">
        <v>66</v>
      </c>
    </row>
    <row r="253" spans="1:2" s="21" customFormat="1" x14ac:dyDescent="0.25">
      <c r="A253" s="70">
        <v>1</v>
      </c>
      <c r="B253" s="66" t="s">
        <v>828</v>
      </c>
    </row>
    <row r="254" spans="1:2" s="21" customFormat="1" x14ac:dyDescent="0.25">
      <c r="A254" s="70">
        <v>1</v>
      </c>
      <c r="B254" s="1" t="s">
        <v>871</v>
      </c>
    </row>
    <row r="255" spans="1:2" s="21" customFormat="1" x14ac:dyDescent="0.25">
      <c r="A255" s="70">
        <v>1</v>
      </c>
      <c r="B255" s="63" t="s">
        <v>406</v>
      </c>
    </row>
    <row r="256" spans="1:2" s="21" customFormat="1" x14ac:dyDescent="0.25">
      <c r="A256" s="70">
        <v>1</v>
      </c>
      <c r="B256" s="63" t="s">
        <v>677</v>
      </c>
    </row>
    <row r="257" spans="1:2" s="21" customFormat="1" x14ac:dyDescent="0.25">
      <c r="A257" s="70">
        <v>1</v>
      </c>
      <c r="B257" s="63" t="s">
        <v>411</v>
      </c>
    </row>
    <row r="258" spans="1:2" s="21" customFormat="1" x14ac:dyDescent="0.25">
      <c r="A258" s="70">
        <v>1</v>
      </c>
      <c r="B258" s="63" t="s">
        <v>673</v>
      </c>
    </row>
    <row r="259" spans="1:2" s="21" customFormat="1" x14ac:dyDescent="0.25">
      <c r="A259" s="70">
        <v>1</v>
      </c>
      <c r="B259" s="66" t="s">
        <v>31</v>
      </c>
    </row>
    <row r="260" spans="1:2" s="21" customFormat="1" x14ac:dyDescent="0.25">
      <c r="A260" s="70">
        <v>1</v>
      </c>
      <c r="B260" s="63" t="s">
        <v>263</v>
      </c>
    </row>
    <row r="261" spans="1:2" s="21" customFormat="1" x14ac:dyDescent="0.25">
      <c r="A261" s="70">
        <v>1</v>
      </c>
      <c r="B261" s="63" t="s">
        <v>1058</v>
      </c>
    </row>
    <row r="262" spans="1:2" s="21" customFormat="1" x14ac:dyDescent="0.25">
      <c r="A262" s="70">
        <v>1</v>
      </c>
      <c r="B262" s="63" t="s">
        <v>661</v>
      </c>
    </row>
    <row r="263" spans="1:2" s="21" customFormat="1" x14ac:dyDescent="0.25">
      <c r="A263" s="70">
        <v>1</v>
      </c>
      <c r="B263" s="63" t="s">
        <v>101</v>
      </c>
    </row>
    <row r="264" spans="1:2" s="21" customFormat="1" x14ac:dyDescent="0.25">
      <c r="A264" s="70">
        <v>1</v>
      </c>
      <c r="B264" s="63" t="s">
        <v>102</v>
      </c>
    </row>
    <row r="265" spans="1:2" s="21" customFormat="1" x14ac:dyDescent="0.25">
      <c r="A265" s="70">
        <v>1</v>
      </c>
      <c r="B265" s="63" t="s">
        <v>513</v>
      </c>
    </row>
    <row r="266" spans="1:2" s="21" customFormat="1" x14ac:dyDescent="0.25">
      <c r="A266" s="70">
        <v>1</v>
      </c>
      <c r="B266" s="63" t="s">
        <v>676</v>
      </c>
    </row>
    <row r="267" spans="1:2" s="21" customFormat="1" x14ac:dyDescent="0.25">
      <c r="A267" s="70">
        <v>1</v>
      </c>
      <c r="B267" s="63" t="s">
        <v>103</v>
      </c>
    </row>
    <row r="268" spans="1:2" s="21" customFormat="1" ht="12.45" customHeight="1" x14ac:dyDescent="0.25">
      <c r="A268" s="70">
        <v>0</v>
      </c>
      <c r="B268" s="63" t="s">
        <v>664</v>
      </c>
    </row>
    <row r="269" spans="1:2" s="21" customFormat="1" x14ac:dyDescent="0.25">
      <c r="A269" s="70">
        <v>0</v>
      </c>
      <c r="B269" s="63" t="s">
        <v>60</v>
      </c>
    </row>
    <row r="270" spans="1:2" s="21" customFormat="1" x14ac:dyDescent="0.25">
      <c r="A270" s="70">
        <v>1</v>
      </c>
      <c r="B270" s="63" t="s">
        <v>1170</v>
      </c>
    </row>
    <row r="271" spans="1:2" s="21" customFormat="1" x14ac:dyDescent="0.25">
      <c r="A271" s="70">
        <v>0</v>
      </c>
      <c r="B271" s="63" t="s">
        <v>1142</v>
      </c>
    </row>
    <row r="272" spans="1:2" s="21" customFormat="1" x14ac:dyDescent="0.25">
      <c r="A272" s="70">
        <v>1</v>
      </c>
      <c r="B272" s="63" t="s">
        <v>895</v>
      </c>
    </row>
    <row r="273" spans="1:2" s="21" customFormat="1" x14ac:dyDescent="0.25">
      <c r="A273" s="70">
        <v>0</v>
      </c>
      <c r="B273" s="63" t="s">
        <v>922</v>
      </c>
    </row>
    <row r="274" spans="1:2" s="21" customFormat="1" x14ac:dyDescent="0.25">
      <c r="A274" s="70">
        <v>1</v>
      </c>
      <c r="B274" s="63" t="s">
        <v>523</v>
      </c>
    </row>
    <row r="275" spans="1:2" s="21" customFormat="1" x14ac:dyDescent="0.25">
      <c r="A275" s="70">
        <v>1</v>
      </c>
      <c r="B275" s="63" t="s">
        <v>698</v>
      </c>
    </row>
    <row r="276" spans="1:2" s="21" customFormat="1" x14ac:dyDescent="0.25">
      <c r="A276" s="70">
        <v>1</v>
      </c>
      <c r="B276" s="63" t="s">
        <v>812</v>
      </c>
    </row>
    <row r="277" spans="1:2" s="21" customFormat="1" x14ac:dyDescent="0.25">
      <c r="A277" s="70">
        <v>1</v>
      </c>
      <c r="B277" s="63" t="s">
        <v>811</v>
      </c>
    </row>
    <row r="278" spans="1:2" s="21" customFormat="1" x14ac:dyDescent="0.25">
      <c r="A278" s="70">
        <v>1</v>
      </c>
      <c r="B278" s="63" t="s">
        <v>806</v>
      </c>
    </row>
    <row r="279" spans="1:2" s="21" customFormat="1" x14ac:dyDescent="0.25">
      <c r="A279" s="70">
        <v>1</v>
      </c>
      <c r="B279" s="63" t="s">
        <v>229</v>
      </c>
    </row>
    <row r="280" spans="1:2" s="21" customFormat="1" x14ac:dyDescent="0.25">
      <c r="A280" s="70">
        <v>0</v>
      </c>
      <c r="B280" s="63" t="s">
        <v>924</v>
      </c>
    </row>
    <row r="281" spans="1:2" s="21" customFormat="1" x14ac:dyDescent="0.25">
      <c r="A281" s="70">
        <v>1</v>
      </c>
      <c r="B281" s="63" t="s">
        <v>768</v>
      </c>
    </row>
    <row r="282" spans="1:2" s="21" customFormat="1" ht="13.05" customHeight="1" x14ac:dyDescent="0.25">
      <c r="A282" s="70">
        <v>0</v>
      </c>
      <c r="B282" s="8" t="s">
        <v>703</v>
      </c>
    </row>
    <row r="283" spans="1:2" s="21" customFormat="1" x14ac:dyDescent="0.25">
      <c r="A283" s="70">
        <v>1</v>
      </c>
      <c r="B283" s="63" t="s">
        <v>595</v>
      </c>
    </row>
    <row r="284" spans="1:2" s="21" customFormat="1" x14ac:dyDescent="0.25">
      <c r="A284" s="70">
        <v>1</v>
      </c>
      <c r="B284" s="66" t="s">
        <v>663</v>
      </c>
    </row>
    <row r="285" spans="1:2" s="21" customFormat="1" x14ac:dyDescent="0.25">
      <c r="A285" s="70">
        <v>1</v>
      </c>
      <c r="B285" s="66" t="s">
        <v>34</v>
      </c>
    </row>
    <row r="286" spans="1:2" s="21" customFormat="1" x14ac:dyDescent="0.25">
      <c r="A286" s="70">
        <v>1</v>
      </c>
      <c r="B286" s="66" t="s">
        <v>1093</v>
      </c>
    </row>
    <row r="287" spans="1:2" s="21" customFormat="1" x14ac:dyDescent="0.25">
      <c r="A287" s="70">
        <v>1</v>
      </c>
      <c r="B287" s="63" t="s">
        <v>596</v>
      </c>
    </row>
    <row r="288" spans="1:2" s="21" customFormat="1" ht="13.05" customHeight="1" x14ac:dyDescent="0.25">
      <c r="A288" s="70">
        <v>0</v>
      </c>
      <c r="B288" s="4" t="s">
        <v>711</v>
      </c>
    </row>
    <row r="289" spans="1:3" s="21" customFormat="1" ht="13.05" customHeight="1" x14ac:dyDescent="0.25">
      <c r="A289" s="70">
        <v>0</v>
      </c>
      <c r="B289" s="4" t="s">
        <v>715</v>
      </c>
    </row>
    <row r="290" spans="1:3" s="21" customFormat="1" x14ac:dyDescent="0.25">
      <c r="A290" s="70">
        <v>1</v>
      </c>
      <c r="B290" s="66" t="s">
        <v>1101</v>
      </c>
    </row>
    <row r="291" spans="1:3" s="21" customFormat="1" x14ac:dyDescent="0.25">
      <c r="A291" s="70">
        <v>1</v>
      </c>
      <c r="B291" s="66" t="s">
        <v>1105</v>
      </c>
    </row>
    <row r="292" spans="1:3" s="21" customFormat="1" x14ac:dyDescent="0.25">
      <c r="C292" s="55"/>
    </row>
    <row r="293" spans="1:3" s="21" customFormat="1" x14ac:dyDescent="0.25"/>
    <row r="294" spans="1:3" s="21" customFormat="1" x14ac:dyDescent="0.25">
      <c r="B294" s="68"/>
      <c r="C294" s="36"/>
    </row>
    <row r="295" spans="1:3" s="21" customFormat="1" x14ac:dyDescent="0.25">
      <c r="B295" s="68"/>
      <c r="C295" s="36"/>
    </row>
    <row r="296" spans="1:3" s="21" customFormat="1" x14ac:dyDescent="0.25">
      <c r="B296" s="68"/>
      <c r="C296" s="36"/>
    </row>
    <row r="297" spans="1:3" s="21" customFormat="1" x14ac:dyDescent="0.25">
      <c r="B297" s="2"/>
      <c r="C297" s="36"/>
    </row>
    <row r="298" spans="1:3" s="21" customFormat="1" x14ac:dyDescent="0.25">
      <c r="B298" s="2"/>
      <c r="C298" s="36"/>
    </row>
    <row r="299" spans="1:3" s="21" customFormat="1" x14ac:dyDescent="0.25">
      <c r="B299" s="2"/>
      <c r="C299" s="36"/>
    </row>
    <row r="300" spans="1:3" s="21" customFormat="1" x14ac:dyDescent="0.25">
      <c r="B300" s="2"/>
      <c r="C300" s="36"/>
    </row>
    <row r="301" spans="1:3" s="21" customFormat="1" x14ac:dyDescent="0.25">
      <c r="B301" s="2"/>
      <c r="C301" s="36"/>
    </row>
    <row r="302" spans="1:3" s="21" customFormat="1" x14ac:dyDescent="0.25">
      <c r="B302" s="2"/>
      <c r="C302" s="36"/>
    </row>
    <row r="303" spans="1:3" s="21" customFormat="1" x14ac:dyDescent="0.25">
      <c r="B303" s="2"/>
      <c r="C303" s="36"/>
    </row>
    <row r="304" spans="1:3" s="21" customFormat="1" x14ac:dyDescent="0.25">
      <c r="B304" s="2"/>
      <c r="C304" s="36"/>
    </row>
    <row r="305" spans="2:3" s="21" customFormat="1" x14ac:dyDescent="0.25">
      <c r="B305" s="2"/>
      <c r="C305" s="36"/>
    </row>
    <row r="306" spans="2:3" s="21" customFormat="1" x14ac:dyDescent="0.25">
      <c r="B306" s="2"/>
      <c r="C306" s="36"/>
    </row>
    <row r="307" spans="2:3" s="21" customFormat="1" x14ac:dyDescent="0.25">
      <c r="B307" s="2"/>
      <c r="C307" s="36"/>
    </row>
    <row r="308" spans="2:3" s="21" customFormat="1" x14ac:dyDescent="0.25">
      <c r="B308" s="2"/>
      <c r="C308" s="36"/>
    </row>
    <row r="309" spans="2:3" s="21" customFormat="1" x14ac:dyDescent="0.25">
      <c r="B309" s="2"/>
      <c r="C309" s="36"/>
    </row>
    <row r="310" spans="2:3" s="21" customFormat="1" x14ac:dyDescent="0.25">
      <c r="B310" s="2"/>
      <c r="C310" s="36"/>
    </row>
    <row r="311" spans="2:3" s="21" customFormat="1" x14ac:dyDescent="0.25">
      <c r="B311" s="2"/>
      <c r="C311" s="36"/>
    </row>
    <row r="312" spans="2:3" s="21" customFormat="1" x14ac:dyDescent="0.25">
      <c r="B312" s="2"/>
      <c r="C312" s="70"/>
    </row>
    <row r="313" spans="2:3" s="21" customFormat="1" x14ac:dyDescent="0.25">
      <c r="B313" s="2"/>
      <c r="C313" s="70"/>
    </row>
    <row r="314" spans="2:3" s="21" customFormat="1" x14ac:dyDescent="0.25">
      <c r="B314" s="2"/>
      <c r="C314" s="70"/>
    </row>
    <row r="315" spans="2:3" s="21" customFormat="1" x14ac:dyDescent="0.25">
      <c r="B315" s="2"/>
      <c r="C315" s="70"/>
    </row>
    <row r="316" spans="2:3" s="21" customFormat="1" x14ac:dyDescent="0.25">
      <c r="B316" s="2"/>
      <c r="C316" s="70"/>
    </row>
    <row r="317" spans="2:3" s="21" customFormat="1" x14ac:dyDescent="0.25">
      <c r="B317" s="2"/>
      <c r="C317" s="70"/>
    </row>
    <row r="318" spans="2:3" s="21" customFormat="1" x14ac:dyDescent="0.25">
      <c r="B318" s="2"/>
      <c r="C318" s="70"/>
    </row>
    <row r="319" spans="2:3" s="21" customFormat="1" x14ac:dyDescent="0.25">
      <c r="B319" s="2"/>
      <c r="C319" s="70"/>
    </row>
    <row r="320" spans="2:3" s="21" customFormat="1" x14ac:dyDescent="0.25">
      <c r="B320" s="2"/>
      <c r="C320" s="70"/>
    </row>
    <row r="321" spans="2:3" x14ac:dyDescent="0.25">
      <c r="B321" s="2"/>
      <c r="C321" s="70"/>
    </row>
    <row r="322" spans="2:3" x14ac:dyDescent="0.25">
      <c r="C322" s="70"/>
    </row>
    <row r="323" spans="2:3" x14ac:dyDescent="0.25">
      <c r="C323" s="70"/>
    </row>
    <row r="324" spans="2:3" x14ac:dyDescent="0.25">
      <c r="C324" s="70"/>
    </row>
    <row r="325" spans="2:3" x14ac:dyDescent="0.25">
      <c r="C325" s="70"/>
    </row>
    <row r="326" spans="2:3" x14ac:dyDescent="0.25">
      <c r="C326" s="70"/>
    </row>
    <row r="327" spans="2:3" x14ac:dyDescent="0.25">
      <c r="C327" s="70"/>
    </row>
    <row r="328" spans="2:3" x14ac:dyDescent="0.25">
      <c r="C328" s="70"/>
    </row>
    <row r="329" spans="2:3" x14ac:dyDescent="0.25">
      <c r="C329" s="70"/>
    </row>
    <row r="330" spans="2:3" x14ac:dyDescent="0.25">
      <c r="C330" s="70"/>
    </row>
    <row r="331" spans="2:3" x14ac:dyDescent="0.25">
      <c r="C331" s="70"/>
    </row>
    <row r="332" spans="2:3" x14ac:dyDescent="0.25">
      <c r="C332" s="70"/>
    </row>
    <row r="333" spans="2:3" x14ac:dyDescent="0.25">
      <c r="C333" s="70"/>
    </row>
    <row r="334" spans="2:3" x14ac:dyDescent="0.25">
      <c r="C334" s="70"/>
    </row>
    <row r="335" spans="2:3" x14ac:dyDescent="0.25">
      <c r="C335" s="70"/>
    </row>
    <row r="336" spans="2:3" x14ac:dyDescent="0.25">
      <c r="C336" s="70"/>
    </row>
    <row r="337" spans="3:3" x14ac:dyDescent="0.25">
      <c r="C337" s="70"/>
    </row>
    <row r="338" spans="3:3" x14ac:dyDescent="0.25">
      <c r="C338" s="70"/>
    </row>
    <row r="339" spans="3:3" x14ac:dyDescent="0.25">
      <c r="C339" s="70"/>
    </row>
    <row r="340" spans="3:3" x14ac:dyDescent="0.25">
      <c r="C340" s="70"/>
    </row>
    <row r="341" spans="3:3" x14ac:dyDescent="0.25">
      <c r="C341" s="21"/>
    </row>
    <row r="342" spans="3:3" x14ac:dyDescent="0.25">
      <c r="C342" s="70"/>
    </row>
    <row r="343" spans="3:3" x14ac:dyDescent="0.25">
      <c r="C343" s="70"/>
    </row>
    <row r="344" spans="3:3" x14ac:dyDescent="0.25">
      <c r="C344" s="70"/>
    </row>
    <row r="345" spans="3:3" x14ac:dyDescent="0.25">
      <c r="C345" s="70"/>
    </row>
    <row r="346" spans="3:3" x14ac:dyDescent="0.25">
      <c r="C346" s="70"/>
    </row>
    <row r="347" spans="3:3" x14ac:dyDescent="0.25">
      <c r="C347" s="70"/>
    </row>
    <row r="348" spans="3:3" x14ac:dyDescent="0.25">
      <c r="C348" s="70"/>
    </row>
    <row r="349" spans="3:3" x14ac:dyDescent="0.25">
      <c r="C349" s="70"/>
    </row>
    <row r="350" spans="3:3" x14ac:dyDescent="0.25">
      <c r="C350" s="70"/>
    </row>
    <row r="351" spans="3:3" x14ac:dyDescent="0.25">
      <c r="C351" s="70"/>
    </row>
    <row r="352" spans="3:3" x14ac:dyDescent="0.25">
      <c r="C352" s="70"/>
    </row>
    <row r="353" spans="3:3" x14ac:dyDescent="0.25">
      <c r="C353" s="70"/>
    </row>
    <row r="354" spans="3:3" x14ac:dyDescent="0.25">
      <c r="C354" s="70"/>
    </row>
    <row r="355" spans="3:3" x14ac:dyDescent="0.25">
      <c r="C355" s="70"/>
    </row>
    <row r="356" spans="3:3" x14ac:dyDescent="0.25">
      <c r="C356" s="70"/>
    </row>
    <row r="357" spans="3:3" x14ac:dyDescent="0.25">
      <c r="C357" s="70"/>
    </row>
  </sheetData>
  <autoFilter ref="A1:B291" xr:uid="{15927114-9F2B-4FF1-B607-C80075B5A4F8}"/>
  <phoneticPr fontId="3" type="noConversion"/>
  <pageMargins left="0.75" right="0.75" top="1" bottom="1" header="0.5" footer="0.5"/>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B51B-FECA-466E-904C-482227CB6F63}">
  <dimension ref="A1:I18"/>
  <sheetViews>
    <sheetView workbookViewId="0">
      <pane ySplit="1" topLeftCell="A2" activePane="bottomLeft" state="frozen"/>
      <selection pane="bottomLeft" activeCell="E21" sqref="E21"/>
    </sheetView>
  </sheetViews>
  <sheetFormatPr defaultRowHeight="13.2" x14ac:dyDescent="0.25"/>
  <cols>
    <col min="1" max="1" width="3.77734375" customWidth="1"/>
    <col min="2" max="2" width="21.77734375" bestFit="1" customWidth="1"/>
    <col min="3" max="4" width="15.21875" customWidth="1"/>
    <col min="6" max="6" width="11.21875" customWidth="1"/>
    <col min="8" max="8" width="11" customWidth="1"/>
  </cols>
  <sheetData>
    <row r="1" spans="1:9" ht="39.6" x14ac:dyDescent="0.25">
      <c r="A1" s="22"/>
      <c r="B1" s="23" t="s">
        <v>843</v>
      </c>
      <c r="C1" s="23" t="s">
        <v>1161</v>
      </c>
      <c r="D1" s="23" t="s">
        <v>1160</v>
      </c>
      <c r="E1" s="23" t="s">
        <v>844</v>
      </c>
      <c r="F1" s="23" t="s">
        <v>189</v>
      </c>
      <c r="G1" s="23" t="s">
        <v>845</v>
      </c>
      <c r="H1" s="23" t="s">
        <v>1159</v>
      </c>
      <c r="I1" s="23" t="s">
        <v>846</v>
      </c>
    </row>
    <row r="2" spans="1:9" x14ac:dyDescent="0.25">
      <c r="A2" s="3">
        <v>1</v>
      </c>
      <c r="B2" s="28" t="s">
        <v>847</v>
      </c>
      <c r="C2" s="29"/>
      <c r="D2" s="29">
        <v>0</v>
      </c>
      <c r="E2" s="30">
        <v>500</v>
      </c>
      <c r="F2" s="30"/>
      <c r="G2" s="30">
        <v>8</v>
      </c>
      <c r="H2" s="30"/>
      <c r="I2" s="31">
        <v>0</v>
      </c>
    </row>
    <row r="3" spans="1:9" x14ac:dyDescent="0.25">
      <c r="A3" s="3">
        <v>2</v>
      </c>
      <c r="B3" s="32" t="s">
        <v>848</v>
      </c>
      <c r="C3" s="33">
        <v>0</v>
      </c>
      <c r="D3" s="33"/>
      <c r="E3" s="34">
        <v>2000</v>
      </c>
      <c r="F3" s="34">
        <f>AVERAGE(42,60)</f>
        <v>51</v>
      </c>
      <c r="G3" s="34"/>
      <c r="H3" s="34">
        <f>12+0</f>
        <v>12</v>
      </c>
      <c r="I3" s="35"/>
    </row>
    <row r="4" spans="1:9" x14ac:dyDescent="0.25">
      <c r="A4" s="3">
        <v>3</v>
      </c>
      <c r="B4" s="32" t="s">
        <v>849</v>
      </c>
      <c r="C4" s="33">
        <v>0</v>
      </c>
      <c r="D4" s="33">
        <v>0</v>
      </c>
      <c r="E4" s="34">
        <v>70</v>
      </c>
      <c r="F4" s="34">
        <v>17</v>
      </c>
      <c r="G4" s="34">
        <v>6</v>
      </c>
      <c r="H4" s="34">
        <v>1</v>
      </c>
      <c r="I4" s="35">
        <v>0</v>
      </c>
    </row>
    <row r="5" spans="1:9" x14ac:dyDescent="0.25">
      <c r="A5" s="3">
        <v>4</v>
      </c>
      <c r="B5" s="32" t="s">
        <v>850</v>
      </c>
      <c r="C5" s="33">
        <v>1</v>
      </c>
      <c r="D5" s="33"/>
      <c r="E5" s="34">
        <v>2500</v>
      </c>
      <c r="F5" s="34">
        <v>25</v>
      </c>
      <c r="G5" s="34"/>
      <c r="H5" s="34">
        <v>0</v>
      </c>
      <c r="I5" s="35"/>
    </row>
    <row r="6" spans="1:9" x14ac:dyDescent="0.25">
      <c r="A6" s="3">
        <v>5</v>
      </c>
      <c r="B6" s="32" t="s">
        <v>851</v>
      </c>
      <c r="C6" s="33">
        <v>0</v>
      </c>
      <c r="D6" s="33">
        <v>0</v>
      </c>
      <c r="E6" s="34">
        <v>2500</v>
      </c>
      <c r="F6" s="34">
        <v>25</v>
      </c>
      <c r="G6" s="34">
        <v>35</v>
      </c>
      <c r="H6" s="34">
        <f>13+8+0</f>
        <v>21</v>
      </c>
      <c r="I6" s="35">
        <f>3+1</f>
        <v>4</v>
      </c>
    </row>
    <row r="7" spans="1:9" x14ac:dyDescent="0.25">
      <c r="A7" s="3">
        <v>6</v>
      </c>
      <c r="B7" s="32" t="s">
        <v>852</v>
      </c>
      <c r="C7" s="33">
        <v>0</v>
      </c>
      <c r="D7" s="33">
        <v>0</v>
      </c>
      <c r="E7" s="34">
        <v>150</v>
      </c>
      <c r="F7" s="34">
        <v>12</v>
      </c>
      <c r="G7" s="34">
        <v>18</v>
      </c>
      <c r="H7" s="34">
        <v>8</v>
      </c>
      <c r="I7" s="35">
        <v>0</v>
      </c>
    </row>
    <row r="8" spans="1:9" x14ac:dyDescent="0.25">
      <c r="A8" s="3">
        <v>7</v>
      </c>
      <c r="B8" s="32" t="s">
        <v>853</v>
      </c>
      <c r="C8" s="33">
        <v>0</v>
      </c>
      <c r="D8" s="33"/>
      <c r="E8" s="34">
        <v>350</v>
      </c>
      <c r="F8" s="34">
        <v>120</v>
      </c>
      <c r="G8" s="34"/>
      <c r="H8" s="34">
        <v>45</v>
      </c>
      <c r="I8" s="35"/>
    </row>
    <row r="9" spans="1:9" x14ac:dyDescent="0.25">
      <c r="A9" s="3">
        <v>8</v>
      </c>
      <c r="B9" s="32" t="s">
        <v>854</v>
      </c>
      <c r="C9" s="33">
        <v>1</v>
      </c>
      <c r="D9" s="33">
        <v>1</v>
      </c>
      <c r="E9" s="34">
        <v>50</v>
      </c>
      <c r="F9" s="34">
        <v>34</v>
      </c>
      <c r="G9" s="34">
        <v>9</v>
      </c>
      <c r="H9" s="34">
        <v>1</v>
      </c>
      <c r="I9" s="35">
        <v>1</v>
      </c>
    </row>
    <row r="10" spans="1:9" x14ac:dyDescent="0.25">
      <c r="A10" s="3">
        <v>9</v>
      </c>
      <c r="B10" s="32" t="s">
        <v>855</v>
      </c>
      <c r="C10" s="33">
        <v>0</v>
      </c>
      <c r="D10" s="33">
        <v>0</v>
      </c>
      <c r="E10" s="34">
        <v>70</v>
      </c>
      <c r="F10" s="34">
        <v>9</v>
      </c>
      <c r="G10" s="34">
        <v>7</v>
      </c>
      <c r="H10" s="34">
        <v>1</v>
      </c>
      <c r="I10" s="35">
        <v>0</v>
      </c>
    </row>
    <row r="11" spans="1:9" x14ac:dyDescent="0.25">
      <c r="A11" s="3">
        <v>10</v>
      </c>
      <c r="B11" s="32" t="s">
        <v>856</v>
      </c>
      <c r="C11" s="33">
        <v>0</v>
      </c>
      <c r="D11" s="33"/>
      <c r="E11" s="34">
        <v>2500</v>
      </c>
      <c r="F11" s="34">
        <v>20</v>
      </c>
      <c r="G11" s="34"/>
      <c r="H11" s="34">
        <v>6</v>
      </c>
      <c r="I11" s="35"/>
    </row>
    <row r="12" spans="1:9" x14ac:dyDescent="0.25">
      <c r="A12" s="3">
        <v>11</v>
      </c>
      <c r="B12" s="32" t="s">
        <v>857</v>
      </c>
      <c r="C12" s="33">
        <v>1</v>
      </c>
      <c r="D12" s="33">
        <v>0</v>
      </c>
      <c r="E12" s="34">
        <v>40</v>
      </c>
      <c r="F12" s="34">
        <v>6</v>
      </c>
      <c r="G12" s="34">
        <v>39</v>
      </c>
      <c r="H12" s="34">
        <v>0</v>
      </c>
      <c r="I12" s="35">
        <v>0</v>
      </c>
    </row>
    <row r="13" spans="1:9" x14ac:dyDescent="0.25">
      <c r="A13" s="3">
        <v>12</v>
      </c>
      <c r="B13" s="32" t="s">
        <v>186</v>
      </c>
      <c r="C13" s="33">
        <v>1</v>
      </c>
      <c r="D13" s="33"/>
      <c r="E13" s="34">
        <v>100</v>
      </c>
      <c r="F13" s="34">
        <v>14</v>
      </c>
      <c r="G13" s="34"/>
      <c r="H13" s="34">
        <v>2</v>
      </c>
      <c r="I13" s="35"/>
    </row>
    <row r="14" spans="1:9" x14ac:dyDescent="0.25">
      <c r="A14" s="3">
        <v>13</v>
      </c>
      <c r="B14" s="32" t="s">
        <v>187</v>
      </c>
      <c r="C14" s="33">
        <v>0</v>
      </c>
      <c r="D14" s="33"/>
      <c r="E14" s="34">
        <v>522</v>
      </c>
      <c r="F14" s="34">
        <v>65</v>
      </c>
      <c r="G14" s="34"/>
      <c r="H14" s="34">
        <f>1+18</f>
        <v>19</v>
      </c>
      <c r="I14" s="35"/>
    </row>
    <row r="15" spans="1:9" x14ac:dyDescent="0.25">
      <c r="A15" s="22"/>
      <c r="B15" s="25" t="s">
        <v>188</v>
      </c>
      <c r="C15" s="25"/>
      <c r="D15" s="25"/>
      <c r="E15" s="26">
        <f>SUM(E2:E14)</f>
        <v>11352</v>
      </c>
      <c r="F15" s="26">
        <f>SUM(F2:F14)</f>
        <v>398</v>
      </c>
      <c r="G15" s="26">
        <f>SUM(G2:G14)</f>
        <v>122</v>
      </c>
      <c r="H15" s="26">
        <f>SUM(H2:H14)</f>
        <v>116</v>
      </c>
      <c r="I15" s="26">
        <f>SUM(I2:I14)</f>
        <v>5</v>
      </c>
    </row>
    <row r="17" spans="2:8" x14ac:dyDescent="0.25">
      <c r="B17" s="24" t="s">
        <v>453</v>
      </c>
    </row>
    <row r="18" spans="2:8" x14ac:dyDescent="0.25">
      <c r="H18" s="27"/>
    </row>
  </sheetData>
  <autoFilter ref="A1:I15" xr:uid="{4AAC82D0-DD65-4AE8-BC98-661050875849}"/>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8764-AB4B-4BA9-8CC5-0A53207AC2BA}">
  <dimension ref="A1:F46"/>
  <sheetViews>
    <sheetView workbookViewId="0">
      <pane xSplit="1" ySplit="1" topLeftCell="B26" activePane="bottomRight" state="frozen"/>
      <selection pane="topRight" activeCell="B1" sqref="B1"/>
      <selection pane="bottomLeft" activeCell="A2" sqref="A2"/>
      <selection pane="bottomRight" activeCell="I41" sqref="I41"/>
    </sheetView>
  </sheetViews>
  <sheetFormatPr defaultRowHeight="13.2" x14ac:dyDescent="0.25"/>
  <cols>
    <col min="2" max="2" width="14.21875" style="3" bestFit="1" customWidth="1"/>
    <col min="3" max="3" width="11.77734375" bestFit="1" customWidth="1"/>
    <col min="5" max="5" width="15" bestFit="1" customWidth="1"/>
    <col min="6" max="6" width="12.44140625" bestFit="1" customWidth="1"/>
  </cols>
  <sheetData>
    <row r="1" spans="2:6" x14ac:dyDescent="0.25">
      <c r="B1" s="49" t="s">
        <v>1118</v>
      </c>
      <c r="C1" s="49" t="s">
        <v>415</v>
      </c>
      <c r="D1" s="9"/>
      <c r="E1" s="49" t="s">
        <v>416</v>
      </c>
      <c r="F1" s="49" t="s">
        <v>417</v>
      </c>
    </row>
    <row r="2" spans="2:6" x14ac:dyDescent="0.25">
      <c r="B2" s="3">
        <v>0</v>
      </c>
      <c r="C2">
        <v>0.12</v>
      </c>
      <c r="E2">
        <v>0.21</v>
      </c>
      <c r="F2">
        <v>0.28999999999999998</v>
      </c>
    </row>
    <row r="3" spans="2:6" x14ac:dyDescent="0.25">
      <c r="B3" s="3">
        <v>0</v>
      </c>
      <c r="C3">
        <v>0</v>
      </c>
      <c r="D3" s="10"/>
      <c r="E3">
        <v>0.16</v>
      </c>
      <c r="F3">
        <v>0.13</v>
      </c>
    </row>
    <row r="4" spans="2:6" x14ac:dyDescent="0.25">
      <c r="B4" s="3">
        <v>0</v>
      </c>
      <c r="C4">
        <v>0</v>
      </c>
      <c r="E4">
        <v>0.26</v>
      </c>
      <c r="F4">
        <v>0.25</v>
      </c>
    </row>
    <row r="5" spans="2:6" x14ac:dyDescent="0.25">
      <c r="B5" s="3">
        <v>0</v>
      </c>
      <c r="C5">
        <v>0</v>
      </c>
      <c r="E5">
        <v>0.11</v>
      </c>
      <c r="F5">
        <v>0.18</v>
      </c>
    </row>
    <row r="6" spans="2:6" x14ac:dyDescent="0.25">
      <c r="B6" s="3">
        <v>0</v>
      </c>
      <c r="C6">
        <v>0</v>
      </c>
      <c r="E6">
        <v>0.11</v>
      </c>
      <c r="F6">
        <v>0.18</v>
      </c>
    </row>
    <row r="7" spans="2:6" x14ac:dyDescent="0.25">
      <c r="B7" s="3">
        <v>0</v>
      </c>
      <c r="C7">
        <v>0</v>
      </c>
      <c r="E7">
        <v>0.05</v>
      </c>
      <c r="F7">
        <v>0.24</v>
      </c>
    </row>
    <row r="8" spans="2:6" x14ac:dyDescent="0.25">
      <c r="B8" s="3">
        <v>0</v>
      </c>
      <c r="C8">
        <v>0.06</v>
      </c>
      <c r="E8">
        <v>0.05</v>
      </c>
      <c r="F8">
        <v>0.28999999999999998</v>
      </c>
    </row>
    <row r="9" spans="2:6" x14ac:dyDescent="0.25">
      <c r="B9" s="3">
        <v>0</v>
      </c>
      <c r="C9">
        <v>0</v>
      </c>
      <c r="E9">
        <v>0.11</v>
      </c>
      <c r="F9">
        <v>0.06</v>
      </c>
    </row>
    <row r="10" spans="2:6" x14ac:dyDescent="0.25">
      <c r="B10" s="3">
        <v>0</v>
      </c>
      <c r="C10">
        <v>0</v>
      </c>
      <c r="E10">
        <v>0.12</v>
      </c>
      <c r="F10">
        <v>0.24</v>
      </c>
    </row>
    <row r="11" spans="2:6" x14ac:dyDescent="0.25">
      <c r="B11" s="3">
        <v>0</v>
      </c>
      <c r="C11">
        <v>0</v>
      </c>
      <c r="E11">
        <v>0</v>
      </c>
      <c r="F11">
        <v>0.18</v>
      </c>
    </row>
    <row r="12" spans="2:6" x14ac:dyDescent="0.25">
      <c r="B12" s="3">
        <v>0</v>
      </c>
      <c r="C12">
        <v>0</v>
      </c>
      <c r="E12">
        <v>7.0000000000000007E-2</v>
      </c>
      <c r="F12">
        <v>0.06</v>
      </c>
    </row>
    <row r="13" spans="2:6" x14ac:dyDescent="0.25">
      <c r="B13" s="3">
        <v>0.05</v>
      </c>
      <c r="C13">
        <v>0</v>
      </c>
      <c r="E13">
        <v>0.11</v>
      </c>
      <c r="F13">
        <v>0.2</v>
      </c>
    </row>
    <row r="14" spans="2:6" x14ac:dyDescent="0.25">
      <c r="B14" s="3">
        <v>0</v>
      </c>
      <c r="C14">
        <v>0</v>
      </c>
      <c r="E14">
        <v>0</v>
      </c>
      <c r="F14">
        <v>0</v>
      </c>
    </row>
    <row r="15" spans="2:6" x14ac:dyDescent="0.25">
      <c r="B15" s="3">
        <v>0.05</v>
      </c>
      <c r="C15">
        <v>0</v>
      </c>
      <c r="E15">
        <v>0</v>
      </c>
    </row>
    <row r="16" spans="2:6" x14ac:dyDescent="0.25">
      <c r="B16" s="3">
        <v>0</v>
      </c>
      <c r="C16">
        <v>0</v>
      </c>
      <c r="E16">
        <v>0</v>
      </c>
    </row>
    <row r="17" spans="2:6" x14ac:dyDescent="0.25">
      <c r="B17" s="3">
        <v>0.05</v>
      </c>
      <c r="C17">
        <v>0.13</v>
      </c>
      <c r="E17">
        <v>0</v>
      </c>
    </row>
    <row r="18" spans="2:6" x14ac:dyDescent="0.25">
      <c r="B18" s="3">
        <v>0.1</v>
      </c>
      <c r="C18">
        <v>0.08</v>
      </c>
      <c r="E18">
        <v>0</v>
      </c>
    </row>
    <row r="19" spans="2:6" x14ac:dyDescent="0.25">
      <c r="B19" s="3">
        <v>0</v>
      </c>
      <c r="C19">
        <v>0.22</v>
      </c>
      <c r="E19">
        <v>0</v>
      </c>
    </row>
    <row r="20" spans="2:6" x14ac:dyDescent="0.25">
      <c r="B20" s="3">
        <v>0</v>
      </c>
      <c r="C20">
        <v>0.25</v>
      </c>
      <c r="E20">
        <v>0</v>
      </c>
    </row>
    <row r="21" spans="2:6" x14ac:dyDescent="0.25">
      <c r="B21" s="3">
        <v>0</v>
      </c>
      <c r="C21">
        <v>0</v>
      </c>
      <c r="E21">
        <v>7.0000000000000007E-2</v>
      </c>
      <c r="F21">
        <v>0</v>
      </c>
    </row>
    <row r="22" spans="2:6" x14ac:dyDescent="0.25">
      <c r="B22" s="3">
        <v>0</v>
      </c>
      <c r="C22">
        <v>0</v>
      </c>
      <c r="E22">
        <v>0.05</v>
      </c>
      <c r="F22">
        <v>7.0000000000000007E-2</v>
      </c>
    </row>
    <row r="23" spans="2:6" x14ac:dyDescent="0.25">
      <c r="B23" s="3">
        <v>0</v>
      </c>
      <c r="C23">
        <v>0</v>
      </c>
      <c r="E23">
        <v>0.11</v>
      </c>
      <c r="F23">
        <v>7.0000000000000007E-2</v>
      </c>
    </row>
    <row r="24" spans="2:6" x14ac:dyDescent="0.25">
      <c r="B24" s="3">
        <v>0</v>
      </c>
      <c r="C24">
        <v>0</v>
      </c>
      <c r="E24">
        <v>0.06</v>
      </c>
      <c r="F24">
        <v>0.08</v>
      </c>
    </row>
    <row r="25" spans="2:6" x14ac:dyDescent="0.25">
      <c r="B25" s="3">
        <v>0.05</v>
      </c>
      <c r="C25">
        <v>0</v>
      </c>
      <c r="E25">
        <v>0.06</v>
      </c>
      <c r="F25">
        <v>0</v>
      </c>
    </row>
    <row r="26" spans="2:6" x14ac:dyDescent="0.25">
      <c r="B26" s="3">
        <v>0</v>
      </c>
      <c r="C26">
        <v>0</v>
      </c>
      <c r="E26">
        <v>7.0000000000000007E-2</v>
      </c>
      <c r="F26">
        <v>0.04</v>
      </c>
    </row>
    <row r="27" spans="2:6" x14ac:dyDescent="0.25">
      <c r="B27" s="3">
        <v>0</v>
      </c>
      <c r="C27">
        <v>0</v>
      </c>
      <c r="E27">
        <v>0.08</v>
      </c>
      <c r="F27">
        <v>0</v>
      </c>
    </row>
    <row r="28" spans="2:6" x14ac:dyDescent="0.25">
      <c r="B28" s="3">
        <v>0</v>
      </c>
      <c r="C28">
        <v>0</v>
      </c>
      <c r="E28">
        <v>0.17</v>
      </c>
      <c r="F28">
        <v>0</v>
      </c>
    </row>
    <row r="29" spans="2:6" x14ac:dyDescent="0.25">
      <c r="B29" s="3">
        <v>0.05</v>
      </c>
      <c r="C29">
        <v>0.06</v>
      </c>
      <c r="E29">
        <v>0</v>
      </c>
      <c r="F29">
        <v>0.04</v>
      </c>
    </row>
    <row r="30" spans="2:6" x14ac:dyDescent="0.25">
      <c r="B30" s="3">
        <v>0.05</v>
      </c>
      <c r="C30">
        <v>0</v>
      </c>
      <c r="E30">
        <v>0.1</v>
      </c>
      <c r="F30">
        <v>0.15</v>
      </c>
    </row>
    <row r="31" spans="2:6" x14ac:dyDescent="0.25">
      <c r="B31" s="3">
        <v>0</v>
      </c>
      <c r="C31">
        <v>0</v>
      </c>
      <c r="E31">
        <v>0.13</v>
      </c>
      <c r="F31">
        <v>0.09</v>
      </c>
    </row>
    <row r="32" spans="2:6" x14ac:dyDescent="0.25">
      <c r="B32" s="3">
        <v>0</v>
      </c>
      <c r="C32">
        <v>0</v>
      </c>
      <c r="E32">
        <v>0.51</v>
      </c>
      <c r="F32">
        <v>0</v>
      </c>
    </row>
    <row r="33" spans="1:6" x14ac:dyDescent="0.25">
      <c r="B33" s="3">
        <v>0.11</v>
      </c>
      <c r="C33">
        <v>0</v>
      </c>
    </row>
    <row r="34" spans="1:6" x14ac:dyDescent="0.25">
      <c r="B34" s="3">
        <v>0</v>
      </c>
      <c r="C34">
        <v>0</v>
      </c>
    </row>
    <row r="35" spans="1:6" x14ac:dyDescent="0.25">
      <c r="B35" s="3">
        <v>0</v>
      </c>
      <c r="C35">
        <v>0</v>
      </c>
    </row>
    <row r="36" spans="1:6" x14ac:dyDescent="0.25">
      <c r="B36" s="3">
        <v>0</v>
      </c>
      <c r="C36">
        <v>0</v>
      </c>
    </row>
    <row r="37" spans="1:6" x14ac:dyDescent="0.25">
      <c r="B37" s="3">
        <v>0</v>
      </c>
      <c r="C37">
        <v>0</v>
      </c>
    </row>
    <row r="38" spans="1:6" x14ac:dyDescent="0.25">
      <c r="B38" s="3">
        <v>0.05</v>
      </c>
      <c r="C38">
        <v>0</v>
      </c>
    </row>
    <row r="39" spans="1:6" x14ac:dyDescent="0.25">
      <c r="B39" s="3">
        <v>0.05</v>
      </c>
      <c r="C39">
        <v>0</v>
      </c>
    </row>
    <row r="40" spans="1:6" x14ac:dyDescent="0.25">
      <c r="B40" s="3">
        <v>0</v>
      </c>
      <c r="C40">
        <v>0</v>
      </c>
    </row>
    <row r="41" spans="1:6" x14ac:dyDescent="0.25">
      <c r="B41" s="3">
        <v>0</v>
      </c>
      <c r="C41">
        <v>0</v>
      </c>
    </row>
    <row r="43" spans="1:6" x14ac:dyDescent="0.25">
      <c r="A43" s="3" t="s">
        <v>696</v>
      </c>
      <c r="B43" s="40">
        <f>AVERAGE(B2:B41)</f>
        <v>1.5250000000000003E-2</v>
      </c>
      <c r="C43" s="40">
        <f>AVERAGE(C2:C41)</f>
        <v>2.3E-2</v>
      </c>
      <c r="D43" s="40"/>
      <c r="E43" s="40">
        <f>AVERAGE(E2:E41)</f>
        <v>8.9354838709677434E-2</v>
      </c>
      <c r="F43" s="40">
        <f>AVERAGE(F2:F41)</f>
        <v>0.11359999999999999</v>
      </c>
    </row>
    <row r="44" spans="1:6" x14ac:dyDescent="0.25">
      <c r="A44" s="3" t="s">
        <v>418</v>
      </c>
      <c r="B44" s="44">
        <f>STDEV(B2:B41)</f>
        <v>2.8999336862444609E-2</v>
      </c>
      <c r="C44" s="44">
        <f>STDEV(C2:C41)</f>
        <v>5.8756341719917282E-2</v>
      </c>
      <c r="D44" s="44"/>
      <c r="E44" s="44">
        <f>STDEV(E2:E41)</f>
        <v>0.10269487114330385</v>
      </c>
      <c r="F44" s="44">
        <f>STDEV(F2:F41)</f>
        <v>9.886354231970447E-2</v>
      </c>
    </row>
    <row r="45" spans="1:6" x14ac:dyDescent="0.25">
      <c r="A45" s="3" t="s">
        <v>419</v>
      </c>
      <c r="B45" s="3">
        <f>COUNT(B2:B41)</f>
        <v>40</v>
      </c>
      <c r="C45" s="3">
        <f>COUNT(C2:C41)</f>
        <v>40</v>
      </c>
      <c r="D45" s="3"/>
      <c r="E45" s="3">
        <f>COUNT(E2:E41)</f>
        <v>31</v>
      </c>
      <c r="F45" s="3">
        <f>COUNT(F2:F41)</f>
        <v>25</v>
      </c>
    </row>
    <row r="46" spans="1:6" x14ac:dyDescent="0.25">
      <c r="A46" s="3"/>
      <c r="C46" s="3"/>
      <c r="D46" s="3"/>
      <c r="E46" s="3"/>
      <c r="F46" s="3"/>
    </row>
  </sheetData>
  <autoFilter ref="B1:F1" xr:uid="{3646C8E7-40A6-4DC9-8427-0A5047ADBFD5}"/>
  <phoneticPr fontId="3" type="noConversion"/>
  <pageMargins left="0.75" right="0.75" top="1" bottom="1" header="0.5" footer="0.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E94F-0023-4899-A0F1-6C867509549F}">
  <dimension ref="A1:J106"/>
  <sheetViews>
    <sheetView workbookViewId="0">
      <pane ySplit="1" topLeftCell="A2" activePane="bottomLeft" state="frozen"/>
      <selection pane="bottomLeft" activeCell="F9" sqref="F9"/>
    </sheetView>
  </sheetViews>
  <sheetFormatPr defaultRowHeight="13.2" x14ac:dyDescent="0.25"/>
  <cols>
    <col min="1" max="1" width="9.77734375" bestFit="1" customWidth="1"/>
    <col min="2" max="2" width="21.77734375" bestFit="1" customWidth="1"/>
    <col min="3" max="3" width="19.21875" bestFit="1" customWidth="1"/>
  </cols>
  <sheetData>
    <row r="1" spans="1:10" s="9" customFormat="1" x14ac:dyDescent="0.25">
      <c r="A1" s="49" t="s">
        <v>297</v>
      </c>
      <c r="B1" s="49" t="s">
        <v>692</v>
      </c>
      <c r="C1" s="49" t="s">
        <v>693</v>
      </c>
    </row>
    <row r="2" spans="1:10" x14ac:dyDescent="0.25">
      <c r="A2">
        <v>5348</v>
      </c>
      <c r="B2" s="3">
        <v>0</v>
      </c>
      <c r="C2" s="3">
        <v>0</v>
      </c>
      <c r="D2" s="3"/>
      <c r="E2" s="3"/>
      <c r="F2" s="3" t="s">
        <v>695</v>
      </c>
      <c r="G2" s="3" t="s">
        <v>694</v>
      </c>
      <c r="H2" s="3"/>
      <c r="I2" s="3"/>
    </row>
    <row r="3" spans="1:10" x14ac:dyDescent="0.25">
      <c r="A3">
        <v>5348</v>
      </c>
      <c r="B3" s="3">
        <v>0</v>
      </c>
      <c r="C3" s="3">
        <v>1</v>
      </c>
      <c r="D3" s="3"/>
      <c r="E3" s="3"/>
      <c r="F3" s="3">
        <v>0</v>
      </c>
      <c r="G3" s="3">
        <v>1</v>
      </c>
      <c r="H3" s="3"/>
      <c r="I3" s="3"/>
      <c r="J3" s="3"/>
    </row>
    <row r="4" spans="1:10" x14ac:dyDescent="0.25">
      <c r="A4">
        <v>5348</v>
      </c>
      <c r="B4" s="3">
        <v>0</v>
      </c>
      <c r="C4" s="3">
        <v>0</v>
      </c>
      <c r="D4" s="3"/>
      <c r="E4" s="3"/>
      <c r="F4" s="3">
        <v>0</v>
      </c>
      <c r="G4" s="3">
        <v>1</v>
      </c>
      <c r="H4" s="3"/>
      <c r="I4" s="3"/>
      <c r="J4" s="3"/>
    </row>
    <row r="5" spans="1:10" x14ac:dyDescent="0.25">
      <c r="A5">
        <v>5348</v>
      </c>
      <c r="B5" s="3">
        <v>0</v>
      </c>
      <c r="C5" s="3">
        <v>0</v>
      </c>
      <c r="D5" s="3"/>
      <c r="E5" s="3"/>
      <c r="F5" s="3">
        <v>0</v>
      </c>
      <c r="G5" s="3">
        <v>1</v>
      </c>
      <c r="H5" s="3"/>
      <c r="I5" s="3"/>
      <c r="J5" s="3"/>
    </row>
    <row r="6" spans="1:10" x14ac:dyDescent="0.25">
      <c r="A6">
        <v>5348</v>
      </c>
      <c r="B6" s="3">
        <v>0</v>
      </c>
      <c r="C6" s="3">
        <v>0</v>
      </c>
      <c r="D6" s="3"/>
      <c r="E6" s="3"/>
      <c r="F6" s="3">
        <v>0</v>
      </c>
      <c r="G6" s="3">
        <v>1</v>
      </c>
      <c r="H6" s="3"/>
      <c r="I6" s="3"/>
      <c r="J6" s="3"/>
    </row>
    <row r="7" spans="1:10" x14ac:dyDescent="0.25">
      <c r="A7">
        <v>5348</v>
      </c>
      <c r="B7" s="3">
        <v>0</v>
      </c>
      <c r="C7" s="3">
        <v>0</v>
      </c>
      <c r="D7" s="3"/>
      <c r="E7" s="3"/>
      <c r="F7" s="3">
        <v>0</v>
      </c>
      <c r="G7" s="3">
        <v>3</v>
      </c>
      <c r="H7" s="3"/>
      <c r="I7" s="3"/>
      <c r="J7" s="3"/>
    </row>
    <row r="8" spans="1:10" x14ac:dyDescent="0.25">
      <c r="A8">
        <v>5348</v>
      </c>
      <c r="B8" s="3">
        <v>0</v>
      </c>
      <c r="C8" s="3">
        <v>0</v>
      </c>
      <c r="D8" s="3"/>
      <c r="E8" s="3"/>
      <c r="F8" s="3">
        <v>0</v>
      </c>
      <c r="G8" s="3">
        <v>2</v>
      </c>
      <c r="H8" s="3"/>
      <c r="I8" s="3"/>
      <c r="J8" s="3"/>
    </row>
    <row r="9" spans="1:10" x14ac:dyDescent="0.25">
      <c r="A9">
        <v>5348</v>
      </c>
      <c r="B9" s="3">
        <v>0</v>
      </c>
      <c r="C9" s="3">
        <v>0</v>
      </c>
      <c r="D9" s="3"/>
      <c r="E9" s="3"/>
      <c r="F9" s="3">
        <v>0</v>
      </c>
      <c r="G9" s="3">
        <v>1</v>
      </c>
      <c r="H9" s="3"/>
      <c r="I9" s="3"/>
      <c r="J9" s="3"/>
    </row>
    <row r="10" spans="1:10" x14ac:dyDescent="0.25">
      <c r="A10">
        <v>5348</v>
      </c>
      <c r="B10" s="3">
        <v>0</v>
      </c>
      <c r="C10" s="3">
        <v>0</v>
      </c>
      <c r="D10" s="3"/>
      <c r="E10" s="3"/>
      <c r="F10" s="3">
        <v>0</v>
      </c>
      <c r="G10" s="3">
        <v>1</v>
      </c>
      <c r="H10" s="3"/>
      <c r="I10" s="3"/>
      <c r="J10" s="3"/>
    </row>
    <row r="11" spans="1:10" x14ac:dyDescent="0.25">
      <c r="A11">
        <v>5348</v>
      </c>
      <c r="B11" s="3">
        <v>0</v>
      </c>
      <c r="C11" s="3">
        <v>1</v>
      </c>
      <c r="D11" s="3"/>
      <c r="E11" s="3"/>
      <c r="F11" s="3">
        <v>0</v>
      </c>
      <c r="G11" s="3">
        <v>1</v>
      </c>
      <c r="H11" s="3"/>
      <c r="I11" s="3"/>
      <c r="J11" s="3"/>
    </row>
    <row r="12" spans="1:10" x14ac:dyDescent="0.25">
      <c r="A12">
        <v>5348</v>
      </c>
      <c r="B12" s="3">
        <v>0</v>
      </c>
      <c r="C12" s="3">
        <v>0</v>
      </c>
      <c r="D12" s="3"/>
      <c r="E12" s="3"/>
      <c r="F12" s="3">
        <v>0</v>
      </c>
      <c r="G12" s="3">
        <v>1</v>
      </c>
      <c r="H12" s="3"/>
      <c r="I12" s="3"/>
      <c r="J12" s="3"/>
    </row>
    <row r="13" spans="1:10" x14ac:dyDescent="0.25">
      <c r="A13">
        <v>5348</v>
      </c>
      <c r="B13" s="3">
        <v>0</v>
      </c>
      <c r="C13" s="3">
        <v>0</v>
      </c>
      <c r="D13" s="3"/>
      <c r="E13" s="3"/>
      <c r="F13" s="3"/>
      <c r="G13" s="3"/>
      <c r="H13" s="3"/>
      <c r="I13" s="3"/>
      <c r="J13" s="3"/>
    </row>
    <row r="14" spans="1:10" x14ac:dyDescent="0.25">
      <c r="A14">
        <v>5348</v>
      </c>
      <c r="B14" s="3">
        <v>0</v>
      </c>
      <c r="C14" s="3">
        <v>0</v>
      </c>
      <c r="D14" s="3"/>
      <c r="E14" s="3" t="s">
        <v>696</v>
      </c>
      <c r="F14" s="44">
        <f>AVERAGE(F3:F12)</f>
        <v>0</v>
      </c>
      <c r="G14" s="44">
        <f>AVERAGE(G3:G12)</f>
        <v>1.3</v>
      </c>
      <c r="H14" s="3"/>
      <c r="I14" s="3"/>
    </row>
    <row r="15" spans="1:10" x14ac:dyDescent="0.25">
      <c r="A15">
        <v>5348</v>
      </c>
      <c r="B15" s="3">
        <v>0</v>
      </c>
      <c r="C15" s="3">
        <v>0</v>
      </c>
      <c r="D15" s="3"/>
      <c r="E15" s="3" t="s">
        <v>418</v>
      </c>
      <c r="F15" s="44">
        <f>STDEV(F3:F12)</f>
        <v>0</v>
      </c>
      <c r="G15" s="44">
        <f>STDEV(G3:G12)</f>
        <v>0.67494855771055307</v>
      </c>
      <c r="H15" s="3"/>
      <c r="I15" s="3"/>
    </row>
    <row r="16" spans="1:10" x14ac:dyDescent="0.25">
      <c r="A16">
        <v>5348</v>
      </c>
      <c r="B16" s="3">
        <v>0</v>
      </c>
      <c r="C16" s="3">
        <v>0</v>
      </c>
      <c r="D16" s="3"/>
      <c r="E16" s="3" t="s">
        <v>419</v>
      </c>
      <c r="F16" s="3">
        <f>COUNT(F3:F12)</f>
        <v>10</v>
      </c>
      <c r="G16" s="3">
        <f>COUNT(G3:G12)</f>
        <v>10</v>
      </c>
      <c r="H16" s="3"/>
      <c r="I16" s="3"/>
    </row>
    <row r="17" spans="1:9" x14ac:dyDescent="0.25">
      <c r="A17">
        <v>5162</v>
      </c>
      <c r="B17" s="3">
        <v>0</v>
      </c>
      <c r="C17" s="3">
        <v>1</v>
      </c>
      <c r="D17" s="3"/>
      <c r="E17" s="3"/>
      <c r="F17" s="3"/>
      <c r="G17" s="3"/>
      <c r="H17" s="3"/>
      <c r="I17" s="3"/>
    </row>
    <row r="18" spans="1:9" x14ac:dyDescent="0.25">
      <c r="A18">
        <v>5162</v>
      </c>
      <c r="B18" s="3">
        <v>0</v>
      </c>
      <c r="C18" s="3">
        <v>0</v>
      </c>
      <c r="D18" s="3"/>
      <c r="E18" s="3"/>
      <c r="F18" s="3"/>
      <c r="G18" s="3"/>
      <c r="H18" s="3"/>
      <c r="I18" s="3"/>
    </row>
    <row r="19" spans="1:9" x14ac:dyDescent="0.25">
      <c r="A19">
        <v>5162</v>
      </c>
      <c r="B19" s="3">
        <v>0</v>
      </c>
      <c r="C19" s="3">
        <v>0</v>
      </c>
      <c r="D19" s="3"/>
      <c r="E19" s="3"/>
      <c r="F19" s="3"/>
      <c r="G19" s="3"/>
      <c r="H19" s="3"/>
      <c r="I19" s="3"/>
    </row>
    <row r="20" spans="1:9" x14ac:dyDescent="0.25">
      <c r="A20">
        <v>5162</v>
      </c>
      <c r="B20" s="3">
        <v>0</v>
      </c>
      <c r="C20" s="3">
        <v>1</v>
      </c>
      <c r="D20" s="3"/>
      <c r="E20" s="3"/>
      <c r="F20" s="3"/>
      <c r="G20" s="3"/>
      <c r="H20" s="3"/>
      <c r="I20" s="3"/>
    </row>
    <row r="21" spans="1:9" x14ac:dyDescent="0.25">
      <c r="A21">
        <v>5162</v>
      </c>
      <c r="B21" s="3">
        <v>0</v>
      </c>
      <c r="C21" s="3">
        <v>0</v>
      </c>
      <c r="D21" s="3"/>
      <c r="E21" s="3"/>
      <c r="F21" s="3"/>
      <c r="G21" s="3"/>
      <c r="H21" s="3"/>
      <c r="I21" s="3"/>
    </row>
    <row r="22" spans="1:9" x14ac:dyDescent="0.25">
      <c r="A22">
        <v>5162</v>
      </c>
      <c r="B22" s="3">
        <v>0</v>
      </c>
      <c r="C22" s="3">
        <v>0</v>
      </c>
      <c r="D22" s="3"/>
      <c r="E22" s="3"/>
      <c r="F22" s="3"/>
      <c r="G22" s="3"/>
      <c r="H22" s="3"/>
      <c r="I22" s="3"/>
    </row>
    <row r="23" spans="1:9" x14ac:dyDescent="0.25">
      <c r="A23">
        <v>5162</v>
      </c>
      <c r="B23" s="3">
        <v>0</v>
      </c>
      <c r="C23" s="3">
        <v>0</v>
      </c>
      <c r="D23" s="3"/>
      <c r="E23" s="3"/>
      <c r="F23" s="3"/>
      <c r="G23" s="3"/>
      <c r="H23" s="3"/>
      <c r="I23" s="3"/>
    </row>
    <row r="24" spans="1:9" x14ac:dyDescent="0.25">
      <c r="A24">
        <v>5162</v>
      </c>
      <c r="B24" s="3">
        <v>0</v>
      </c>
      <c r="C24" s="3">
        <v>0</v>
      </c>
      <c r="D24" s="3"/>
      <c r="E24" s="3"/>
      <c r="F24" s="3"/>
      <c r="G24" s="3"/>
      <c r="H24" s="3"/>
      <c r="I24" s="3"/>
    </row>
    <row r="25" spans="1:9" x14ac:dyDescent="0.25">
      <c r="A25">
        <v>5162</v>
      </c>
      <c r="B25" s="3">
        <v>0</v>
      </c>
      <c r="C25" s="3">
        <v>0</v>
      </c>
      <c r="D25" s="3"/>
      <c r="E25" s="3"/>
      <c r="F25" s="3"/>
      <c r="G25" s="3"/>
      <c r="H25" s="3"/>
      <c r="I25" s="3"/>
    </row>
    <row r="26" spans="1:9" x14ac:dyDescent="0.25">
      <c r="A26">
        <v>5162</v>
      </c>
      <c r="B26" s="3">
        <v>0</v>
      </c>
      <c r="C26" s="3">
        <v>0</v>
      </c>
      <c r="D26" s="3"/>
      <c r="E26" s="3"/>
      <c r="F26" s="3"/>
      <c r="G26" s="3"/>
      <c r="H26" s="3"/>
      <c r="I26" s="3"/>
    </row>
    <row r="27" spans="1:9" x14ac:dyDescent="0.25">
      <c r="A27">
        <v>5162</v>
      </c>
      <c r="B27" s="3">
        <v>0</v>
      </c>
      <c r="C27" s="3">
        <v>0</v>
      </c>
      <c r="D27" s="3"/>
      <c r="E27" s="3"/>
      <c r="F27" s="3"/>
      <c r="G27" s="3"/>
      <c r="H27" s="3"/>
      <c r="I27" s="3"/>
    </row>
    <row r="28" spans="1:9" x14ac:dyDescent="0.25">
      <c r="A28">
        <v>5162</v>
      </c>
      <c r="B28" s="3">
        <v>0</v>
      </c>
      <c r="C28" s="3">
        <v>0</v>
      </c>
      <c r="D28" s="3"/>
      <c r="E28" s="3"/>
      <c r="F28" s="3"/>
      <c r="G28" s="3"/>
      <c r="H28" s="3"/>
      <c r="I28" s="3"/>
    </row>
    <row r="29" spans="1:9" x14ac:dyDescent="0.25">
      <c r="A29">
        <v>5162</v>
      </c>
      <c r="B29" s="3">
        <v>0</v>
      </c>
      <c r="C29" s="3">
        <v>0</v>
      </c>
      <c r="D29" s="3"/>
      <c r="E29" s="3"/>
      <c r="F29" s="3"/>
      <c r="G29" s="3"/>
      <c r="H29" s="3"/>
      <c r="I29" s="3"/>
    </row>
    <row r="30" spans="1:9" x14ac:dyDescent="0.25">
      <c r="A30">
        <v>5162</v>
      </c>
      <c r="B30" s="3">
        <v>0</v>
      </c>
      <c r="C30" s="3">
        <v>0</v>
      </c>
      <c r="D30" s="3"/>
      <c r="E30" s="3"/>
      <c r="F30" s="3"/>
      <c r="G30" s="3"/>
      <c r="H30" s="3"/>
      <c r="I30" s="3"/>
    </row>
    <row r="31" spans="1:9" x14ac:dyDescent="0.25">
      <c r="A31">
        <v>5037</v>
      </c>
      <c r="B31" s="3">
        <v>0</v>
      </c>
      <c r="C31" s="3">
        <v>3</v>
      </c>
      <c r="D31" s="3"/>
      <c r="E31" s="3"/>
      <c r="F31" s="3"/>
      <c r="G31" s="3"/>
      <c r="H31" s="3"/>
      <c r="I31" s="3"/>
    </row>
    <row r="32" spans="1:9" x14ac:dyDescent="0.25">
      <c r="A32">
        <v>5037</v>
      </c>
      <c r="B32" s="3">
        <v>0</v>
      </c>
      <c r="C32" s="3">
        <v>0</v>
      </c>
      <c r="D32" s="3"/>
      <c r="E32" s="3"/>
      <c r="F32" s="3"/>
      <c r="G32" s="3"/>
      <c r="H32" s="3"/>
      <c r="I32" s="3"/>
    </row>
    <row r="33" spans="1:9" x14ac:dyDescent="0.25">
      <c r="A33">
        <v>5037</v>
      </c>
      <c r="B33" s="3">
        <v>0</v>
      </c>
      <c r="C33" s="3">
        <v>0</v>
      </c>
      <c r="D33" s="3"/>
      <c r="E33" s="3"/>
      <c r="F33" s="3"/>
      <c r="G33" s="3"/>
      <c r="H33" s="3"/>
      <c r="I33" s="3"/>
    </row>
    <row r="34" spans="1:9" x14ac:dyDescent="0.25">
      <c r="A34">
        <v>5037</v>
      </c>
      <c r="B34" s="3">
        <v>0</v>
      </c>
      <c r="C34" s="3">
        <v>0</v>
      </c>
      <c r="D34" s="3"/>
      <c r="E34" s="3"/>
      <c r="F34" s="3"/>
      <c r="G34" s="3"/>
      <c r="H34" s="3"/>
      <c r="I34" s="3"/>
    </row>
    <row r="35" spans="1:9" x14ac:dyDescent="0.25">
      <c r="A35">
        <v>5037</v>
      </c>
      <c r="B35" s="3">
        <v>0</v>
      </c>
      <c r="C35" s="3">
        <v>0</v>
      </c>
      <c r="D35" s="3"/>
      <c r="E35" s="3"/>
      <c r="F35" s="3"/>
      <c r="G35" s="3"/>
      <c r="H35" s="3"/>
      <c r="I35" s="3"/>
    </row>
    <row r="36" spans="1:9" x14ac:dyDescent="0.25">
      <c r="A36">
        <v>5037</v>
      </c>
      <c r="B36" s="3">
        <v>0</v>
      </c>
      <c r="C36" s="3">
        <v>0</v>
      </c>
      <c r="D36" s="3"/>
      <c r="E36" s="3"/>
      <c r="F36" s="3"/>
      <c r="G36" s="3"/>
      <c r="H36" s="3"/>
      <c r="I36" s="3"/>
    </row>
    <row r="37" spans="1:9" x14ac:dyDescent="0.25">
      <c r="A37">
        <v>5037</v>
      </c>
      <c r="B37" s="3">
        <v>0</v>
      </c>
      <c r="C37" s="3">
        <v>0</v>
      </c>
      <c r="D37" s="3"/>
      <c r="E37" s="3"/>
      <c r="F37" s="3"/>
      <c r="G37" s="3"/>
      <c r="H37" s="3"/>
      <c r="I37" s="3"/>
    </row>
    <row r="38" spans="1:9" x14ac:dyDescent="0.25">
      <c r="A38">
        <v>5037</v>
      </c>
      <c r="B38" s="3">
        <v>0</v>
      </c>
      <c r="C38" s="3">
        <v>0</v>
      </c>
      <c r="D38" s="3"/>
      <c r="E38" s="3"/>
      <c r="F38" s="3"/>
      <c r="G38" s="3"/>
      <c r="H38" s="3"/>
      <c r="I38" s="3"/>
    </row>
    <row r="39" spans="1:9" x14ac:dyDescent="0.25">
      <c r="A39">
        <v>5037</v>
      </c>
      <c r="B39" s="3">
        <v>0</v>
      </c>
      <c r="C39" s="3">
        <v>0</v>
      </c>
      <c r="D39" s="3"/>
      <c r="E39" s="3"/>
      <c r="F39" s="3"/>
      <c r="G39" s="3"/>
      <c r="H39" s="3"/>
      <c r="I39" s="3"/>
    </row>
    <row r="40" spans="1:9" x14ac:dyDescent="0.25">
      <c r="A40">
        <v>5037</v>
      </c>
      <c r="B40" s="3">
        <v>0</v>
      </c>
      <c r="C40" s="3">
        <v>0</v>
      </c>
      <c r="D40" s="3"/>
      <c r="E40" s="3"/>
      <c r="F40" s="3"/>
      <c r="G40" s="3"/>
      <c r="H40" s="3"/>
      <c r="I40" s="3"/>
    </row>
    <row r="41" spans="1:9" x14ac:dyDescent="0.25">
      <c r="A41">
        <v>5037</v>
      </c>
      <c r="B41" s="3">
        <v>0</v>
      </c>
      <c r="C41" s="3">
        <v>0</v>
      </c>
      <c r="D41" s="3"/>
      <c r="E41" s="3"/>
      <c r="F41" s="3"/>
      <c r="G41" s="3"/>
      <c r="H41" s="3"/>
      <c r="I41" s="3"/>
    </row>
    <row r="42" spans="1:9" x14ac:dyDescent="0.25">
      <c r="A42">
        <v>5037</v>
      </c>
      <c r="B42" s="3">
        <v>0</v>
      </c>
      <c r="C42" s="3">
        <v>0</v>
      </c>
      <c r="D42" s="3"/>
      <c r="E42" s="3"/>
      <c r="F42" s="3"/>
      <c r="G42" s="3"/>
      <c r="H42" s="3"/>
      <c r="I42" s="3"/>
    </row>
    <row r="43" spans="1:9" x14ac:dyDescent="0.25">
      <c r="A43">
        <v>5037</v>
      </c>
      <c r="B43" s="3">
        <v>0</v>
      </c>
      <c r="C43" s="3">
        <v>0</v>
      </c>
      <c r="D43" s="3"/>
      <c r="E43" s="3"/>
      <c r="F43" s="3"/>
      <c r="G43" s="3"/>
      <c r="H43" s="3"/>
      <c r="I43" s="3"/>
    </row>
    <row r="44" spans="1:9" x14ac:dyDescent="0.25">
      <c r="A44">
        <v>5037</v>
      </c>
      <c r="B44" s="3">
        <v>0</v>
      </c>
      <c r="C44" s="3">
        <v>0</v>
      </c>
      <c r="D44" s="3"/>
      <c r="E44" s="3"/>
      <c r="F44" s="3"/>
      <c r="G44" s="3"/>
      <c r="H44" s="3"/>
      <c r="I44" s="3"/>
    </row>
    <row r="45" spans="1:9" x14ac:dyDescent="0.25">
      <c r="A45">
        <v>5366</v>
      </c>
      <c r="B45" s="3">
        <v>0</v>
      </c>
      <c r="C45" s="3">
        <v>2</v>
      </c>
      <c r="D45" s="3"/>
      <c r="E45" s="3"/>
      <c r="F45" s="3"/>
      <c r="G45" s="3"/>
      <c r="H45" s="3"/>
      <c r="I45" s="3"/>
    </row>
    <row r="46" spans="1:9" x14ac:dyDescent="0.25">
      <c r="A46">
        <v>5366</v>
      </c>
      <c r="B46" s="3">
        <v>0</v>
      </c>
      <c r="C46" s="3">
        <v>1</v>
      </c>
      <c r="D46" s="3"/>
      <c r="E46" s="3"/>
      <c r="F46" s="3"/>
      <c r="G46" s="3"/>
      <c r="H46" s="3"/>
      <c r="I46" s="3"/>
    </row>
    <row r="47" spans="1:9" x14ac:dyDescent="0.25">
      <c r="A47">
        <v>5366</v>
      </c>
      <c r="B47" s="3">
        <v>0</v>
      </c>
      <c r="C47" s="3">
        <v>0</v>
      </c>
      <c r="D47" s="3"/>
      <c r="E47" s="3"/>
      <c r="F47" s="3"/>
      <c r="G47" s="3"/>
      <c r="H47" s="3"/>
      <c r="I47" s="3"/>
    </row>
    <row r="48" spans="1:9" x14ac:dyDescent="0.25">
      <c r="A48">
        <v>5366</v>
      </c>
      <c r="B48" s="3">
        <v>0</v>
      </c>
      <c r="C48" s="3">
        <v>0</v>
      </c>
      <c r="D48" s="3"/>
      <c r="E48" s="3"/>
      <c r="F48" s="3"/>
      <c r="G48" s="3"/>
      <c r="H48" s="3"/>
      <c r="I48" s="3"/>
    </row>
    <row r="49" spans="1:9" x14ac:dyDescent="0.25">
      <c r="A49">
        <v>5366</v>
      </c>
      <c r="B49" s="3">
        <v>0</v>
      </c>
      <c r="C49" s="3">
        <v>0</v>
      </c>
      <c r="D49" s="3"/>
      <c r="E49" s="3"/>
      <c r="F49" s="3"/>
      <c r="G49" s="3"/>
      <c r="H49" s="3"/>
      <c r="I49" s="3"/>
    </row>
    <row r="50" spans="1:9" x14ac:dyDescent="0.25">
      <c r="A50">
        <v>5366</v>
      </c>
      <c r="B50" s="3">
        <v>0</v>
      </c>
      <c r="C50" s="3">
        <v>0</v>
      </c>
      <c r="D50" s="3"/>
      <c r="E50" s="3"/>
      <c r="F50" s="3"/>
      <c r="G50" s="3"/>
      <c r="H50" s="3"/>
      <c r="I50" s="3"/>
    </row>
    <row r="51" spans="1:9" x14ac:dyDescent="0.25">
      <c r="A51">
        <v>5366</v>
      </c>
      <c r="B51" s="3">
        <v>0</v>
      </c>
      <c r="C51" s="3">
        <v>0</v>
      </c>
      <c r="D51" s="3"/>
      <c r="E51" s="3"/>
      <c r="F51" s="3"/>
      <c r="G51" s="3"/>
      <c r="H51" s="3"/>
      <c r="I51" s="3"/>
    </row>
    <row r="52" spans="1:9" x14ac:dyDescent="0.25">
      <c r="A52">
        <v>5366</v>
      </c>
      <c r="B52" s="3">
        <v>0</v>
      </c>
      <c r="C52" s="3">
        <v>0</v>
      </c>
      <c r="D52" s="3"/>
      <c r="E52" s="3"/>
      <c r="F52" s="3"/>
      <c r="G52" s="3"/>
      <c r="H52" s="3"/>
      <c r="I52" s="3"/>
    </row>
    <row r="53" spans="1:9" x14ac:dyDescent="0.25">
      <c r="A53">
        <v>5366</v>
      </c>
      <c r="B53" s="3">
        <v>0</v>
      </c>
      <c r="C53" s="3">
        <v>0</v>
      </c>
      <c r="D53" s="3"/>
      <c r="E53" s="3"/>
      <c r="F53" s="3"/>
      <c r="G53" s="3"/>
      <c r="H53" s="3"/>
      <c r="I53" s="3"/>
    </row>
    <row r="54" spans="1:9" x14ac:dyDescent="0.25">
      <c r="A54">
        <v>5366</v>
      </c>
      <c r="B54" s="3">
        <v>0</v>
      </c>
      <c r="C54" s="3">
        <v>0</v>
      </c>
      <c r="D54" s="3"/>
      <c r="E54" s="3"/>
      <c r="F54" s="3"/>
      <c r="G54" s="3"/>
      <c r="H54" s="3"/>
      <c r="I54" s="3"/>
    </row>
    <row r="55" spans="1:9" x14ac:dyDescent="0.25">
      <c r="A55">
        <v>5366</v>
      </c>
      <c r="B55" s="3">
        <v>0</v>
      </c>
      <c r="C55" s="3">
        <v>0</v>
      </c>
      <c r="D55" s="3"/>
      <c r="E55" s="3"/>
      <c r="F55" s="3"/>
      <c r="G55" s="3"/>
      <c r="H55" s="3"/>
      <c r="I55" s="3"/>
    </row>
    <row r="56" spans="1:9" x14ac:dyDescent="0.25">
      <c r="A56">
        <v>5366</v>
      </c>
      <c r="B56" s="3">
        <v>0</v>
      </c>
      <c r="C56" s="3">
        <v>0</v>
      </c>
      <c r="D56" s="3"/>
      <c r="E56" s="3"/>
      <c r="F56" s="3"/>
      <c r="G56" s="3"/>
      <c r="H56" s="3"/>
      <c r="I56" s="3"/>
    </row>
    <row r="57" spans="1:9" x14ac:dyDescent="0.25">
      <c r="A57">
        <v>5366</v>
      </c>
      <c r="B57" s="3">
        <v>0</v>
      </c>
      <c r="C57" s="3">
        <v>0</v>
      </c>
      <c r="D57" s="3"/>
      <c r="E57" s="3"/>
      <c r="F57" s="3"/>
      <c r="G57" s="3"/>
      <c r="H57" s="3"/>
      <c r="I57" s="3"/>
    </row>
    <row r="58" spans="1:9" x14ac:dyDescent="0.25">
      <c r="A58">
        <v>5366</v>
      </c>
      <c r="B58" s="3">
        <v>0</v>
      </c>
      <c r="C58" s="3">
        <v>0</v>
      </c>
      <c r="D58" s="3"/>
      <c r="E58" s="3"/>
      <c r="F58" s="3"/>
      <c r="G58" s="3"/>
      <c r="H58" s="3"/>
      <c r="I58" s="3"/>
    </row>
    <row r="59" spans="1:9" x14ac:dyDescent="0.25">
      <c r="A59">
        <v>5157</v>
      </c>
      <c r="B59" s="3">
        <v>0</v>
      </c>
      <c r="C59" s="3">
        <v>1</v>
      </c>
      <c r="D59" s="3"/>
      <c r="E59" s="3"/>
      <c r="F59" s="3"/>
      <c r="G59" s="3"/>
      <c r="H59" s="3"/>
      <c r="I59" s="3"/>
    </row>
    <row r="60" spans="1:9" x14ac:dyDescent="0.25">
      <c r="A60">
        <v>5157</v>
      </c>
      <c r="B60" s="3">
        <v>0</v>
      </c>
      <c r="C60" s="3">
        <v>1</v>
      </c>
      <c r="D60" s="3"/>
      <c r="E60" s="3"/>
      <c r="F60" s="3"/>
      <c r="G60" s="3"/>
      <c r="H60" s="3"/>
      <c r="I60" s="3"/>
    </row>
    <row r="61" spans="1:9" x14ac:dyDescent="0.25">
      <c r="A61">
        <v>5157</v>
      </c>
      <c r="B61" s="3">
        <v>0</v>
      </c>
      <c r="C61" s="3">
        <v>0</v>
      </c>
      <c r="D61" s="3"/>
      <c r="E61" s="3"/>
      <c r="F61" s="3"/>
      <c r="G61" s="3"/>
      <c r="H61" s="3"/>
      <c r="I61" s="3"/>
    </row>
    <row r="62" spans="1:9" x14ac:dyDescent="0.25">
      <c r="A62">
        <v>5157</v>
      </c>
      <c r="B62" s="3">
        <v>0</v>
      </c>
      <c r="C62" s="3">
        <v>0</v>
      </c>
      <c r="D62" s="3"/>
      <c r="E62" s="3"/>
      <c r="F62" s="3"/>
      <c r="G62" s="3"/>
      <c r="H62" s="3"/>
      <c r="I62" s="3"/>
    </row>
    <row r="63" spans="1:9" x14ac:dyDescent="0.25">
      <c r="A63">
        <v>5157</v>
      </c>
      <c r="B63" s="3">
        <v>0</v>
      </c>
      <c r="C63" s="3">
        <v>0</v>
      </c>
      <c r="D63" s="3"/>
      <c r="E63" s="3"/>
      <c r="F63" s="3"/>
      <c r="G63" s="3"/>
      <c r="H63" s="3"/>
      <c r="I63" s="3"/>
    </row>
    <row r="64" spans="1:9" x14ac:dyDescent="0.25">
      <c r="A64">
        <v>5157</v>
      </c>
      <c r="B64" s="3">
        <v>0</v>
      </c>
      <c r="C64" s="3">
        <v>0</v>
      </c>
      <c r="D64" s="3"/>
      <c r="E64" s="3"/>
      <c r="F64" s="3"/>
      <c r="G64" s="3"/>
      <c r="H64" s="3"/>
      <c r="I64" s="3"/>
    </row>
    <row r="65" spans="1:9" x14ac:dyDescent="0.25">
      <c r="A65">
        <v>5157</v>
      </c>
      <c r="B65" s="3">
        <v>0</v>
      </c>
      <c r="C65" s="3">
        <v>1</v>
      </c>
      <c r="D65" s="3"/>
      <c r="E65" s="3"/>
      <c r="F65" s="3"/>
      <c r="G65" s="3"/>
      <c r="H65" s="3"/>
      <c r="I65" s="3"/>
    </row>
    <row r="66" spans="1:9" x14ac:dyDescent="0.25">
      <c r="A66">
        <v>5157</v>
      </c>
      <c r="B66" s="3">
        <v>0</v>
      </c>
      <c r="C66" s="3">
        <v>0</v>
      </c>
      <c r="D66" s="3"/>
      <c r="E66" s="3"/>
      <c r="F66" s="3"/>
      <c r="G66" s="3"/>
      <c r="H66" s="3"/>
      <c r="I66" s="3"/>
    </row>
    <row r="67" spans="1:9" x14ac:dyDescent="0.25">
      <c r="A67">
        <v>5157</v>
      </c>
      <c r="B67" s="3">
        <v>0</v>
      </c>
      <c r="C67" s="3">
        <v>0</v>
      </c>
      <c r="D67" s="3"/>
      <c r="E67" s="3"/>
      <c r="F67" s="3"/>
      <c r="G67" s="3"/>
      <c r="H67" s="3"/>
      <c r="I67" s="3"/>
    </row>
    <row r="68" spans="1:9" x14ac:dyDescent="0.25">
      <c r="A68">
        <v>5157</v>
      </c>
      <c r="B68" s="3">
        <v>0</v>
      </c>
      <c r="C68" s="3">
        <v>0</v>
      </c>
      <c r="D68" s="3"/>
      <c r="E68" s="3"/>
      <c r="F68" s="3"/>
      <c r="G68" s="3"/>
      <c r="H68" s="3"/>
      <c r="I68" s="3"/>
    </row>
    <row r="69" spans="1:9" x14ac:dyDescent="0.25">
      <c r="A69">
        <v>5157</v>
      </c>
      <c r="B69" s="3">
        <v>0</v>
      </c>
      <c r="C69" s="3">
        <v>0</v>
      </c>
      <c r="D69" s="3"/>
      <c r="E69" s="3"/>
      <c r="F69" s="3"/>
      <c r="G69" s="3"/>
      <c r="H69" s="3"/>
      <c r="I69" s="3"/>
    </row>
    <row r="70" spans="1:9" x14ac:dyDescent="0.25">
      <c r="A70">
        <v>5157</v>
      </c>
      <c r="B70" s="3">
        <v>0</v>
      </c>
      <c r="C70" s="3">
        <v>0</v>
      </c>
      <c r="D70" s="3"/>
      <c r="E70" s="3"/>
      <c r="F70" s="3"/>
      <c r="G70" s="3"/>
      <c r="H70" s="3"/>
      <c r="I70" s="3"/>
    </row>
    <row r="71" spans="1:9" x14ac:dyDescent="0.25">
      <c r="A71">
        <v>5157</v>
      </c>
      <c r="B71" s="3">
        <v>0</v>
      </c>
      <c r="C71" s="3">
        <v>0</v>
      </c>
      <c r="D71" s="3"/>
      <c r="E71" s="3"/>
      <c r="F71" s="3"/>
      <c r="G71" s="3"/>
      <c r="H71" s="3"/>
      <c r="I71" s="3"/>
    </row>
    <row r="72" spans="1:9" x14ac:dyDescent="0.25">
      <c r="A72">
        <v>5157</v>
      </c>
      <c r="B72" s="3">
        <v>0</v>
      </c>
      <c r="C72" s="3">
        <v>0</v>
      </c>
      <c r="D72" s="3"/>
      <c r="E72" s="3"/>
      <c r="F72" s="3"/>
      <c r="G72" s="3"/>
      <c r="H72" s="3"/>
      <c r="I72" s="3"/>
    </row>
    <row r="73" spans="1:9" x14ac:dyDescent="0.25">
      <c r="B73" s="3"/>
      <c r="C73" s="3"/>
      <c r="D73" s="3"/>
      <c r="E73" s="3"/>
      <c r="F73" s="3"/>
      <c r="G73" s="3"/>
      <c r="H73" s="3"/>
      <c r="I73" s="3"/>
    </row>
    <row r="74" spans="1:9" x14ac:dyDescent="0.25">
      <c r="B74" s="3"/>
      <c r="C74" s="3"/>
      <c r="D74" s="3"/>
      <c r="E74" s="3"/>
      <c r="F74" s="3"/>
      <c r="G74" s="3"/>
      <c r="H74" s="3"/>
      <c r="I74" s="3"/>
    </row>
    <row r="75" spans="1:9" x14ac:dyDescent="0.25">
      <c r="B75" s="3"/>
      <c r="C75" s="3"/>
      <c r="D75" s="3"/>
      <c r="E75" s="3"/>
      <c r="F75" s="3"/>
      <c r="G75" s="3"/>
      <c r="H75" s="3"/>
      <c r="I75" s="3"/>
    </row>
    <row r="76" spans="1:9" x14ac:dyDescent="0.25">
      <c r="B76" s="3"/>
      <c r="C76" s="3"/>
      <c r="D76" s="3"/>
      <c r="E76" s="3"/>
      <c r="F76" s="3"/>
      <c r="G76" s="3"/>
      <c r="H76" s="3"/>
      <c r="I76" s="3"/>
    </row>
    <row r="77" spans="1:9" x14ac:dyDescent="0.25">
      <c r="B77" s="3"/>
      <c r="C77" s="3"/>
      <c r="D77" s="3"/>
      <c r="E77" s="3"/>
      <c r="F77" s="3"/>
      <c r="G77" s="3"/>
      <c r="H77" s="3"/>
      <c r="I77" s="3"/>
    </row>
    <row r="78" spans="1:9" x14ac:dyDescent="0.25">
      <c r="B78" s="3"/>
      <c r="C78" s="3"/>
      <c r="D78" s="3"/>
      <c r="E78" s="3"/>
      <c r="F78" s="3"/>
      <c r="G78" s="3"/>
      <c r="H78" s="3"/>
      <c r="I78" s="3"/>
    </row>
    <row r="79" spans="1:9" x14ac:dyDescent="0.25">
      <c r="B79" s="3"/>
      <c r="C79" s="3"/>
      <c r="D79" s="3"/>
      <c r="E79" s="3"/>
      <c r="F79" s="3"/>
      <c r="G79" s="3"/>
      <c r="H79" s="3"/>
      <c r="I79" s="3"/>
    </row>
    <row r="80" spans="1:9" x14ac:dyDescent="0.25">
      <c r="B80" s="3"/>
      <c r="C80" s="3"/>
      <c r="D80" s="3"/>
      <c r="E80" s="3"/>
      <c r="F80" s="3"/>
      <c r="G80" s="3"/>
      <c r="H80" s="3"/>
      <c r="I80" s="3"/>
    </row>
    <row r="81" spans="2:9" x14ac:dyDescent="0.25">
      <c r="B81" s="3"/>
      <c r="C81" s="3"/>
      <c r="D81" s="3"/>
      <c r="E81" s="3"/>
      <c r="F81" s="3"/>
      <c r="G81" s="3"/>
      <c r="H81" s="3"/>
      <c r="I81" s="3"/>
    </row>
    <row r="82" spans="2:9" x14ac:dyDescent="0.25">
      <c r="B82" s="3"/>
      <c r="C82" s="3"/>
      <c r="D82" s="3"/>
      <c r="E82" s="3"/>
      <c r="F82" s="3"/>
      <c r="G82" s="3"/>
      <c r="H82" s="3"/>
      <c r="I82" s="3"/>
    </row>
    <row r="83" spans="2:9" x14ac:dyDescent="0.25">
      <c r="B83" s="3"/>
      <c r="C83" s="3"/>
      <c r="D83" s="3"/>
      <c r="E83" s="3"/>
      <c r="F83" s="3"/>
      <c r="G83" s="3"/>
      <c r="H83" s="3"/>
      <c r="I83" s="3"/>
    </row>
    <row r="84" spans="2:9" x14ac:dyDescent="0.25">
      <c r="B84" s="3"/>
      <c r="C84" s="3"/>
      <c r="D84" s="3"/>
      <c r="E84" s="3"/>
      <c r="F84" s="3"/>
      <c r="G84" s="3"/>
      <c r="H84" s="3"/>
      <c r="I84" s="3"/>
    </row>
    <row r="85" spans="2:9" x14ac:dyDescent="0.25">
      <c r="B85" s="3"/>
      <c r="C85" s="3"/>
      <c r="D85" s="3"/>
      <c r="E85" s="3"/>
      <c r="F85" s="3"/>
      <c r="G85" s="3"/>
      <c r="H85" s="3"/>
      <c r="I85" s="3"/>
    </row>
    <row r="86" spans="2:9" x14ac:dyDescent="0.25">
      <c r="B86" s="3"/>
      <c r="C86" s="3"/>
      <c r="D86" s="3"/>
      <c r="E86" s="3"/>
      <c r="F86" s="3"/>
      <c r="G86" s="3"/>
      <c r="H86" s="3"/>
      <c r="I86" s="3"/>
    </row>
    <row r="87" spans="2:9" x14ac:dyDescent="0.25">
      <c r="B87" s="3"/>
      <c r="C87" s="3"/>
      <c r="D87" s="3"/>
      <c r="E87" s="3"/>
      <c r="F87" s="3"/>
      <c r="G87" s="3"/>
      <c r="H87" s="3"/>
      <c r="I87" s="3"/>
    </row>
    <row r="88" spans="2:9" x14ac:dyDescent="0.25">
      <c r="B88" s="3"/>
      <c r="C88" s="3"/>
      <c r="D88" s="3"/>
      <c r="E88" s="3"/>
      <c r="F88" s="3"/>
      <c r="G88" s="3"/>
      <c r="H88" s="3"/>
      <c r="I88" s="3"/>
    </row>
    <row r="89" spans="2:9" x14ac:dyDescent="0.25">
      <c r="B89" s="3"/>
      <c r="C89" s="3"/>
      <c r="D89" s="3"/>
      <c r="E89" s="3"/>
      <c r="F89" s="3"/>
      <c r="G89" s="3"/>
      <c r="H89" s="3"/>
      <c r="I89" s="3"/>
    </row>
    <row r="90" spans="2:9" x14ac:dyDescent="0.25">
      <c r="B90" s="3"/>
      <c r="C90" s="3"/>
      <c r="D90" s="3"/>
      <c r="E90" s="3"/>
      <c r="F90" s="3"/>
      <c r="G90" s="3"/>
      <c r="H90" s="3"/>
      <c r="I90" s="3"/>
    </row>
    <row r="91" spans="2:9" x14ac:dyDescent="0.25">
      <c r="B91" s="3"/>
      <c r="C91" s="3"/>
      <c r="D91" s="3"/>
      <c r="E91" s="3"/>
      <c r="F91" s="3"/>
      <c r="G91" s="3"/>
      <c r="H91" s="3"/>
      <c r="I91" s="3"/>
    </row>
    <row r="92" spans="2:9" x14ac:dyDescent="0.25">
      <c r="B92" s="3"/>
      <c r="C92" s="3"/>
      <c r="D92" s="3"/>
      <c r="E92" s="3"/>
      <c r="F92" s="3"/>
      <c r="G92" s="3"/>
      <c r="H92" s="3"/>
      <c r="I92" s="3"/>
    </row>
    <row r="93" spans="2:9" x14ac:dyDescent="0.25">
      <c r="B93" s="3"/>
      <c r="C93" s="3"/>
      <c r="D93" s="3"/>
      <c r="E93" s="3"/>
      <c r="F93" s="3"/>
      <c r="G93" s="3"/>
      <c r="H93" s="3"/>
      <c r="I93" s="3"/>
    </row>
    <row r="94" spans="2:9" x14ac:dyDescent="0.25">
      <c r="B94" s="3"/>
      <c r="C94" s="3"/>
      <c r="D94" s="3"/>
      <c r="E94" s="3"/>
      <c r="F94" s="3"/>
      <c r="G94" s="3"/>
      <c r="H94" s="3"/>
      <c r="I94" s="3"/>
    </row>
    <row r="95" spans="2:9" x14ac:dyDescent="0.25">
      <c r="B95" s="3"/>
      <c r="C95" s="3"/>
      <c r="D95" s="3"/>
      <c r="E95" s="3"/>
      <c r="F95" s="3"/>
      <c r="G95" s="3"/>
      <c r="H95" s="3"/>
      <c r="I95" s="3"/>
    </row>
    <row r="96" spans="2:9" x14ac:dyDescent="0.25">
      <c r="B96" s="3"/>
      <c r="C96" s="3"/>
      <c r="D96" s="3"/>
      <c r="E96" s="3"/>
      <c r="F96" s="3"/>
      <c r="G96" s="3"/>
      <c r="H96" s="3"/>
      <c r="I96" s="3"/>
    </row>
    <row r="97" spans="2:9" x14ac:dyDescent="0.25">
      <c r="B97" s="3"/>
      <c r="C97" s="3"/>
      <c r="D97" s="3"/>
      <c r="E97" s="3"/>
      <c r="F97" s="3"/>
      <c r="G97" s="3"/>
      <c r="H97" s="3"/>
      <c r="I97" s="3"/>
    </row>
    <row r="98" spans="2:9" x14ac:dyDescent="0.25">
      <c r="B98" s="3"/>
      <c r="C98" s="3"/>
      <c r="D98" s="3"/>
      <c r="E98" s="3"/>
      <c r="F98" s="3"/>
      <c r="G98" s="3"/>
      <c r="H98" s="3"/>
      <c r="I98" s="3"/>
    </row>
    <row r="99" spans="2:9" x14ac:dyDescent="0.25">
      <c r="B99" s="3"/>
      <c r="C99" s="3"/>
      <c r="D99" s="3"/>
      <c r="E99" s="3"/>
      <c r="F99" s="3"/>
      <c r="G99" s="3"/>
      <c r="H99" s="3"/>
      <c r="I99" s="3"/>
    </row>
    <row r="100" spans="2:9" x14ac:dyDescent="0.25">
      <c r="B100" s="3"/>
      <c r="C100" s="3"/>
      <c r="D100" s="3"/>
      <c r="E100" s="3"/>
      <c r="F100" s="3"/>
      <c r="G100" s="3"/>
      <c r="H100" s="3"/>
      <c r="I100" s="3"/>
    </row>
    <row r="101" spans="2:9" x14ac:dyDescent="0.25">
      <c r="B101" s="3"/>
      <c r="C101" s="3"/>
      <c r="D101" s="3"/>
      <c r="E101" s="3"/>
      <c r="F101" s="3"/>
      <c r="G101" s="3"/>
      <c r="H101" s="3"/>
      <c r="I101" s="3"/>
    </row>
    <row r="102" spans="2:9" x14ac:dyDescent="0.25">
      <c r="B102" s="3"/>
      <c r="C102" s="3"/>
      <c r="D102" s="3"/>
      <c r="E102" s="3"/>
      <c r="F102" s="3"/>
      <c r="G102" s="3"/>
      <c r="H102" s="3"/>
      <c r="I102" s="3"/>
    </row>
    <row r="103" spans="2:9" x14ac:dyDescent="0.25">
      <c r="B103" s="3"/>
      <c r="C103" s="3"/>
      <c r="D103" s="3"/>
      <c r="E103" s="3"/>
      <c r="F103" s="3"/>
      <c r="G103" s="3"/>
      <c r="H103" s="3"/>
      <c r="I103" s="3"/>
    </row>
    <row r="104" spans="2:9" x14ac:dyDescent="0.25">
      <c r="B104" s="3"/>
      <c r="C104" s="3"/>
      <c r="D104" s="3"/>
      <c r="E104" s="3"/>
      <c r="F104" s="3"/>
      <c r="G104" s="3"/>
      <c r="H104" s="3"/>
      <c r="I104" s="3"/>
    </row>
    <row r="105" spans="2:9" x14ac:dyDescent="0.25">
      <c r="B105" s="3"/>
      <c r="C105" s="3"/>
      <c r="D105" s="3"/>
      <c r="E105" s="3"/>
      <c r="F105" s="3"/>
      <c r="G105" s="3"/>
      <c r="H105" s="3"/>
      <c r="I105" s="3"/>
    </row>
    <row r="106" spans="2:9" x14ac:dyDescent="0.25">
      <c r="B106" s="3"/>
      <c r="C106" s="3"/>
      <c r="D106" s="3"/>
      <c r="E106" s="3"/>
      <c r="F106" s="3"/>
      <c r="G106" s="3"/>
      <c r="H106" s="3"/>
      <c r="I106" s="3"/>
    </row>
  </sheetData>
  <autoFilter ref="A1:C72" xr:uid="{BE443E67-0D09-464F-9BCD-302D7409399A}"/>
  <phoneticPr fontId="3" type="noConversion"/>
  <pageMargins left="0.75" right="0.75" top="1" bottom="1" header="0.5" footer="0.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BEB8-D6FA-4CC9-BC1E-052653672B95}">
  <dimension ref="A1:K18"/>
  <sheetViews>
    <sheetView workbookViewId="0">
      <pane xSplit="1" ySplit="1" topLeftCell="B2" activePane="bottomRight" state="frozen"/>
      <selection pane="topRight" activeCell="B1" sqref="B1"/>
      <selection pane="bottomLeft" activeCell="A2" sqref="A2"/>
      <selection pane="bottomRight" activeCell="I17" sqref="I17"/>
    </sheetView>
  </sheetViews>
  <sheetFormatPr defaultRowHeight="13.2" x14ac:dyDescent="0.25"/>
  <cols>
    <col min="1" max="1" width="11.21875" bestFit="1" customWidth="1"/>
    <col min="3" max="3" width="10.21875" bestFit="1" customWidth="1"/>
    <col min="5" max="5" width="10.21875" bestFit="1" customWidth="1"/>
    <col min="8" max="8" width="14.44140625" bestFit="1" customWidth="1"/>
    <col min="9" max="9" width="24" bestFit="1" customWidth="1"/>
    <col min="10" max="11" width="28.77734375" bestFit="1" customWidth="1"/>
  </cols>
  <sheetData>
    <row r="1" spans="1:11" x14ac:dyDescent="0.25">
      <c r="B1" s="51">
        <v>1998</v>
      </c>
      <c r="C1" s="49" t="s">
        <v>805</v>
      </c>
      <c r="D1" s="51">
        <v>1999</v>
      </c>
      <c r="E1" s="49" t="s">
        <v>805</v>
      </c>
    </row>
    <row r="2" spans="1:11" x14ac:dyDescent="0.25">
      <c r="A2" s="3" t="s">
        <v>904</v>
      </c>
      <c r="B2" s="3" t="s">
        <v>905</v>
      </c>
      <c r="C2" s="3">
        <v>0</v>
      </c>
      <c r="D2" s="3" t="s">
        <v>905</v>
      </c>
      <c r="E2" s="3">
        <v>0.3</v>
      </c>
      <c r="F2" s="3"/>
    </row>
    <row r="3" spans="1:11" x14ac:dyDescent="0.25">
      <c r="A3" s="3" t="s">
        <v>906</v>
      </c>
      <c r="B3" s="3" t="s">
        <v>905</v>
      </c>
      <c r="C3" s="3">
        <v>0</v>
      </c>
      <c r="D3" s="3" t="s">
        <v>905</v>
      </c>
      <c r="E3" s="3">
        <v>0</v>
      </c>
      <c r="F3" s="3"/>
    </row>
    <row r="4" spans="1:11" x14ac:dyDescent="0.25">
      <c r="A4" s="3" t="s">
        <v>907</v>
      </c>
      <c r="B4" s="3" t="s">
        <v>905</v>
      </c>
      <c r="C4" s="3">
        <v>0.35</v>
      </c>
      <c r="D4" s="3" t="s">
        <v>908</v>
      </c>
      <c r="E4" s="3">
        <v>5.0599999999999996</v>
      </c>
      <c r="F4" s="3"/>
      <c r="H4" s="9" t="s">
        <v>921</v>
      </c>
      <c r="I4" s="9" t="s">
        <v>89</v>
      </c>
      <c r="J4" s="9" t="s">
        <v>90</v>
      </c>
      <c r="K4" s="9" t="s">
        <v>91</v>
      </c>
    </row>
    <row r="5" spans="1:11" x14ac:dyDescent="0.25">
      <c r="A5" s="3" t="s">
        <v>909</v>
      </c>
      <c r="B5" s="3" t="s">
        <v>905</v>
      </c>
      <c r="C5" s="3">
        <v>0</v>
      </c>
      <c r="D5" s="3"/>
      <c r="E5" s="3"/>
      <c r="F5" s="3"/>
      <c r="G5" s="9" t="s">
        <v>905</v>
      </c>
      <c r="H5" s="46">
        <f>AVERAGE(C2,C3,C4,C5,C6,E2,E3,E7,E13)</f>
        <v>0.16666666666666663</v>
      </c>
      <c r="I5" s="46">
        <f>AVERAGE(C4,E7,E13)</f>
        <v>0.39999999999999997</v>
      </c>
      <c r="J5" s="46">
        <f>AVERAGE(C4)</f>
        <v>0.35</v>
      </c>
      <c r="K5" s="46">
        <f>AVERAGE(E2,E7,E13)</f>
        <v>0.3833333333333333</v>
      </c>
    </row>
    <row r="6" spans="1:11" x14ac:dyDescent="0.25">
      <c r="A6" s="3" t="s">
        <v>910</v>
      </c>
      <c r="B6" s="3" t="s">
        <v>905</v>
      </c>
      <c r="C6" s="3">
        <v>0</v>
      </c>
      <c r="D6" s="3"/>
      <c r="E6" s="3"/>
      <c r="F6" s="3"/>
      <c r="G6" s="9" t="s">
        <v>908</v>
      </c>
      <c r="H6" s="46">
        <f>AVERAGE(E4,C7,C8,C9,C10,C11,C12,E8,E9,E10,E11,E14,E15,E16)</f>
        <v>1.1721428571428572</v>
      </c>
      <c r="I6" s="46">
        <f>AVERAGE(E4,C7,C10,C11,E8,E10,E11)</f>
        <v>2.3442857142857143</v>
      </c>
      <c r="J6" s="46">
        <f>AVERAGE(C7,C10,C11)</f>
        <v>1.53</v>
      </c>
      <c r="K6" s="46">
        <f>AVERAGE(E4,E8,E10,E11)</f>
        <v>2.9549999999999996</v>
      </c>
    </row>
    <row r="7" spans="1:11" x14ac:dyDescent="0.25">
      <c r="A7" s="3" t="s">
        <v>911</v>
      </c>
      <c r="B7" s="3" t="s">
        <v>908</v>
      </c>
      <c r="C7" s="3">
        <v>0.88</v>
      </c>
      <c r="D7" s="3" t="s">
        <v>905</v>
      </c>
      <c r="E7" s="3">
        <v>0.44</v>
      </c>
      <c r="F7" s="3"/>
    </row>
    <row r="8" spans="1:11" x14ac:dyDescent="0.25">
      <c r="A8" s="3" t="s">
        <v>912</v>
      </c>
      <c r="B8" s="3" t="s">
        <v>908</v>
      </c>
      <c r="C8" s="3">
        <v>0</v>
      </c>
      <c r="D8" s="3" t="s">
        <v>908</v>
      </c>
      <c r="E8" s="3">
        <v>0.37</v>
      </c>
      <c r="F8" s="3"/>
    </row>
    <row r="9" spans="1:11" x14ac:dyDescent="0.25">
      <c r="A9" s="3" t="s">
        <v>913</v>
      </c>
      <c r="B9" s="3" t="s">
        <v>908</v>
      </c>
      <c r="C9" s="3">
        <v>0</v>
      </c>
      <c r="D9" s="3" t="s">
        <v>908</v>
      </c>
      <c r="E9" s="3">
        <v>0</v>
      </c>
      <c r="F9" s="3"/>
    </row>
    <row r="10" spans="1:11" x14ac:dyDescent="0.25">
      <c r="A10" s="3" t="s">
        <v>914</v>
      </c>
      <c r="B10" s="3" t="s">
        <v>908</v>
      </c>
      <c r="C10" s="3">
        <v>1.65</v>
      </c>
      <c r="D10" s="3" t="s">
        <v>908</v>
      </c>
      <c r="E10" s="3">
        <v>4.2</v>
      </c>
      <c r="F10" s="3"/>
    </row>
    <row r="11" spans="1:11" x14ac:dyDescent="0.25">
      <c r="A11" s="3" t="s">
        <v>915</v>
      </c>
      <c r="B11" s="3" t="s">
        <v>908</v>
      </c>
      <c r="C11" s="3">
        <v>2.06</v>
      </c>
      <c r="D11" s="3" t="s">
        <v>908</v>
      </c>
      <c r="E11" s="3">
        <v>2.19</v>
      </c>
      <c r="F11" s="3"/>
    </row>
    <row r="12" spans="1:11" x14ac:dyDescent="0.25">
      <c r="A12" s="3" t="s">
        <v>916</v>
      </c>
      <c r="B12" s="3" t="s">
        <v>908</v>
      </c>
      <c r="C12" s="3">
        <v>0</v>
      </c>
      <c r="D12" s="3"/>
      <c r="E12" s="3"/>
      <c r="F12" s="3"/>
    </row>
    <row r="13" spans="1:11" x14ac:dyDescent="0.25">
      <c r="A13" s="3" t="s">
        <v>917</v>
      </c>
      <c r="B13" s="3"/>
      <c r="C13" s="3"/>
      <c r="D13" s="3" t="s">
        <v>905</v>
      </c>
      <c r="E13" s="3">
        <v>0.41</v>
      </c>
      <c r="F13" s="3"/>
    </row>
    <row r="14" spans="1:11" x14ac:dyDescent="0.25">
      <c r="A14" s="3" t="s">
        <v>918</v>
      </c>
      <c r="B14" s="3"/>
      <c r="C14" s="3"/>
      <c r="D14" s="3" t="s">
        <v>908</v>
      </c>
      <c r="E14" s="3">
        <v>0</v>
      </c>
      <c r="F14" s="3"/>
    </row>
    <row r="15" spans="1:11" x14ac:dyDescent="0.25">
      <c r="A15" s="3" t="s">
        <v>919</v>
      </c>
      <c r="B15" s="3"/>
      <c r="C15" s="3"/>
      <c r="D15" s="3" t="s">
        <v>908</v>
      </c>
      <c r="E15" s="3">
        <v>0</v>
      </c>
      <c r="F15" s="3"/>
    </row>
    <row r="16" spans="1:11" x14ac:dyDescent="0.25">
      <c r="A16" s="3" t="s">
        <v>920</v>
      </c>
      <c r="B16" s="3"/>
      <c r="C16" s="3"/>
      <c r="D16" s="3" t="s">
        <v>908</v>
      </c>
      <c r="E16" s="3">
        <v>0</v>
      </c>
      <c r="F16" s="3"/>
    </row>
    <row r="17" spans="2:6" x14ac:dyDescent="0.25">
      <c r="B17" s="3"/>
      <c r="C17" s="3"/>
      <c r="D17" s="3"/>
      <c r="E17" s="3"/>
      <c r="F17" s="3"/>
    </row>
    <row r="18" spans="2:6" x14ac:dyDescent="0.25">
      <c r="B18" s="3"/>
      <c r="C18" s="3"/>
      <c r="D18" s="3"/>
      <c r="E18" s="3"/>
      <c r="F18" s="3"/>
    </row>
  </sheetData>
  <autoFilter ref="B1:E1" xr:uid="{6D37BFE9-9D68-4C80-9496-B813621FA4C7}"/>
  <phoneticPr fontId="3" type="noConversion"/>
  <pageMargins left="0.75" right="0.75" top="1" bottom="1" header="0.5" footer="0.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FEEB0-E0F8-4002-BFCD-B9AC9E163D17}">
  <dimension ref="A1:D58"/>
  <sheetViews>
    <sheetView workbookViewId="0">
      <pane ySplit="1" topLeftCell="A35" activePane="bottomLeft" state="frozen"/>
      <selection pane="bottomLeft" activeCell="I27" sqref="I27"/>
    </sheetView>
  </sheetViews>
  <sheetFormatPr defaultRowHeight="13.2" x14ac:dyDescent="0.25"/>
  <cols>
    <col min="1" max="1" width="10.21875" bestFit="1" customWidth="1"/>
    <col min="2" max="2" width="9.77734375" customWidth="1"/>
    <col min="3" max="3" width="18.21875" bestFit="1" customWidth="1"/>
    <col min="4" max="4" width="12.77734375" bestFit="1" customWidth="1"/>
  </cols>
  <sheetData>
    <row r="1" spans="1:4" s="9" customFormat="1" x14ac:dyDescent="0.25">
      <c r="A1" s="49" t="s">
        <v>988</v>
      </c>
      <c r="B1" s="49" t="s">
        <v>396</v>
      </c>
      <c r="C1" s="49" t="s">
        <v>989</v>
      </c>
      <c r="D1" s="49" t="s">
        <v>990</v>
      </c>
    </row>
    <row r="2" spans="1:4" x14ac:dyDescent="0.25">
      <c r="A2">
        <v>1</v>
      </c>
      <c r="B2" s="3">
        <v>1</v>
      </c>
      <c r="C2">
        <v>1</v>
      </c>
      <c r="D2">
        <v>1</v>
      </c>
    </row>
    <row r="3" spans="1:4" x14ac:dyDescent="0.25">
      <c r="A3">
        <v>2</v>
      </c>
      <c r="B3" s="3">
        <v>1</v>
      </c>
      <c r="C3">
        <v>1</v>
      </c>
      <c r="D3">
        <v>1</v>
      </c>
    </row>
    <row r="4" spans="1:4" x14ac:dyDescent="0.25">
      <c r="A4">
        <v>3</v>
      </c>
      <c r="B4" s="3">
        <v>1</v>
      </c>
      <c r="C4">
        <v>1</v>
      </c>
      <c r="D4">
        <v>1</v>
      </c>
    </row>
    <row r="5" spans="1:4" x14ac:dyDescent="0.25">
      <c r="A5">
        <v>4</v>
      </c>
      <c r="B5" s="3">
        <v>5</v>
      </c>
      <c r="C5">
        <v>1</v>
      </c>
      <c r="D5">
        <v>0</v>
      </c>
    </row>
    <row r="6" spans="1:4" x14ac:dyDescent="0.25">
      <c r="A6">
        <v>5</v>
      </c>
      <c r="B6" s="3">
        <v>2</v>
      </c>
      <c r="C6">
        <v>1</v>
      </c>
      <c r="D6">
        <v>1</v>
      </c>
    </row>
    <row r="7" spans="1:4" x14ac:dyDescent="0.25">
      <c r="A7">
        <v>6</v>
      </c>
      <c r="B7" s="3">
        <v>2</v>
      </c>
      <c r="C7">
        <v>1</v>
      </c>
      <c r="D7">
        <v>1</v>
      </c>
    </row>
    <row r="8" spans="1:4" x14ac:dyDescent="0.25">
      <c r="A8">
        <v>7</v>
      </c>
      <c r="B8">
        <v>4</v>
      </c>
      <c r="C8">
        <v>0</v>
      </c>
      <c r="D8">
        <v>0</v>
      </c>
    </row>
    <row r="9" spans="1:4" x14ac:dyDescent="0.25">
      <c r="A9">
        <v>8</v>
      </c>
      <c r="B9" s="3">
        <v>1</v>
      </c>
      <c r="C9">
        <v>1</v>
      </c>
      <c r="D9">
        <v>0</v>
      </c>
    </row>
    <row r="10" spans="1:4" x14ac:dyDescent="0.25">
      <c r="A10">
        <v>9</v>
      </c>
      <c r="B10" s="3">
        <v>1</v>
      </c>
      <c r="C10">
        <v>1</v>
      </c>
      <c r="D10">
        <v>1</v>
      </c>
    </row>
    <row r="11" spans="1:4" x14ac:dyDescent="0.25">
      <c r="A11">
        <v>10</v>
      </c>
      <c r="B11" s="3">
        <v>1</v>
      </c>
      <c r="C11">
        <v>1</v>
      </c>
      <c r="D11">
        <v>1</v>
      </c>
    </row>
    <row r="12" spans="1:4" x14ac:dyDescent="0.25">
      <c r="A12">
        <v>11</v>
      </c>
      <c r="B12" s="3">
        <v>1</v>
      </c>
      <c r="C12">
        <v>1</v>
      </c>
      <c r="D12">
        <v>1</v>
      </c>
    </row>
    <row r="13" spans="1:4" x14ac:dyDescent="0.25">
      <c r="A13">
        <v>12</v>
      </c>
      <c r="B13" s="3">
        <v>7</v>
      </c>
      <c r="C13">
        <v>1</v>
      </c>
      <c r="D13">
        <v>1</v>
      </c>
    </row>
    <row r="14" spans="1:4" x14ac:dyDescent="0.25">
      <c r="A14">
        <v>13</v>
      </c>
      <c r="B14" s="3">
        <v>1</v>
      </c>
      <c r="C14">
        <v>1</v>
      </c>
      <c r="D14">
        <v>1</v>
      </c>
    </row>
    <row r="15" spans="1:4" x14ac:dyDescent="0.25">
      <c r="A15">
        <v>14</v>
      </c>
      <c r="B15" s="3">
        <v>1</v>
      </c>
      <c r="C15">
        <v>1</v>
      </c>
      <c r="D15">
        <v>1</v>
      </c>
    </row>
    <row r="16" spans="1:4" x14ac:dyDescent="0.25">
      <c r="A16">
        <v>15</v>
      </c>
      <c r="B16" s="3">
        <v>2</v>
      </c>
      <c r="C16">
        <v>1</v>
      </c>
      <c r="D16">
        <v>1</v>
      </c>
    </row>
    <row r="17" spans="1:4" x14ac:dyDescent="0.25">
      <c r="A17">
        <v>16</v>
      </c>
      <c r="B17" s="3">
        <v>2</v>
      </c>
      <c r="C17">
        <v>1</v>
      </c>
      <c r="D17">
        <v>1</v>
      </c>
    </row>
    <row r="18" spans="1:4" x14ac:dyDescent="0.25">
      <c r="A18">
        <v>17</v>
      </c>
      <c r="B18" s="3">
        <v>1</v>
      </c>
      <c r="C18">
        <v>1</v>
      </c>
      <c r="D18">
        <v>1</v>
      </c>
    </row>
    <row r="19" spans="1:4" x14ac:dyDescent="0.25">
      <c r="A19">
        <v>18</v>
      </c>
      <c r="B19" s="3">
        <v>1</v>
      </c>
      <c r="C19">
        <v>1</v>
      </c>
      <c r="D19">
        <v>1</v>
      </c>
    </row>
    <row r="20" spans="1:4" x14ac:dyDescent="0.25">
      <c r="A20">
        <v>19</v>
      </c>
      <c r="B20" s="3">
        <v>1</v>
      </c>
      <c r="C20">
        <v>1</v>
      </c>
      <c r="D20">
        <v>0</v>
      </c>
    </row>
    <row r="21" spans="1:4" x14ac:dyDescent="0.25">
      <c r="A21">
        <v>20</v>
      </c>
      <c r="B21" s="3">
        <v>6</v>
      </c>
      <c r="C21">
        <v>1</v>
      </c>
      <c r="D21">
        <v>1</v>
      </c>
    </row>
    <row r="22" spans="1:4" x14ac:dyDescent="0.25">
      <c r="A22">
        <v>21</v>
      </c>
      <c r="B22" s="3">
        <v>1</v>
      </c>
      <c r="C22">
        <v>1</v>
      </c>
      <c r="D22">
        <v>1</v>
      </c>
    </row>
    <row r="23" spans="1:4" x14ac:dyDescent="0.25">
      <c r="A23">
        <v>22</v>
      </c>
      <c r="B23" s="3">
        <v>4</v>
      </c>
      <c r="C23">
        <v>1</v>
      </c>
      <c r="D23">
        <v>0</v>
      </c>
    </row>
    <row r="24" spans="1:4" x14ac:dyDescent="0.25">
      <c r="A24">
        <v>23</v>
      </c>
      <c r="B24" s="3">
        <v>2</v>
      </c>
      <c r="C24">
        <v>1</v>
      </c>
      <c r="D24">
        <v>1</v>
      </c>
    </row>
    <row r="25" spans="1:4" x14ac:dyDescent="0.25">
      <c r="A25">
        <v>24</v>
      </c>
      <c r="B25" s="3">
        <v>2</v>
      </c>
      <c r="C25">
        <v>1</v>
      </c>
      <c r="D25">
        <v>1</v>
      </c>
    </row>
    <row r="26" spans="1:4" x14ac:dyDescent="0.25">
      <c r="A26">
        <v>25</v>
      </c>
      <c r="B26" s="3">
        <v>1</v>
      </c>
      <c r="C26">
        <v>1</v>
      </c>
      <c r="D26">
        <v>1</v>
      </c>
    </row>
    <row r="27" spans="1:4" x14ac:dyDescent="0.25">
      <c r="A27">
        <v>26</v>
      </c>
      <c r="B27" s="3">
        <v>1</v>
      </c>
      <c r="C27">
        <v>1</v>
      </c>
      <c r="D27">
        <v>1</v>
      </c>
    </row>
    <row r="28" spans="1:4" x14ac:dyDescent="0.25">
      <c r="A28">
        <v>27</v>
      </c>
      <c r="B28" s="3">
        <v>1</v>
      </c>
      <c r="C28">
        <v>1</v>
      </c>
      <c r="D28">
        <v>1</v>
      </c>
    </row>
    <row r="29" spans="1:4" x14ac:dyDescent="0.25">
      <c r="A29">
        <v>28</v>
      </c>
      <c r="B29" s="3">
        <v>1</v>
      </c>
      <c r="C29">
        <v>1</v>
      </c>
      <c r="D29">
        <v>1</v>
      </c>
    </row>
    <row r="30" spans="1:4" x14ac:dyDescent="0.25">
      <c r="A30">
        <v>29</v>
      </c>
      <c r="B30" s="3">
        <v>2</v>
      </c>
      <c r="C30">
        <v>1</v>
      </c>
      <c r="D30">
        <v>1</v>
      </c>
    </row>
    <row r="31" spans="1:4" x14ac:dyDescent="0.25">
      <c r="A31">
        <v>30</v>
      </c>
      <c r="B31" s="3">
        <v>1</v>
      </c>
      <c r="C31">
        <v>1</v>
      </c>
      <c r="D31">
        <v>1</v>
      </c>
    </row>
    <row r="32" spans="1:4" x14ac:dyDescent="0.25">
      <c r="A32">
        <v>31</v>
      </c>
      <c r="B32" s="3">
        <v>1</v>
      </c>
      <c r="C32">
        <v>1</v>
      </c>
      <c r="D32">
        <v>1</v>
      </c>
    </row>
    <row r="33" spans="1:4" x14ac:dyDescent="0.25">
      <c r="A33">
        <v>32</v>
      </c>
      <c r="B33" s="3">
        <v>1</v>
      </c>
      <c r="C33">
        <v>1</v>
      </c>
      <c r="D33">
        <v>1</v>
      </c>
    </row>
    <row r="34" spans="1:4" x14ac:dyDescent="0.25">
      <c r="A34">
        <v>33</v>
      </c>
      <c r="B34" s="3">
        <v>1</v>
      </c>
      <c r="C34">
        <v>1</v>
      </c>
      <c r="D34">
        <v>1</v>
      </c>
    </row>
    <row r="35" spans="1:4" x14ac:dyDescent="0.25">
      <c r="A35">
        <v>34</v>
      </c>
      <c r="B35">
        <v>1</v>
      </c>
      <c r="C35">
        <v>1</v>
      </c>
      <c r="D35">
        <v>1</v>
      </c>
    </row>
    <row r="36" spans="1:4" x14ac:dyDescent="0.25">
      <c r="A36">
        <v>35</v>
      </c>
      <c r="B36">
        <v>1</v>
      </c>
      <c r="C36">
        <v>0</v>
      </c>
      <c r="D36">
        <v>1</v>
      </c>
    </row>
    <row r="37" spans="1:4" x14ac:dyDescent="0.25">
      <c r="A37">
        <v>36</v>
      </c>
      <c r="B37">
        <v>1</v>
      </c>
      <c r="C37">
        <v>1</v>
      </c>
      <c r="D37">
        <v>1</v>
      </c>
    </row>
    <row r="38" spans="1:4" x14ac:dyDescent="0.25">
      <c r="A38">
        <v>37</v>
      </c>
      <c r="B38">
        <v>1</v>
      </c>
      <c r="C38">
        <v>1</v>
      </c>
      <c r="D38">
        <v>1</v>
      </c>
    </row>
    <row r="39" spans="1:4" x14ac:dyDescent="0.25">
      <c r="A39">
        <v>38</v>
      </c>
      <c r="B39">
        <v>1</v>
      </c>
      <c r="C39">
        <v>1</v>
      </c>
      <c r="D39">
        <v>1</v>
      </c>
    </row>
    <row r="40" spans="1:4" x14ac:dyDescent="0.25">
      <c r="A40">
        <v>39</v>
      </c>
      <c r="B40">
        <v>1</v>
      </c>
      <c r="C40">
        <v>1</v>
      </c>
      <c r="D40">
        <v>1</v>
      </c>
    </row>
    <row r="42" spans="1:4" x14ac:dyDescent="0.25">
      <c r="A42" t="s">
        <v>41</v>
      </c>
    </row>
    <row r="43" spans="1:4" x14ac:dyDescent="0.25">
      <c r="A43" t="s">
        <v>991</v>
      </c>
      <c r="B43" s="46">
        <f>AVERAGE(B2:B7,B9:B35,B37:B40)</f>
        <v>1.6756756756756757</v>
      </c>
    </row>
    <row r="44" spans="1:4" x14ac:dyDescent="0.25">
      <c r="A44" t="s">
        <v>992</v>
      </c>
      <c r="B44" s="46">
        <f>STDEV(B2:B7,B9:B35,B37:B40)</f>
        <v>1.4539993514833884</v>
      </c>
    </row>
    <row r="45" spans="1:4" x14ac:dyDescent="0.25">
      <c r="A45" t="s">
        <v>419</v>
      </c>
      <c r="B45">
        <f>COUNT(B2:B7,B9:B35,B37:B40)</f>
        <v>37</v>
      </c>
    </row>
    <row r="47" spans="1:4" x14ac:dyDescent="0.25">
      <c r="A47" t="s">
        <v>39</v>
      </c>
      <c r="B47" s="46">
        <f>AVERAGE(B8,B36)</f>
        <v>2.5</v>
      </c>
    </row>
    <row r="48" spans="1:4" x14ac:dyDescent="0.25">
      <c r="A48" t="s">
        <v>40</v>
      </c>
      <c r="B48" s="46">
        <f>STDEV(B8,B36)</f>
        <v>2.1213203435596424</v>
      </c>
    </row>
    <row r="49" spans="1:2" x14ac:dyDescent="0.25">
      <c r="A49" t="s">
        <v>419</v>
      </c>
      <c r="B49">
        <f>COUNT(B8,B36)</f>
        <v>2</v>
      </c>
    </row>
    <row r="51" spans="1:2" x14ac:dyDescent="0.25">
      <c r="A51" t="s">
        <v>42</v>
      </c>
    </row>
    <row r="52" spans="1:2" x14ac:dyDescent="0.25">
      <c r="A52" t="s">
        <v>991</v>
      </c>
      <c r="B52" s="46">
        <f>AVERAGE(B2:B4,B6:B7,B10:B19,B21:B22,B24:B40)</f>
        <v>1.5294117647058822</v>
      </c>
    </row>
    <row r="53" spans="1:2" x14ac:dyDescent="0.25">
      <c r="A53" t="s">
        <v>992</v>
      </c>
      <c r="B53" s="46">
        <f>STDEV(B2:B4,B6:B7,B10:B19,B21:B22,B24:B40)</f>
        <v>1.3311033044546636</v>
      </c>
    </row>
    <row r="54" spans="1:2" x14ac:dyDescent="0.25">
      <c r="A54" t="s">
        <v>419</v>
      </c>
      <c r="B54">
        <f>COUNT(B2:B4,B6:B7,B10:B19,B21:B22,B24:B40)</f>
        <v>34</v>
      </c>
    </row>
    <row r="56" spans="1:2" x14ac:dyDescent="0.25">
      <c r="A56" t="s">
        <v>39</v>
      </c>
      <c r="B56" s="46">
        <f>AVERAGE(B5,B8,B9,B20,B23)</f>
        <v>3</v>
      </c>
    </row>
    <row r="57" spans="1:2" x14ac:dyDescent="0.25">
      <c r="A57" t="s">
        <v>40</v>
      </c>
      <c r="B57" s="46">
        <f>STDEV(B5,B8,B9,B20,B23)</f>
        <v>1.8708286933869707</v>
      </c>
    </row>
    <row r="58" spans="1:2" x14ac:dyDescent="0.25">
      <c r="A58" t="s">
        <v>419</v>
      </c>
      <c r="B58">
        <f>COUNT(B5,B8,B9,B20,B23)</f>
        <v>5</v>
      </c>
    </row>
  </sheetData>
  <autoFilter ref="A1:D40" xr:uid="{F4084F95-B307-41C1-BEED-183C3DBAA27D}"/>
  <phoneticPr fontId="3" type="noConversion"/>
  <pageMargins left="0.75" right="0.75" top="1" bottom="1" header="0.5" footer="0.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8F6D-066A-4F4F-8053-443060A70B1D}">
  <dimension ref="A1:C36"/>
  <sheetViews>
    <sheetView workbookViewId="0">
      <pane xSplit="1" ySplit="1" topLeftCell="B23" activePane="bottomRight" state="frozen"/>
      <selection pane="topRight" activeCell="B1" sqref="B1"/>
      <selection pane="bottomLeft" activeCell="A2" sqref="A2"/>
      <selection pane="bottomRight" activeCell="I32" sqref="I32"/>
    </sheetView>
  </sheetViews>
  <sheetFormatPr defaultRowHeight="13.2" x14ac:dyDescent="0.25"/>
  <cols>
    <col min="2" max="2" width="21.21875" bestFit="1" customWidth="1"/>
    <col min="3" max="3" width="19.21875" bestFit="1" customWidth="1"/>
  </cols>
  <sheetData>
    <row r="1" spans="2:3" x14ac:dyDescent="0.25">
      <c r="B1" s="49" t="s">
        <v>726</v>
      </c>
      <c r="C1" s="49" t="s">
        <v>727</v>
      </c>
    </row>
    <row r="2" spans="2:3" x14ac:dyDescent="0.25">
      <c r="B2" s="3">
        <v>25</v>
      </c>
      <c r="C2" s="3">
        <v>0</v>
      </c>
    </row>
    <row r="3" spans="2:3" x14ac:dyDescent="0.25">
      <c r="B3" s="3">
        <v>35</v>
      </c>
      <c r="C3" s="3">
        <v>0</v>
      </c>
    </row>
    <row r="4" spans="2:3" x14ac:dyDescent="0.25">
      <c r="B4" s="3">
        <v>35</v>
      </c>
      <c r="C4" s="3">
        <v>0</v>
      </c>
    </row>
    <row r="5" spans="2:3" x14ac:dyDescent="0.25">
      <c r="B5" s="3">
        <v>0</v>
      </c>
      <c r="C5" s="3">
        <v>0</v>
      </c>
    </row>
    <row r="6" spans="2:3" x14ac:dyDescent="0.25">
      <c r="B6" s="3">
        <v>0</v>
      </c>
      <c r="C6" s="3">
        <v>0</v>
      </c>
    </row>
    <row r="7" spans="2:3" x14ac:dyDescent="0.25">
      <c r="B7" s="3">
        <v>10</v>
      </c>
      <c r="C7" s="3">
        <v>0</v>
      </c>
    </row>
    <row r="8" spans="2:3" x14ac:dyDescent="0.25">
      <c r="B8" s="3">
        <v>25</v>
      </c>
      <c r="C8" s="3">
        <v>0</v>
      </c>
    </row>
    <row r="9" spans="2:3" x14ac:dyDescent="0.25">
      <c r="B9" s="3">
        <v>30</v>
      </c>
      <c r="C9" s="3">
        <v>0</v>
      </c>
    </row>
    <row r="10" spans="2:3" x14ac:dyDescent="0.25">
      <c r="B10" s="3">
        <v>12</v>
      </c>
      <c r="C10" s="3">
        <v>0</v>
      </c>
    </row>
    <row r="11" spans="2:3" x14ac:dyDescent="0.25">
      <c r="B11" s="3">
        <v>85</v>
      </c>
      <c r="C11" s="3">
        <v>0</v>
      </c>
    </row>
    <row r="12" spans="2:3" x14ac:dyDescent="0.25">
      <c r="B12" s="3">
        <v>65</v>
      </c>
      <c r="C12" s="3">
        <v>0.4</v>
      </c>
    </row>
    <row r="13" spans="2:3" x14ac:dyDescent="0.25">
      <c r="B13" s="3">
        <v>20</v>
      </c>
      <c r="C13" s="3">
        <v>1</v>
      </c>
    </row>
    <row r="14" spans="2:3" x14ac:dyDescent="0.25">
      <c r="B14" s="3">
        <v>5</v>
      </c>
      <c r="C14" s="3">
        <v>1</v>
      </c>
    </row>
    <row r="15" spans="2:3" x14ac:dyDescent="0.25">
      <c r="B15" s="3">
        <v>25</v>
      </c>
      <c r="C15" s="3">
        <v>1</v>
      </c>
    </row>
    <row r="16" spans="2:3" x14ac:dyDescent="0.25">
      <c r="B16" s="3">
        <v>70</v>
      </c>
      <c r="C16" s="3">
        <v>1</v>
      </c>
    </row>
    <row r="17" spans="2:3" x14ac:dyDescent="0.25">
      <c r="B17" s="3">
        <v>75</v>
      </c>
      <c r="C17" s="3">
        <v>1</v>
      </c>
    </row>
    <row r="18" spans="2:3" x14ac:dyDescent="0.25">
      <c r="B18" s="3">
        <v>22</v>
      </c>
      <c r="C18" s="3">
        <v>1</v>
      </c>
    </row>
    <row r="19" spans="2:3" x14ac:dyDescent="0.25">
      <c r="B19" s="3">
        <v>35</v>
      </c>
      <c r="C19" s="3">
        <v>1</v>
      </c>
    </row>
    <row r="20" spans="2:3" x14ac:dyDescent="0.25">
      <c r="B20" s="3">
        <v>27</v>
      </c>
      <c r="C20" s="3">
        <v>1</v>
      </c>
    </row>
    <row r="21" spans="2:3" x14ac:dyDescent="0.25">
      <c r="B21" s="3">
        <v>25</v>
      </c>
      <c r="C21" s="3">
        <v>1.5</v>
      </c>
    </row>
    <row r="22" spans="2:3" x14ac:dyDescent="0.25">
      <c r="B22" s="3">
        <v>20</v>
      </c>
      <c r="C22" s="3">
        <v>2</v>
      </c>
    </row>
    <row r="23" spans="2:3" x14ac:dyDescent="0.25">
      <c r="B23" s="3">
        <v>12</v>
      </c>
      <c r="C23" s="3">
        <v>2</v>
      </c>
    </row>
    <row r="24" spans="2:3" x14ac:dyDescent="0.25">
      <c r="B24" s="3">
        <v>45</v>
      </c>
      <c r="C24" s="3">
        <v>3</v>
      </c>
    </row>
    <row r="25" spans="2:3" x14ac:dyDescent="0.25">
      <c r="B25" s="3">
        <v>35</v>
      </c>
      <c r="C25" s="3">
        <v>3</v>
      </c>
    </row>
    <row r="26" spans="2:3" x14ac:dyDescent="0.25">
      <c r="B26" s="3">
        <v>10</v>
      </c>
      <c r="C26" s="3">
        <v>3</v>
      </c>
    </row>
    <row r="27" spans="2:3" x14ac:dyDescent="0.25">
      <c r="B27" s="3">
        <v>45</v>
      </c>
      <c r="C27" s="3">
        <v>5</v>
      </c>
    </row>
    <row r="28" spans="2:3" x14ac:dyDescent="0.25">
      <c r="B28" s="3">
        <v>30</v>
      </c>
      <c r="C28" s="3">
        <v>6</v>
      </c>
    </row>
    <row r="29" spans="2:3" x14ac:dyDescent="0.25">
      <c r="B29" s="3">
        <v>35</v>
      </c>
      <c r="C29" s="3">
        <v>6</v>
      </c>
    </row>
    <row r="30" spans="2:3" x14ac:dyDescent="0.25">
      <c r="B30" s="3">
        <v>40</v>
      </c>
      <c r="C30" s="3">
        <v>8</v>
      </c>
    </row>
    <row r="31" spans="2:3" x14ac:dyDescent="0.25">
      <c r="B31" s="3">
        <v>50</v>
      </c>
      <c r="C31" s="3">
        <v>10</v>
      </c>
    </row>
    <row r="32" spans="2:3" x14ac:dyDescent="0.25">
      <c r="B32" s="3">
        <v>23</v>
      </c>
      <c r="C32" s="3">
        <v>12</v>
      </c>
    </row>
    <row r="33" spans="1:3" x14ac:dyDescent="0.25">
      <c r="B33" s="3"/>
      <c r="C33" s="3"/>
    </row>
    <row r="34" spans="1:3" x14ac:dyDescent="0.25">
      <c r="A34" s="1" t="s">
        <v>696</v>
      </c>
      <c r="B34" s="43">
        <f>AVERAGE(B2:B33)</f>
        <v>31.322580645161292</v>
      </c>
      <c r="C34" s="43">
        <f>AVERAGE(C2:C33)</f>
        <v>2.2548387096774194</v>
      </c>
    </row>
    <row r="35" spans="1:3" x14ac:dyDescent="0.25">
      <c r="A35" s="1" t="s">
        <v>418</v>
      </c>
      <c r="B35" s="43">
        <f>STDEV(B2:B33)</f>
        <v>20.968845297685792</v>
      </c>
      <c r="C35" s="43">
        <f>STDEV(C2:C33)</f>
        <v>3.1240826610572068</v>
      </c>
    </row>
    <row r="36" spans="1:3" x14ac:dyDescent="0.25">
      <c r="A36" s="1" t="s">
        <v>419</v>
      </c>
      <c r="B36" s="1">
        <f>COUNT(B2:B33)</f>
        <v>31</v>
      </c>
      <c r="C36" s="1">
        <f>COUNT(C2:C33)</f>
        <v>31</v>
      </c>
    </row>
  </sheetData>
  <autoFilter ref="B1:C1" xr:uid="{0962C5F6-BC8D-4437-A6B3-9A24557CBD05}"/>
  <phoneticPr fontId="3" type="noConversion"/>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database</vt:lpstr>
      <vt:lpstr>literature</vt:lpstr>
      <vt:lpstr>Mazzolli et al. 2002</vt:lpstr>
      <vt:lpstr>Meadows and Knowlton 2000</vt:lpstr>
      <vt:lpstr>Andelt et al. 1999</vt:lpstr>
      <vt:lpstr>Bromley and Gese 2001</vt:lpstr>
      <vt:lpstr>Khorozyan et al. 2017</vt:lpstr>
      <vt:lpstr>Pfeifer and Goos 1982</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Amarah Moosa</cp:lastModifiedBy>
  <dcterms:created xsi:type="dcterms:W3CDTF">2018-03-28T11:12:26Z</dcterms:created>
  <dcterms:modified xsi:type="dcterms:W3CDTF">2025-02-20T19:47:49Z</dcterms:modified>
</cp:coreProperties>
</file>